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P:\LSRVDRV\"/>
    </mc:Choice>
  </mc:AlternateContent>
  <xr:revisionPtr revIDLastSave="0" documentId="8_{3AE39AAA-3DD7-4F05-BAF7-2BDDA885449C}" xr6:coauthVersionLast="47" xr6:coauthVersionMax="47" xr10:uidLastSave="{00000000-0000-0000-0000-000000000000}"/>
  <bookViews>
    <workbookView xWindow="28680" yWindow="-120" windowWidth="24240" windowHeight="13020" tabRatio="713" firstSheet="6" activeTab="6" xr2:uid="{15333582-6FA4-47DB-B6A0-3D07C367D634}"/>
  </bookViews>
  <sheets>
    <sheet name="Introduction" sheetId="36" r:id="rId1"/>
    <sheet name="CECONY" sheetId="44" r:id="rId2"/>
    <sheet name="CEN HUD" sheetId="6" r:id="rId3"/>
    <sheet name="National Grid Data Match" sheetId="47" r:id="rId4"/>
    <sheet name="National Grid" sheetId="49" r:id="rId5"/>
    <sheet name="Nat Grid Transmnet" sheetId="50" r:id="rId6"/>
    <sheet name="NYSEG" sheetId="1" r:id="rId7"/>
    <sheet name="O&amp;R" sheetId="5" r:id="rId8"/>
    <sheet name="RGE" sheetId="2" r:id="rId9"/>
    <sheet name="O&amp;R KW" sheetId="45" r:id="rId10"/>
    <sheet name="Aggregated Table" sheetId="7" r:id="rId11"/>
    <sheet name="CEP Initial Proposal" sheetId="9" r:id="rId12"/>
    <sheet name="Summary Tables" sheetId="32" r:id="rId13"/>
    <sheet name="Total Substations per Util" sheetId="35" r:id="rId14"/>
    <sheet name="data for stata" sheetId="13" r:id="rId15"/>
    <sheet name="stata commands" sheetId="51" r:id="rId16"/>
    <sheet name="stata output" sheetId="19" r:id="rId17"/>
    <sheet name="NERA segment cost" sheetId="21" r:id="rId18"/>
    <sheet name="example levelized cost calc" sheetId="39" r:id="rId19"/>
    <sheet name="example segment cost aggregate" sheetId="40" r:id="rId20"/>
  </sheets>
  <externalReferences>
    <externalReference r:id="rId21"/>
  </externalReferences>
  <definedNames>
    <definedName name="Infl_All1">[1]ECCR_Rates!$D$35</definedName>
    <definedName name="ProjList">#REF!</definedName>
    <definedName name="rAssetTop">[1]FinalData!$E$1</definedName>
    <definedName name="rCap26">[1]FinalData!$K:$K</definedName>
    <definedName name="rCap27">[1]FinalData!$L:$L</definedName>
    <definedName name="rCap28">[1]FinalData!$M:$M</definedName>
    <definedName name="rCap29">[1]FinalData!$N:$N</definedName>
    <definedName name="rCap30">[1]FinalData!$O:$O</definedName>
    <definedName name="rCap31">[1]FinalData!$P:$P</definedName>
    <definedName name="rCap32">[1]FinalData!$Q:$Q</definedName>
    <definedName name="rCap33">[1]FinalData!$R:$R</definedName>
    <definedName name="rCap34">[1]FinalData!$S:$S</definedName>
    <definedName name="rCap35">[1]FinalData!$T:$T</definedName>
    <definedName name="rCap36">[1]FinalData!$U:$U</definedName>
    <definedName name="rCapPrior">[1]FinalData!$J:$J</definedName>
    <definedName name="rCapSum">[1]FinalData!$V:$V</definedName>
    <definedName name="rCapTOP">[1]FinalData!$I$1</definedName>
    <definedName name="rInvestType">[1]FinalData!$F:$F</definedName>
    <definedName name="rMaster">[1]FinalData!$W:$W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7" i="40" l="1"/>
  <c r="E29" i="40"/>
  <c r="I21" i="40" l="1"/>
  <c r="H21" i="40"/>
  <c r="G21" i="40"/>
  <c r="F21" i="40"/>
  <c r="I20" i="40"/>
  <c r="H20" i="40"/>
  <c r="G20" i="40"/>
  <c r="F20" i="40"/>
  <c r="I19" i="40"/>
  <c r="H19" i="40"/>
  <c r="G19" i="40"/>
  <c r="F19" i="40"/>
  <c r="I18" i="40"/>
  <c r="H18" i="40"/>
  <c r="G18" i="40"/>
  <c r="F18" i="40"/>
  <c r="I17" i="40"/>
  <c r="H17" i="40"/>
  <c r="G17" i="40"/>
  <c r="F17" i="40"/>
  <c r="E21" i="40"/>
  <c r="E20" i="40"/>
  <c r="E19" i="40"/>
  <c r="E18" i="40"/>
  <c r="E17" i="40"/>
  <c r="I32" i="40"/>
  <c r="H32" i="40"/>
  <c r="G32" i="40"/>
  <c r="F32" i="40"/>
  <c r="I31" i="40"/>
  <c r="H31" i="40"/>
  <c r="G31" i="40"/>
  <c r="F31" i="40"/>
  <c r="I30" i="40"/>
  <c r="H30" i="40"/>
  <c r="G30" i="40"/>
  <c r="F30" i="40"/>
  <c r="I29" i="40"/>
  <c r="H29" i="40"/>
  <c r="G29" i="40"/>
  <c r="F29" i="40"/>
  <c r="I28" i="40"/>
  <c r="H28" i="40"/>
  <c r="G28" i="40"/>
  <c r="F28" i="40"/>
  <c r="E32" i="40"/>
  <c r="E31" i="40"/>
  <c r="E30" i="40"/>
  <c r="E28" i="40"/>
  <c r="K11" i="40"/>
  <c r="K10" i="40"/>
  <c r="K9" i="40"/>
  <c r="K8" i="40"/>
  <c r="C21" i="40"/>
  <c r="B21" i="40"/>
  <c r="C20" i="40"/>
  <c r="B20" i="40"/>
  <c r="C19" i="40"/>
  <c r="B19" i="40"/>
  <c r="C18" i="40"/>
  <c r="B18" i="40"/>
  <c r="C17" i="40"/>
  <c r="B17" i="40"/>
  <c r="C32" i="40"/>
  <c r="B32" i="40"/>
  <c r="C31" i="40"/>
  <c r="B31" i="40"/>
  <c r="C30" i="40"/>
  <c r="B30" i="40"/>
  <c r="C29" i="40"/>
  <c r="B29" i="40"/>
  <c r="C28" i="40"/>
  <c r="B28" i="40"/>
  <c r="E13" i="39" l="1"/>
  <c r="E17" i="39"/>
  <c r="X541" i="19"/>
  <c r="X540" i="19"/>
  <c r="X539" i="19"/>
  <c r="X538" i="19"/>
  <c r="X537" i="19"/>
  <c r="X536" i="19"/>
  <c r="T4" i="32"/>
  <c r="U4" i="32"/>
  <c r="V4" i="32"/>
  <c r="T6" i="32"/>
  <c r="U6" i="32"/>
  <c r="V6" i="32"/>
  <c r="T9" i="32"/>
  <c r="U9" i="32"/>
  <c r="V9" i="32"/>
  <c r="S9" i="32"/>
  <c r="S8" i="32"/>
  <c r="S7" i="32"/>
  <c r="S6" i="32"/>
  <c r="S5" i="32"/>
  <c r="S4" i="32"/>
  <c r="T33" i="32"/>
  <c r="U33" i="32"/>
  <c r="V33" i="32"/>
  <c r="W33" i="32"/>
  <c r="X33" i="32"/>
  <c r="U34" i="32"/>
  <c r="V34" i="32"/>
  <c r="W34" i="32"/>
  <c r="T35" i="32"/>
  <c r="U35" i="32"/>
  <c r="V35" i="32"/>
  <c r="W35" i="32"/>
  <c r="X35" i="32"/>
  <c r="U36" i="32"/>
  <c r="V36" i="32"/>
  <c r="W36" i="32"/>
  <c r="X36" i="32"/>
  <c r="U37" i="32"/>
  <c r="V37" i="32"/>
  <c r="W37" i="32"/>
  <c r="T38" i="32"/>
  <c r="U38" i="32"/>
  <c r="V38" i="32"/>
  <c r="W38" i="32"/>
  <c r="X38" i="32"/>
  <c r="S33" i="32"/>
  <c r="S38" i="32"/>
  <c r="S37" i="32"/>
  <c r="S36" i="32"/>
  <c r="S35" i="32"/>
  <c r="S34" i="32"/>
  <c r="T18" i="32"/>
  <c r="U18" i="32"/>
  <c r="V18" i="32"/>
  <c r="T19" i="32"/>
  <c r="U19" i="32"/>
  <c r="V19" i="32"/>
  <c r="T20" i="32"/>
  <c r="U20" i="32"/>
  <c r="V20" i="32"/>
  <c r="T21" i="32"/>
  <c r="U21" i="32"/>
  <c r="V21" i="32"/>
  <c r="T22" i="32"/>
  <c r="U22" i="32"/>
  <c r="V22" i="32"/>
  <c r="T23" i="32"/>
  <c r="U23" i="32"/>
  <c r="V23" i="32"/>
  <c r="S23" i="32"/>
  <c r="S22" i="32"/>
  <c r="S21" i="32"/>
  <c r="S20" i="32"/>
  <c r="S19" i="32"/>
  <c r="S18" i="32"/>
  <c r="N138" i="7"/>
  <c r="K21" i="40"/>
  <c r="K20" i="40"/>
  <c r="K19" i="40"/>
  <c r="K18" i="40"/>
  <c r="K17" i="40"/>
  <c r="K32" i="40"/>
  <c r="K31" i="40"/>
  <c r="K30" i="40"/>
  <c r="K29" i="40"/>
  <c r="K28" i="40"/>
  <c r="D17" i="39"/>
  <c r="D16" i="39"/>
  <c r="D18" i="39" s="1"/>
  <c r="L13" i="39"/>
  <c r="F13" i="39"/>
  <c r="D13" i="39"/>
  <c r="M12" i="39"/>
  <c r="M13" i="39" s="1"/>
  <c r="L12" i="39"/>
  <c r="K12" i="39"/>
  <c r="K13" i="39" s="1"/>
  <c r="J12" i="39"/>
  <c r="J13" i="39" s="1"/>
  <c r="I12" i="39"/>
  <c r="I13" i="39" s="1"/>
  <c r="H12" i="39"/>
  <c r="H13" i="39" s="1"/>
  <c r="G12" i="39"/>
  <c r="G13" i="39" s="1"/>
  <c r="F12" i="39"/>
  <c r="E12" i="39"/>
  <c r="D12" i="39"/>
  <c r="N11" i="39"/>
  <c r="N10" i="39"/>
  <c r="E8" i="39"/>
  <c r="F8" i="39" s="1"/>
  <c r="G8" i="39" s="1"/>
  <c r="H8" i="39" s="1"/>
  <c r="I8" i="39" s="1"/>
  <c r="J8" i="39" s="1"/>
  <c r="K8" i="39" s="1"/>
  <c r="L8" i="39" s="1"/>
  <c r="M8" i="39" s="1"/>
  <c r="F124" i="21"/>
  <c r="D52" i="21"/>
  <c r="E7" i="21"/>
  <c r="L286" i="13"/>
  <c r="K286" i="13"/>
  <c r="A504" i="7"/>
  <c r="A503" i="7"/>
  <c r="A500" i="7"/>
  <c r="A491" i="7"/>
  <c r="A492" i="7"/>
  <c r="A501" i="7"/>
  <c r="G137" i="7"/>
  <c r="F137" i="7"/>
  <c r="C480" i="7"/>
  <c r="C481" i="7"/>
  <c r="C477" i="7"/>
  <c r="C478" i="7"/>
  <c r="C479" i="7"/>
  <c r="C473" i="7"/>
  <c r="C474" i="7"/>
  <c r="C475" i="7"/>
  <c r="C476" i="7"/>
  <c r="C469" i="7"/>
  <c r="C470" i="7"/>
  <c r="C471" i="7"/>
  <c r="C472" i="7"/>
  <c r="C464" i="7"/>
  <c r="C465" i="7"/>
  <c r="C466" i="7"/>
  <c r="C467" i="7"/>
  <c r="C468" i="7"/>
  <c r="C459" i="7"/>
  <c r="C460" i="7"/>
  <c r="C461" i="7"/>
  <c r="C462" i="7"/>
  <c r="C463" i="7"/>
  <c r="C454" i="7"/>
  <c r="C455" i="7"/>
  <c r="C456" i="7"/>
  <c r="C457" i="7"/>
  <c r="C458" i="7"/>
  <c r="C449" i="7"/>
  <c r="C450" i="7"/>
  <c r="C451" i="7"/>
  <c r="C452" i="7"/>
  <c r="C453" i="7"/>
  <c r="C445" i="7"/>
  <c r="C446" i="7"/>
  <c r="C447" i="7"/>
  <c r="C448" i="7"/>
  <c r="C441" i="7"/>
  <c r="C442" i="7"/>
  <c r="C443" i="7"/>
  <c r="C444" i="7"/>
  <c r="C437" i="7"/>
  <c r="C438" i="7"/>
  <c r="C439" i="7"/>
  <c r="C440" i="7"/>
  <c r="C436" i="7"/>
  <c r="C368" i="7"/>
  <c r="C369" i="7"/>
  <c r="C364" i="7"/>
  <c r="C365" i="7"/>
  <c r="C366" i="7"/>
  <c r="C367" i="7"/>
  <c r="C359" i="7"/>
  <c r="C360" i="7"/>
  <c r="C361" i="7"/>
  <c r="C362" i="7"/>
  <c r="C363" i="7"/>
  <c r="C354" i="7"/>
  <c r="C355" i="7"/>
  <c r="C356" i="7"/>
  <c r="C357" i="7"/>
  <c r="C358" i="7"/>
  <c r="C349" i="7"/>
  <c r="C350" i="7"/>
  <c r="C351" i="7"/>
  <c r="C352" i="7"/>
  <c r="C353" i="7"/>
  <c r="C344" i="7"/>
  <c r="C345" i="7"/>
  <c r="C346" i="7"/>
  <c r="C347" i="7"/>
  <c r="C348" i="7"/>
  <c r="C339" i="7"/>
  <c r="C340" i="7"/>
  <c r="C341" i="7"/>
  <c r="C342" i="7"/>
  <c r="C343" i="7"/>
  <c r="C334" i="7"/>
  <c r="C335" i="7"/>
  <c r="C336" i="7"/>
  <c r="C337" i="7"/>
  <c r="C338" i="7"/>
  <c r="C329" i="7"/>
  <c r="C330" i="7"/>
  <c r="C331" i="7"/>
  <c r="C332" i="7"/>
  <c r="C333" i="7"/>
  <c r="C324" i="7"/>
  <c r="C325" i="7"/>
  <c r="C326" i="7"/>
  <c r="C327" i="7"/>
  <c r="C328" i="7"/>
  <c r="C319" i="7"/>
  <c r="C320" i="7"/>
  <c r="C321" i="7"/>
  <c r="C322" i="7"/>
  <c r="C323" i="7"/>
  <c r="C310" i="7"/>
  <c r="C311" i="7"/>
  <c r="C312" i="7"/>
  <c r="C313" i="7"/>
  <c r="C314" i="7"/>
  <c r="C315" i="7"/>
  <c r="C316" i="7"/>
  <c r="C317" i="7"/>
  <c r="C318" i="7"/>
  <c r="C301" i="7"/>
  <c r="C302" i="7"/>
  <c r="C303" i="7"/>
  <c r="C304" i="7"/>
  <c r="C305" i="7"/>
  <c r="C306" i="7"/>
  <c r="C307" i="7"/>
  <c r="C308" i="7"/>
  <c r="C309" i="7"/>
  <c r="C295" i="7"/>
  <c r="C296" i="7"/>
  <c r="C297" i="7"/>
  <c r="C298" i="7"/>
  <c r="C299" i="7"/>
  <c r="C300" i="7"/>
  <c r="C294" i="7"/>
  <c r="C293" i="7"/>
  <c r="C292" i="7"/>
  <c r="C291" i="7"/>
  <c r="D148" i="7"/>
  <c r="D156" i="7"/>
  <c r="D157" i="7"/>
  <c r="D158" i="7"/>
  <c r="D159" i="7"/>
  <c r="D160" i="7"/>
  <c r="D161" i="7"/>
  <c r="D179" i="7"/>
  <c r="D180" i="7"/>
  <c r="D198" i="7"/>
  <c r="D201" i="7"/>
  <c r="D207" i="7"/>
  <c r="D213" i="7"/>
  <c r="D214" i="7"/>
  <c r="D215" i="7"/>
  <c r="D216" i="7"/>
  <c r="D221" i="7"/>
  <c r="D222" i="7"/>
  <c r="D224" i="7"/>
  <c r="D225" i="7"/>
  <c r="D226" i="7"/>
  <c r="D228" i="7"/>
  <c r="D242" i="7"/>
  <c r="D243" i="7"/>
  <c r="D244" i="7"/>
  <c r="D246" i="7"/>
  <c r="D251" i="7"/>
  <c r="D257" i="7"/>
  <c r="D274" i="7"/>
  <c r="D277" i="7"/>
  <c r="D284" i="7"/>
  <c r="D289" i="7"/>
  <c r="C289" i="7"/>
  <c r="C148" i="7"/>
  <c r="C156" i="7"/>
  <c r="C157" i="7"/>
  <c r="C158" i="7"/>
  <c r="C159" i="7"/>
  <c r="C160" i="7"/>
  <c r="C161" i="7"/>
  <c r="C179" i="7"/>
  <c r="C180" i="7"/>
  <c r="C198" i="7"/>
  <c r="C201" i="7"/>
  <c r="C207" i="7"/>
  <c r="C213" i="7"/>
  <c r="C214" i="7"/>
  <c r="C215" i="7"/>
  <c r="C216" i="7"/>
  <c r="C221" i="7"/>
  <c r="C222" i="7"/>
  <c r="C224" i="7"/>
  <c r="C225" i="7"/>
  <c r="C226" i="7"/>
  <c r="C228" i="7"/>
  <c r="C242" i="7"/>
  <c r="C243" i="7"/>
  <c r="C244" i="7"/>
  <c r="C246" i="7"/>
  <c r="C251" i="7"/>
  <c r="C257" i="7"/>
  <c r="C274" i="7"/>
  <c r="C277" i="7"/>
  <c r="C284" i="7"/>
  <c r="S262" i="44"/>
  <c r="T262" i="44"/>
  <c r="U262" i="44"/>
  <c r="V262" i="44"/>
  <c r="W262" i="44"/>
  <c r="X262" i="44"/>
  <c r="Y262" i="44"/>
  <c r="Z262" i="44"/>
  <c r="S263" i="44"/>
  <c r="T263" i="44"/>
  <c r="U263" i="44"/>
  <c r="V263" i="44"/>
  <c r="W263" i="44"/>
  <c r="X263" i="44"/>
  <c r="Y263" i="44"/>
  <c r="Z263" i="44"/>
  <c r="S264" i="44"/>
  <c r="T264" i="44"/>
  <c r="U264" i="44"/>
  <c r="V264" i="44"/>
  <c r="W264" i="44"/>
  <c r="X264" i="44"/>
  <c r="Y264" i="44"/>
  <c r="Z264" i="44"/>
  <c r="S265" i="44"/>
  <c r="T265" i="44"/>
  <c r="U265" i="44"/>
  <c r="V265" i="44"/>
  <c r="W265" i="44"/>
  <c r="X265" i="44"/>
  <c r="Y265" i="44"/>
  <c r="Z265" i="44"/>
  <c r="S266" i="44"/>
  <c r="T266" i="44"/>
  <c r="U266" i="44"/>
  <c r="V266" i="44"/>
  <c r="W266" i="44"/>
  <c r="X266" i="44"/>
  <c r="Y266" i="44"/>
  <c r="Z266" i="44"/>
  <c r="R263" i="44"/>
  <c r="R264" i="44"/>
  <c r="R265" i="44"/>
  <c r="R266" i="44"/>
  <c r="R262" i="44"/>
  <c r="Q263" i="44"/>
  <c r="Q264" i="44"/>
  <c r="Q265" i="44"/>
  <c r="Q266" i="44"/>
  <c r="Q262" i="44"/>
  <c r="R245" i="44"/>
  <c r="S245" i="44"/>
  <c r="T245" i="44"/>
  <c r="U245" i="44"/>
  <c r="V245" i="44"/>
  <c r="W245" i="44"/>
  <c r="X245" i="44"/>
  <c r="Y245" i="44"/>
  <c r="Z245" i="44"/>
  <c r="R246" i="44"/>
  <c r="S246" i="44"/>
  <c r="T246" i="44"/>
  <c r="U246" i="44"/>
  <c r="V246" i="44"/>
  <c r="W246" i="44"/>
  <c r="X246" i="44"/>
  <c r="Y246" i="44"/>
  <c r="Z246" i="44"/>
  <c r="R247" i="44"/>
  <c r="S247" i="44"/>
  <c r="T247" i="44"/>
  <c r="U247" i="44"/>
  <c r="V247" i="44"/>
  <c r="W247" i="44"/>
  <c r="X247" i="44"/>
  <c r="Y247" i="44"/>
  <c r="Z247" i="44"/>
  <c r="R248" i="44"/>
  <c r="S248" i="44"/>
  <c r="T248" i="44"/>
  <c r="U248" i="44"/>
  <c r="V248" i="44"/>
  <c r="W248" i="44"/>
  <c r="X248" i="44"/>
  <c r="Y248" i="44"/>
  <c r="Z248" i="44"/>
  <c r="R249" i="44"/>
  <c r="S249" i="44"/>
  <c r="T249" i="44"/>
  <c r="U249" i="44"/>
  <c r="V249" i="44"/>
  <c r="W249" i="44"/>
  <c r="X249" i="44"/>
  <c r="Y249" i="44"/>
  <c r="Z249" i="44"/>
  <c r="R250" i="44"/>
  <c r="S250" i="44"/>
  <c r="T250" i="44"/>
  <c r="U250" i="44"/>
  <c r="V250" i="44"/>
  <c r="W250" i="44"/>
  <c r="X250" i="44"/>
  <c r="Y250" i="44"/>
  <c r="Z250" i="44"/>
  <c r="R251" i="44"/>
  <c r="S251" i="44"/>
  <c r="T251" i="44"/>
  <c r="U251" i="44"/>
  <c r="V251" i="44"/>
  <c r="W251" i="44"/>
  <c r="X251" i="44"/>
  <c r="Y251" i="44"/>
  <c r="Z251" i="44"/>
  <c r="R252" i="44"/>
  <c r="S252" i="44"/>
  <c r="T252" i="44"/>
  <c r="U252" i="44"/>
  <c r="V252" i="44"/>
  <c r="W252" i="44"/>
  <c r="X252" i="44"/>
  <c r="Y252" i="44"/>
  <c r="Z252" i="44"/>
  <c r="R253" i="44"/>
  <c r="S253" i="44"/>
  <c r="T253" i="44"/>
  <c r="U253" i="44"/>
  <c r="V253" i="44"/>
  <c r="W253" i="44"/>
  <c r="X253" i="44"/>
  <c r="Y253" i="44"/>
  <c r="Z253" i="44"/>
  <c r="R254" i="44"/>
  <c r="S254" i="44"/>
  <c r="T254" i="44"/>
  <c r="U254" i="44"/>
  <c r="V254" i="44"/>
  <c r="W254" i="44"/>
  <c r="X254" i="44"/>
  <c r="Y254" i="44"/>
  <c r="Z254" i="44"/>
  <c r="R255" i="44"/>
  <c r="S255" i="44"/>
  <c r="T255" i="44"/>
  <c r="U255" i="44"/>
  <c r="V255" i="44"/>
  <c r="W255" i="44"/>
  <c r="X255" i="44"/>
  <c r="Y255" i="44"/>
  <c r="Z255" i="44"/>
  <c r="R256" i="44"/>
  <c r="S256" i="44"/>
  <c r="T256" i="44"/>
  <c r="U256" i="44"/>
  <c r="V256" i="44"/>
  <c r="W256" i="44"/>
  <c r="X256" i="44"/>
  <c r="Y256" i="44"/>
  <c r="Z256" i="44"/>
  <c r="R257" i="44"/>
  <c r="S257" i="44"/>
  <c r="T257" i="44"/>
  <c r="U257" i="44"/>
  <c r="V257" i="44"/>
  <c r="W257" i="44"/>
  <c r="X257" i="44"/>
  <c r="Y257" i="44"/>
  <c r="Z257" i="44"/>
  <c r="R258" i="44"/>
  <c r="S258" i="44"/>
  <c r="T258" i="44"/>
  <c r="U258" i="44"/>
  <c r="V258" i="44"/>
  <c r="W258" i="44"/>
  <c r="X258" i="44"/>
  <c r="Y258" i="44"/>
  <c r="Z258" i="44"/>
  <c r="R259" i="44"/>
  <c r="S259" i="44"/>
  <c r="T259" i="44"/>
  <c r="U259" i="44"/>
  <c r="V259" i="44"/>
  <c r="W259" i="44"/>
  <c r="X259" i="44"/>
  <c r="Y259" i="44"/>
  <c r="Z259" i="44"/>
  <c r="R260" i="44"/>
  <c r="S260" i="44"/>
  <c r="T260" i="44"/>
  <c r="U260" i="44"/>
  <c r="V260" i="44"/>
  <c r="W260" i="44"/>
  <c r="X260" i="44"/>
  <c r="Y260" i="44"/>
  <c r="Z260" i="44"/>
  <c r="S244" i="44"/>
  <c r="T244" i="44"/>
  <c r="U244" i="44"/>
  <c r="V244" i="44"/>
  <c r="W244" i="44"/>
  <c r="X244" i="44"/>
  <c r="Y244" i="44"/>
  <c r="Z244" i="44"/>
  <c r="R244" i="44"/>
  <c r="Q245" i="44"/>
  <c r="Q246" i="44"/>
  <c r="Q247" i="44"/>
  <c r="Q248" i="44"/>
  <c r="Q249" i="44"/>
  <c r="Q250" i="44"/>
  <c r="Q251" i="44"/>
  <c r="Q252" i="44"/>
  <c r="Q253" i="44"/>
  <c r="Q254" i="44"/>
  <c r="Q255" i="44"/>
  <c r="Q256" i="44"/>
  <c r="Q257" i="44"/>
  <c r="Q258" i="44"/>
  <c r="Q259" i="44"/>
  <c r="Q260" i="44"/>
  <c r="Q244" i="44"/>
  <c r="K22" i="40" l="1"/>
  <c r="K12" i="40"/>
  <c r="K33" i="40"/>
  <c r="N13" i="39"/>
  <c r="D19" i="39"/>
  <c r="E16" i="39"/>
  <c r="N12" i="39"/>
  <c r="D20" i="39"/>
  <c r="E18" i="39" l="1"/>
  <c r="F16" i="39"/>
  <c r="F17" i="39"/>
  <c r="G17" i="39" l="1"/>
  <c r="G16" i="39"/>
  <c r="F18" i="39"/>
  <c r="F19" i="39" s="1"/>
  <c r="F20" i="39" s="1"/>
  <c r="E19" i="39"/>
  <c r="E20" i="39" l="1"/>
  <c r="H16" i="39"/>
  <c r="G18" i="39"/>
  <c r="H17" i="39"/>
  <c r="I17" i="39" l="1"/>
  <c r="G19" i="39"/>
  <c r="I16" i="39"/>
  <c r="H18" i="39"/>
  <c r="H19" i="39" s="1"/>
  <c r="H20" i="39" s="1"/>
  <c r="J16" i="39" l="1"/>
  <c r="I18" i="39"/>
  <c r="I19" i="39" s="1"/>
  <c r="G20" i="39"/>
  <c r="J17" i="39"/>
  <c r="I20" i="39"/>
  <c r="K17" i="39" l="1"/>
  <c r="K16" i="39"/>
  <c r="J18" i="39"/>
  <c r="L16" i="39" l="1"/>
  <c r="K18" i="39"/>
  <c r="K19" i="39" s="1"/>
  <c r="J19" i="39"/>
  <c r="L17" i="39"/>
  <c r="K20" i="39"/>
  <c r="M17" i="39" l="1"/>
  <c r="J20" i="39"/>
  <c r="M16" i="39"/>
  <c r="L18" i="39"/>
  <c r="L19" i="39" s="1"/>
  <c r="L20" i="39" s="1"/>
  <c r="C24" i="39"/>
  <c r="M18" i="39" l="1"/>
  <c r="N16" i="39"/>
  <c r="C25" i="39"/>
  <c r="D26" i="39" s="1"/>
  <c r="N17" i="39"/>
  <c r="D28" i="39" l="1"/>
  <c r="M27" i="39"/>
  <c r="L27" i="39"/>
  <c r="D27" i="39"/>
  <c r="K27" i="39"/>
  <c r="J27" i="39"/>
  <c r="I27" i="39"/>
  <c r="H27" i="39"/>
  <c r="G27" i="39"/>
  <c r="E27" i="39"/>
  <c r="F27" i="39"/>
  <c r="M19" i="39"/>
  <c r="N18" i="39"/>
  <c r="N27" i="39" l="1"/>
  <c r="N19" i="39"/>
  <c r="M20" i="39"/>
  <c r="C21" i="39" s="1"/>
  <c r="M29" i="39"/>
  <c r="L29" i="39"/>
  <c r="K29" i="39"/>
  <c r="J29" i="39"/>
  <c r="I29" i="39"/>
  <c r="H29" i="39"/>
  <c r="G29" i="39"/>
  <c r="F29" i="39"/>
  <c r="E29" i="39"/>
  <c r="D29" i="39"/>
  <c r="N20" i="39" l="1"/>
  <c r="C30" i="39"/>
  <c r="N29" i="39"/>
  <c r="BG53" i="50" l="1"/>
  <c r="BG5" i="50"/>
  <c r="AV53" i="50"/>
  <c r="BE5" i="50"/>
  <c r="BK4" i="50"/>
  <c r="AS35" i="50"/>
  <c r="AS33" i="50"/>
  <c r="AS29" i="50"/>
  <c r="AS14" i="50"/>
  <c r="AS23" i="50"/>
  <c r="AS51" i="50"/>
  <c r="AS50" i="50"/>
  <c r="AS49" i="50"/>
  <c r="AS31" i="50"/>
  <c r="AS47" i="50"/>
  <c r="AS46" i="50"/>
  <c r="AS45" i="50"/>
  <c r="AS44" i="50"/>
  <c r="AS43" i="50"/>
  <c r="AS42" i="50"/>
  <c r="AS41" i="50"/>
  <c r="AS24" i="50"/>
  <c r="AS25" i="50"/>
  <c r="AS12" i="50"/>
  <c r="AS34" i="50"/>
  <c r="AS32" i="50"/>
  <c r="AS30" i="50"/>
  <c r="AS28" i="50"/>
  <c r="AS22" i="50"/>
  <c r="AS20" i="50"/>
  <c r="AS19" i="50"/>
  <c r="AS18" i="50"/>
  <c r="AS17" i="50"/>
  <c r="AS16" i="50"/>
  <c r="AS15" i="50"/>
  <c r="AS13" i="50"/>
  <c r="AS9" i="50"/>
  <c r="AS36" i="50"/>
  <c r="AS6" i="50"/>
  <c r="AS37" i="50"/>
  <c r="AS26" i="50"/>
  <c r="AS27" i="50"/>
  <c r="AS7" i="50"/>
  <c r="AS8" i="50"/>
  <c r="AS5" i="50"/>
  <c r="AS21" i="50"/>
  <c r="AS10" i="50"/>
  <c r="AS11" i="50"/>
  <c r="AR6" i="50"/>
  <c r="AR9" i="50"/>
  <c r="AR10" i="50"/>
  <c r="AR11" i="50"/>
  <c r="AR12" i="50"/>
  <c r="AR13" i="50"/>
  <c r="AR14" i="50"/>
  <c r="AR15" i="50"/>
  <c r="AR16" i="50"/>
  <c r="AR23" i="50"/>
  <c r="AR24" i="50"/>
  <c r="AR25" i="50"/>
  <c r="AR26" i="50"/>
  <c r="AR27" i="50"/>
  <c r="AR28" i="50"/>
  <c r="AR29" i="50"/>
  <c r="AR30" i="50"/>
  <c r="AR31" i="50"/>
  <c r="AR32" i="50"/>
  <c r="AR33" i="50"/>
  <c r="AR34" i="50"/>
  <c r="AR35" i="50"/>
  <c r="AR36" i="50"/>
  <c r="AR79" i="50"/>
  <c r="AR85" i="50"/>
  <c r="AR98" i="50"/>
  <c r="AR99" i="50"/>
  <c r="AR100" i="50"/>
  <c r="AR101" i="50"/>
  <c r="AR102" i="50"/>
  <c r="AR103" i="50"/>
  <c r="AR104" i="50"/>
  <c r="AR105" i="50"/>
  <c r="AR106" i="50"/>
  <c r="AR107" i="50"/>
  <c r="AR108" i="50"/>
  <c r="AR109" i="50"/>
  <c r="AR110" i="50"/>
  <c r="AR113" i="50"/>
  <c r="AR114" i="50"/>
  <c r="AR115" i="50"/>
  <c r="AR116" i="50"/>
  <c r="AR117" i="50"/>
  <c r="AR5" i="50"/>
  <c r="AW5" i="50"/>
  <c r="AX5" i="50"/>
  <c r="AY5" i="50"/>
  <c r="AZ5" i="50"/>
  <c r="BA5" i="50"/>
  <c r="BB5" i="50"/>
  <c r="BC5" i="50"/>
  <c r="BD5" i="50"/>
  <c r="AV5" i="50"/>
  <c r="AW53" i="50"/>
  <c r="AX53" i="50"/>
  <c r="AY53" i="50"/>
  <c r="AZ53" i="50"/>
  <c r="BA53" i="50"/>
  <c r="BB53" i="50"/>
  <c r="BC53" i="50"/>
  <c r="BD53" i="50"/>
  <c r="BE53" i="50"/>
  <c r="AQ76" i="50"/>
  <c r="AQ77" i="50"/>
  <c r="AQ79" i="50"/>
  <c r="AQ85" i="50"/>
  <c r="AQ88" i="50"/>
  <c r="AQ91" i="50"/>
  <c r="AQ96" i="50"/>
  <c r="AQ100" i="50"/>
  <c r="AQ101" i="50"/>
  <c r="AQ102" i="50"/>
  <c r="AQ103" i="50"/>
  <c r="AQ109" i="50"/>
  <c r="AQ113" i="50"/>
  <c r="AQ114" i="50"/>
  <c r="AQ115" i="50"/>
  <c r="U53" i="50"/>
  <c r="V53" i="50"/>
  <c r="W53" i="50"/>
  <c r="X53" i="50"/>
  <c r="Y53" i="50"/>
  <c r="AJ53" i="50" s="1"/>
  <c r="Z53" i="50"/>
  <c r="AK53" i="50" s="1"/>
  <c r="AA53" i="50"/>
  <c r="AL53" i="50" s="1"/>
  <c r="AB53" i="50"/>
  <c r="AM53" i="50" s="1"/>
  <c r="AC53" i="50"/>
  <c r="AN53" i="50" s="1"/>
  <c r="T53" i="50"/>
  <c r="AQ23" i="50"/>
  <c r="AQ24" i="50"/>
  <c r="AQ25" i="50"/>
  <c r="AQ26" i="50"/>
  <c r="AQ27" i="50"/>
  <c r="AQ28" i="50"/>
  <c r="AQ29" i="50"/>
  <c r="AQ30" i="50"/>
  <c r="AQ31" i="50"/>
  <c r="AQ32" i="50"/>
  <c r="AQ33" i="50"/>
  <c r="AQ34" i="50"/>
  <c r="AQ35" i="50"/>
  <c r="AQ36" i="50"/>
  <c r="AQ81" i="50"/>
  <c r="AQ83" i="50"/>
  <c r="AQ86" i="50"/>
  <c r="AQ94" i="50"/>
  <c r="AQ98" i="50"/>
  <c r="AQ99" i="50"/>
  <c r="AQ104" i="50"/>
  <c r="AQ105" i="50"/>
  <c r="AQ106" i="50"/>
  <c r="AQ107" i="50"/>
  <c r="AQ110" i="50"/>
  <c r="AQ111" i="50"/>
  <c r="AQ116" i="50"/>
  <c r="AQ117" i="50"/>
  <c r="AQ6" i="50"/>
  <c r="AQ9" i="50"/>
  <c r="AQ10" i="50"/>
  <c r="AQ11" i="50"/>
  <c r="AQ12" i="50"/>
  <c r="AQ13" i="50"/>
  <c r="AQ14" i="50"/>
  <c r="AQ15" i="50"/>
  <c r="AQ16" i="50"/>
  <c r="U5" i="50"/>
  <c r="V5" i="50"/>
  <c r="W5" i="50"/>
  <c r="X5" i="50"/>
  <c r="Y5" i="50"/>
  <c r="Z5" i="50"/>
  <c r="AA5" i="50"/>
  <c r="AB5" i="50"/>
  <c r="AM5" i="50" s="1"/>
  <c r="AC5" i="50"/>
  <c r="AN5" i="50" s="1"/>
  <c r="T5" i="50"/>
  <c r="AQ5" i="50"/>
  <c r="AF53" i="50"/>
  <c r="AG53" i="50"/>
  <c r="AH53" i="50"/>
  <c r="AI53" i="50"/>
  <c r="AE53" i="50"/>
  <c r="AF5" i="50"/>
  <c r="AG5" i="50"/>
  <c r="AH5" i="50"/>
  <c r="AI5" i="50"/>
  <c r="AJ5" i="50"/>
  <c r="AK5" i="50"/>
  <c r="AL5" i="50"/>
  <c r="AE5" i="50"/>
  <c r="BT9" i="49"/>
  <c r="C166" i="7" s="1"/>
  <c r="BE15" i="49"/>
  <c r="BE116" i="49"/>
  <c r="BE143" i="49"/>
  <c r="BE145" i="49"/>
  <c r="BE160" i="49"/>
  <c r="BT71" i="49" s="1"/>
  <c r="C230" i="7" s="1"/>
  <c r="BE178" i="49"/>
  <c r="BT82" i="49" s="1"/>
  <c r="C240" i="7" s="1"/>
  <c r="BE196" i="49"/>
  <c r="BE197" i="49"/>
  <c r="BE198" i="49"/>
  <c r="BE201" i="49"/>
  <c r="BE203" i="49"/>
  <c r="BE211" i="49"/>
  <c r="BE231" i="49"/>
  <c r="BE232" i="49"/>
  <c r="BP244" i="49"/>
  <c r="BP245" i="49"/>
  <c r="BP246" i="49"/>
  <c r="BP247" i="49"/>
  <c r="BP248" i="49"/>
  <c r="BP249" i="49"/>
  <c r="BP250" i="49"/>
  <c r="BP251" i="49"/>
  <c r="BP252" i="49"/>
  <c r="BP253" i="49"/>
  <c r="BF53" i="49"/>
  <c r="BH85" i="49"/>
  <c r="BJ232" i="49"/>
  <c r="BD10" i="49"/>
  <c r="BD13" i="49"/>
  <c r="BD16" i="49"/>
  <c r="BD19" i="49"/>
  <c r="BD22" i="49"/>
  <c r="BD27" i="49"/>
  <c r="BD30" i="49"/>
  <c r="BD40" i="49"/>
  <c r="BD48" i="49"/>
  <c r="BD49" i="49"/>
  <c r="BD50" i="49"/>
  <c r="BD55" i="49"/>
  <c r="BD56" i="49"/>
  <c r="BD58" i="49"/>
  <c r="BD59" i="49"/>
  <c r="BD60" i="49"/>
  <c r="BD72" i="49"/>
  <c r="BD75" i="49"/>
  <c r="BD83" i="49"/>
  <c r="BD84" i="49"/>
  <c r="BD85" i="49"/>
  <c r="BD86" i="49"/>
  <c r="BD88" i="49"/>
  <c r="BD90" i="49"/>
  <c r="BD91" i="49"/>
  <c r="BD92" i="49"/>
  <c r="BD94" i="49"/>
  <c r="BD96" i="49"/>
  <c r="BD110" i="49"/>
  <c r="BD111" i="49"/>
  <c r="BD121" i="49"/>
  <c r="BD122" i="49"/>
  <c r="BD127" i="49"/>
  <c r="BD128" i="49"/>
  <c r="BD130" i="49"/>
  <c r="BD140" i="49"/>
  <c r="BD148" i="49"/>
  <c r="BD149" i="49"/>
  <c r="BD151" i="49"/>
  <c r="BD155" i="49"/>
  <c r="BD161" i="49"/>
  <c r="BD169" i="49"/>
  <c r="BD170" i="49"/>
  <c r="BD174" i="49"/>
  <c r="BD180" i="49"/>
  <c r="BD184" i="49"/>
  <c r="BD191" i="49"/>
  <c r="BD214" i="49"/>
  <c r="BB93" i="49"/>
  <c r="BD93" i="49" s="1"/>
  <c r="BE93" i="49" s="1"/>
  <c r="BT37" i="49" s="1"/>
  <c r="C233" i="7" s="1"/>
  <c r="BB8" i="49"/>
  <c r="BD8" i="49" s="1"/>
  <c r="BB9" i="49"/>
  <c r="BD9" i="49" s="1"/>
  <c r="BE9" i="49" s="1"/>
  <c r="BT7" i="49" s="1"/>
  <c r="C164" i="7" s="1"/>
  <c r="BB11" i="49"/>
  <c r="BD11" i="49" s="1"/>
  <c r="BB12" i="49"/>
  <c r="BD12" i="49" s="1"/>
  <c r="BE12" i="49" s="1"/>
  <c r="BT8" i="49" s="1"/>
  <c r="C165" i="7" s="1"/>
  <c r="BB14" i="49"/>
  <c r="BD14" i="49" s="1"/>
  <c r="BB15" i="49"/>
  <c r="BD15" i="49" s="1"/>
  <c r="BB17" i="49"/>
  <c r="BD17" i="49" s="1"/>
  <c r="BB18" i="49"/>
  <c r="BD18" i="49" s="1"/>
  <c r="BE18" i="49" s="1"/>
  <c r="BT10" i="49" s="1"/>
  <c r="C167" i="7" s="1"/>
  <c r="BB20" i="49"/>
  <c r="BD20" i="49" s="1"/>
  <c r="BB21" i="49"/>
  <c r="BD21" i="49" s="1"/>
  <c r="BE21" i="49" s="1"/>
  <c r="BT11" i="49" s="1"/>
  <c r="C168" i="7" s="1"/>
  <c r="BB23" i="49"/>
  <c r="BD23" i="49" s="1"/>
  <c r="BB24" i="49"/>
  <c r="BD24" i="49" s="1"/>
  <c r="BB25" i="49"/>
  <c r="BD25" i="49" s="1"/>
  <c r="BB26" i="49"/>
  <c r="BD26" i="49" s="1"/>
  <c r="BE26" i="49" s="1"/>
  <c r="BT13" i="49" s="1"/>
  <c r="C170" i="7" s="1"/>
  <c r="BB28" i="49"/>
  <c r="BD28" i="49" s="1"/>
  <c r="BB29" i="49"/>
  <c r="BD29" i="49" s="1"/>
  <c r="BE29" i="49" s="1"/>
  <c r="BT14" i="49" s="1"/>
  <c r="C172" i="7" s="1"/>
  <c r="BB31" i="49"/>
  <c r="BD31" i="49" s="1"/>
  <c r="BB32" i="49"/>
  <c r="BD32" i="49" s="1"/>
  <c r="BE32" i="49" s="1"/>
  <c r="BT15" i="49" s="1"/>
  <c r="C202" i="7" s="1"/>
  <c r="BB33" i="49"/>
  <c r="BB35" i="49"/>
  <c r="BB36" i="49"/>
  <c r="BD36" i="49" s="1"/>
  <c r="BB37" i="49"/>
  <c r="BD37" i="49" s="1"/>
  <c r="BE37" i="49" s="1"/>
  <c r="BT17" i="49" s="1"/>
  <c r="C145" i="7" s="1"/>
  <c r="BB38" i="49"/>
  <c r="BD38" i="49" s="1"/>
  <c r="BE38" i="49" s="1"/>
  <c r="BT18" i="49" s="1"/>
  <c r="C146" i="7" s="1"/>
  <c r="BB39" i="49"/>
  <c r="BD39" i="49" s="1"/>
  <c r="BB41" i="49"/>
  <c r="BB42" i="49"/>
  <c r="BB43" i="49"/>
  <c r="BB44" i="49"/>
  <c r="BB45" i="49"/>
  <c r="BD45" i="49" s="1"/>
  <c r="BE45" i="49" s="1"/>
  <c r="BB46" i="49"/>
  <c r="BD46" i="49" s="1"/>
  <c r="BE46" i="49" s="1"/>
  <c r="BT21" i="49" s="1"/>
  <c r="C149" i="7" s="1"/>
  <c r="BB47" i="49"/>
  <c r="BD47" i="49" s="1"/>
  <c r="BB51" i="49"/>
  <c r="BD51" i="49" s="1"/>
  <c r="BE51" i="49" s="1"/>
  <c r="BT22" i="49" s="1"/>
  <c r="C150" i="7" s="1"/>
  <c r="BB52" i="49"/>
  <c r="BB53" i="49"/>
  <c r="BB54" i="49"/>
  <c r="BD54" i="49" s="1"/>
  <c r="BE54" i="49" s="1"/>
  <c r="BT24" i="49" s="1"/>
  <c r="C152" i="7" s="1"/>
  <c r="BB57" i="49"/>
  <c r="BD57" i="49" s="1"/>
  <c r="BE57" i="49" s="1"/>
  <c r="BB61" i="49"/>
  <c r="BD61" i="49" s="1"/>
  <c r="BE61" i="49" s="1"/>
  <c r="BT25" i="49" s="1"/>
  <c r="C154" i="7" s="1"/>
  <c r="BB62" i="49"/>
  <c r="BD62" i="49" s="1"/>
  <c r="BB63" i="49"/>
  <c r="BB64" i="49"/>
  <c r="BB65" i="49"/>
  <c r="BD65" i="49" s="1"/>
  <c r="BE65" i="49" s="1"/>
  <c r="BB66" i="49"/>
  <c r="BB67" i="49"/>
  <c r="BD67" i="49" s="1"/>
  <c r="BE67" i="49" s="1"/>
  <c r="BB68" i="49"/>
  <c r="BD68" i="49" s="1"/>
  <c r="BE68" i="49" s="1"/>
  <c r="BB69" i="49"/>
  <c r="BD69" i="49" s="1"/>
  <c r="BE69" i="49" s="1"/>
  <c r="BT28" i="49" s="1"/>
  <c r="C162" i="7" s="1"/>
  <c r="BB70" i="49"/>
  <c r="BD70" i="49" s="1"/>
  <c r="BB71" i="49"/>
  <c r="BD71" i="49" s="1"/>
  <c r="BE71" i="49" s="1"/>
  <c r="BT29" i="49" s="1"/>
  <c r="C163" i="7" s="1"/>
  <c r="BB73" i="49"/>
  <c r="BD73" i="49" s="1"/>
  <c r="BB74" i="49"/>
  <c r="BD74" i="49" s="1"/>
  <c r="BE74" i="49" s="1"/>
  <c r="BT30" i="49" s="1"/>
  <c r="C171" i="7" s="1"/>
  <c r="BB76" i="49"/>
  <c r="BD76" i="49" s="1"/>
  <c r="BB77" i="49"/>
  <c r="BD77" i="49" s="1"/>
  <c r="BE77" i="49" s="1"/>
  <c r="BT31" i="49" s="1"/>
  <c r="C175" i="7" s="1"/>
  <c r="BB78" i="49"/>
  <c r="BD78" i="49" s="1"/>
  <c r="BB79" i="49"/>
  <c r="BD79" i="49" s="1"/>
  <c r="BE79" i="49" s="1"/>
  <c r="BB80" i="49"/>
  <c r="BD80" i="49" s="1"/>
  <c r="BE80" i="49" s="1"/>
  <c r="BT33" i="49" s="1"/>
  <c r="C178" i="7" s="1"/>
  <c r="BB81" i="49"/>
  <c r="BD81" i="49" s="1"/>
  <c r="BB82" i="49"/>
  <c r="BD82" i="49" s="1"/>
  <c r="BB87" i="49"/>
  <c r="BD87" i="49" s="1"/>
  <c r="BB89" i="49"/>
  <c r="BD89" i="49" s="1"/>
  <c r="BE89" i="49" s="1"/>
  <c r="BT36" i="49" s="1"/>
  <c r="C183" i="7" s="1"/>
  <c r="BB95" i="49"/>
  <c r="BD95" i="49" s="1"/>
  <c r="BB97" i="49"/>
  <c r="BD97" i="49" s="1"/>
  <c r="BE97" i="49" s="1"/>
  <c r="BT38" i="49" s="1"/>
  <c r="C184" i="7" s="1"/>
  <c r="BB98" i="49"/>
  <c r="BD98" i="49" s="1"/>
  <c r="BB99" i="49"/>
  <c r="BD99" i="49" s="1"/>
  <c r="BE99" i="49" s="1"/>
  <c r="BT39" i="49" s="1"/>
  <c r="C185" i="7" s="1"/>
  <c r="BB100" i="49"/>
  <c r="BD100" i="49" s="1"/>
  <c r="BE100" i="49" s="1"/>
  <c r="BT40" i="49" s="1"/>
  <c r="C187" i="7" s="1"/>
  <c r="BB101" i="49"/>
  <c r="BD101" i="49" s="1"/>
  <c r="BE101" i="49" s="1"/>
  <c r="BT41" i="49" s="1"/>
  <c r="C188" i="7" s="1"/>
  <c r="BB102" i="49"/>
  <c r="BD102" i="49" s="1"/>
  <c r="BE102" i="49" s="1"/>
  <c r="BT42" i="49" s="1"/>
  <c r="C190" i="7" s="1"/>
  <c r="BB103" i="49"/>
  <c r="BD103" i="49" s="1"/>
  <c r="BB104" i="49"/>
  <c r="BB105" i="49"/>
  <c r="BB106" i="49"/>
  <c r="BD106" i="49" s="1"/>
  <c r="BE106" i="49" s="1"/>
  <c r="BB107" i="49"/>
  <c r="BB108" i="49"/>
  <c r="BB109" i="49"/>
  <c r="BD109" i="49" s="1"/>
  <c r="BE109" i="49" s="1"/>
  <c r="BT45" i="49" s="1"/>
  <c r="C192" i="7" s="1"/>
  <c r="BB112" i="49"/>
  <c r="BD112" i="49" s="1"/>
  <c r="BB113" i="49"/>
  <c r="BD113" i="49" s="1"/>
  <c r="BE113" i="49" s="1"/>
  <c r="BT46" i="49" s="1"/>
  <c r="C193" i="7" s="1"/>
  <c r="BB114" i="49"/>
  <c r="BD114" i="49" s="1"/>
  <c r="BE114" i="49" s="1"/>
  <c r="BT47" i="49" s="1"/>
  <c r="C194" i="7" s="1"/>
  <c r="BB115" i="49"/>
  <c r="BB116" i="49"/>
  <c r="BB117" i="49"/>
  <c r="BD117" i="49" s="1"/>
  <c r="BE117" i="49" s="1"/>
  <c r="BB118" i="49"/>
  <c r="BD118" i="49" s="1"/>
  <c r="BE118" i="49" s="1"/>
  <c r="BB119" i="49"/>
  <c r="BD119" i="49" s="1"/>
  <c r="BE119" i="49" s="1"/>
  <c r="BT50" i="49" s="1"/>
  <c r="C197" i="7" s="1"/>
  <c r="BB120" i="49"/>
  <c r="BD120" i="49" s="1"/>
  <c r="BE120" i="49" s="1"/>
  <c r="BT51" i="49" s="1"/>
  <c r="C265" i="7" s="1"/>
  <c r="BB123" i="49"/>
  <c r="BD123" i="49" s="1"/>
  <c r="BB126" i="49"/>
  <c r="BD126" i="49" s="1"/>
  <c r="BE126" i="49" s="1"/>
  <c r="BT52" i="49" s="1"/>
  <c r="C203" i="7" s="1"/>
  <c r="BB129" i="49"/>
  <c r="BD129" i="49" s="1"/>
  <c r="BB131" i="49"/>
  <c r="BD131" i="49" s="1"/>
  <c r="BE131" i="49" s="1"/>
  <c r="BT53" i="49" s="1"/>
  <c r="C204" i="7" s="1"/>
  <c r="BB132" i="49"/>
  <c r="BD132" i="49" s="1"/>
  <c r="BE132" i="49" s="1"/>
  <c r="BT54" i="49" s="1"/>
  <c r="C205" i="7" s="1"/>
  <c r="BB133" i="49"/>
  <c r="BD133" i="49" s="1"/>
  <c r="BB134" i="49"/>
  <c r="BD134" i="49" s="1"/>
  <c r="BE134" i="49" s="1"/>
  <c r="BT56" i="49" s="1"/>
  <c r="C153" i="7" s="1"/>
  <c r="BB135" i="49"/>
  <c r="BD135" i="49" s="1"/>
  <c r="BB136" i="49"/>
  <c r="BD136" i="49" s="1"/>
  <c r="BB137" i="49"/>
  <c r="BD137" i="49" s="1"/>
  <c r="BE137" i="49" s="1"/>
  <c r="BT58" i="49" s="1"/>
  <c r="C209" i="7" s="1"/>
  <c r="BB138" i="49"/>
  <c r="BD138" i="49" s="1"/>
  <c r="BE138" i="49" s="1"/>
  <c r="BT59" i="49" s="1"/>
  <c r="C210" i="7" s="1"/>
  <c r="BB139" i="49"/>
  <c r="BD139" i="49" s="1"/>
  <c r="BE139" i="49" s="1"/>
  <c r="BT60" i="49" s="1"/>
  <c r="C211" i="7" s="1"/>
  <c r="BB141" i="49"/>
  <c r="BD141" i="49" s="1"/>
  <c r="BE141" i="49" s="1"/>
  <c r="BT61" i="49" s="1"/>
  <c r="C212" i="7" s="1"/>
  <c r="BB142" i="49"/>
  <c r="BD142" i="49" s="1"/>
  <c r="BE142" i="49" s="1"/>
  <c r="BT62" i="49" s="1"/>
  <c r="C139" i="7" s="1"/>
  <c r="BB143" i="49"/>
  <c r="BB144" i="49"/>
  <c r="BB145" i="49"/>
  <c r="BD144" i="49" s="1"/>
  <c r="BE144" i="49" s="1"/>
  <c r="BT63" i="49" s="1"/>
  <c r="C138" i="7" s="1"/>
  <c r="BB146" i="49"/>
  <c r="BD146" i="49" s="1"/>
  <c r="BE146" i="49" s="1"/>
  <c r="BT64" i="49" s="1"/>
  <c r="C217" i="7" s="1"/>
  <c r="BB147" i="49"/>
  <c r="BD147" i="49" s="1"/>
  <c r="BE147" i="49" s="1"/>
  <c r="BT65" i="49" s="1"/>
  <c r="C218" i="7" s="1"/>
  <c r="BB150" i="49"/>
  <c r="BD150" i="49" s="1"/>
  <c r="BB152" i="49"/>
  <c r="BD152" i="49" s="1"/>
  <c r="BB153" i="49"/>
  <c r="BD153" i="49" s="1"/>
  <c r="BE153" i="49" s="1"/>
  <c r="BT67" i="49" s="1"/>
  <c r="C220" i="7" s="1"/>
  <c r="BB154" i="49"/>
  <c r="BD154" i="49" s="1"/>
  <c r="BB156" i="49"/>
  <c r="BD156" i="49" s="1"/>
  <c r="BE156" i="49" s="1"/>
  <c r="BT68" i="49" s="1"/>
  <c r="C223" i="7" s="1"/>
  <c r="BB157" i="49"/>
  <c r="BD157" i="49" s="1"/>
  <c r="BB158" i="49"/>
  <c r="BD158" i="49" s="1"/>
  <c r="BE158" i="49" s="1"/>
  <c r="BT69" i="49" s="1"/>
  <c r="C227" i="7" s="1"/>
  <c r="BB159" i="49"/>
  <c r="BD159" i="49" s="1"/>
  <c r="BE159" i="49" s="1"/>
  <c r="BT70" i="49" s="1"/>
  <c r="C229" i="7" s="1"/>
  <c r="BB160" i="49"/>
  <c r="BD160" i="49" s="1"/>
  <c r="BB162" i="49"/>
  <c r="BD162" i="49" s="1"/>
  <c r="BE162" i="49" s="1"/>
  <c r="BT72" i="49" s="1"/>
  <c r="C231" i="7" s="1"/>
  <c r="BB163" i="49"/>
  <c r="BD163" i="49" s="1"/>
  <c r="BE163" i="49" s="1"/>
  <c r="BT73" i="49" s="1"/>
  <c r="C239" i="7" s="1"/>
  <c r="BB164" i="49"/>
  <c r="BD164" i="49" s="1"/>
  <c r="BE164" i="49" s="1"/>
  <c r="BT74" i="49" s="1"/>
  <c r="C232" i="7" s="1"/>
  <c r="BB165" i="49"/>
  <c r="BD165" i="49" s="1"/>
  <c r="BB166" i="49"/>
  <c r="BD166" i="49" s="1"/>
  <c r="BE166" i="49" s="1"/>
  <c r="BT76" i="49" s="1"/>
  <c r="C143" i="7" s="1"/>
  <c r="BB167" i="49"/>
  <c r="BD167" i="49" s="1"/>
  <c r="BE167" i="49" s="1"/>
  <c r="BT77" i="49" s="1"/>
  <c r="C174" i="7" s="1"/>
  <c r="BB168" i="49"/>
  <c r="BD168" i="49" s="1"/>
  <c r="BE168" i="49" s="1"/>
  <c r="BT78" i="49" s="1"/>
  <c r="C182" i="7" s="1"/>
  <c r="BB169" i="49"/>
  <c r="BB171" i="49"/>
  <c r="BD171" i="49" s="1"/>
  <c r="BE171" i="49" s="1"/>
  <c r="BT79" i="49" s="1"/>
  <c r="C236" i="7" s="1"/>
  <c r="BB172" i="49"/>
  <c r="BD172" i="49" s="1"/>
  <c r="BB173" i="49"/>
  <c r="BD173" i="49" s="1"/>
  <c r="BE173" i="49" s="1"/>
  <c r="BT80" i="49" s="1"/>
  <c r="C237" i="7" s="1"/>
  <c r="BB175" i="49"/>
  <c r="BD175" i="49" s="1"/>
  <c r="BB176" i="49"/>
  <c r="BD176" i="49" s="1"/>
  <c r="BE176" i="49" s="1"/>
  <c r="BT81" i="49" s="1"/>
  <c r="C238" i="7" s="1"/>
  <c r="BB177" i="49"/>
  <c r="BD177" i="49" s="1"/>
  <c r="BB178" i="49"/>
  <c r="BD178" i="49" s="1"/>
  <c r="BB179" i="49"/>
  <c r="BD179" i="49" s="1"/>
  <c r="BB181" i="49"/>
  <c r="BD181" i="49" s="1"/>
  <c r="BB182" i="49"/>
  <c r="BD182" i="49" s="1"/>
  <c r="BE182" i="49" s="1"/>
  <c r="BT83" i="49" s="1"/>
  <c r="C266" i="7" s="1"/>
  <c r="BB183" i="49"/>
  <c r="BD183" i="49" s="1"/>
  <c r="BE183" i="49" s="1"/>
  <c r="BT84" i="49" s="1"/>
  <c r="C234" i="7" s="1"/>
  <c r="BB185" i="49"/>
  <c r="BD185" i="49" s="1"/>
  <c r="BE185" i="49" s="1"/>
  <c r="BT85" i="49" s="1"/>
  <c r="C241" i="7" s="1"/>
  <c r="BB186" i="49"/>
  <c r="BD186" i="49" s="1"/>
  <c r="BE186" i="49" s="1"/>
  <c r="BT86" i="49" s="1"/>
  <c r="C245" i="7" s="1"/>
  <c r="BB187" i="49"/>
  <c r="BD187" i="49" s="1"/>
  <c r="BE187" i="49" s="1"/>
  <c r="BT87" i="49" s="1"/>
  <c r="C247" i="7" s="1"/>
  <c r="BB188" i="49"/>
  <c r="BD188" i="49" s="1"/>
  <c r="BE188" i="49" s="1"/>
  <c r="BB189" i="49"/>
  <c r="BD189" i="49" s="1"/>
  <c r="BE189" i="49" s="1"/>
  <c r="BB190" i="49"/>
  <c r="BD190" i="49" s="1"/>
  <c r="BE190" i="49" s="1"/>
  <c r="BT89" i="49" s="1"/>
  <c r="C249" i="7" s="1"/>
  <c r="BB192" i="49"/>
  <c r="BD192" i="49" s="1"/>
  <c r="BB193" i="49"/>
  <c r="BD193" i="49" s="1"/>
  <c r="BE193" i="49" s="1"/>
  <c r="BT90" i="49" s="1"/>
  <c r="C250" i="7" s="1"/>
  <c r="BB194" i="49"/>
  <c r="BD194" i="49" s="1"/>
  <c r="BE194" i="49" s="1"/>
  <c r="BT91" i="49" s="1"/>
  <c r="C252" i="7" s="1"/>
  <c r="BB195" i="49"/>
  <c r="BB196" i="49"/>
  <c r="BB197" i="49"/>
  <c r="BB198" i="49"/>
  <c r="BB199" i="49"/>
  <c r="BD199" i="49" s="1"/>
  <c r="BE199" i="49" s="1"/>
  <c r="BT93" i="49" s="1"/>
  <c r="C254" i="7" s="1"/>
  <c r="BB200" i="49"/>
  <c r="BD200" i="49" s="1"/>
  <c r="BE200" i="49" s="1"/>
  <c r="BT94" i="49" s="1"/>
  <c r="C186" i="7" s="1"/>
  <c r="BB201" i="49"/>
  <c r="BB202" i="49"/>
  <c r="BB203" i="49"/>
  <c r="BB204" i="49"/>
  <c r="BD204" i="49" s="1"/>
  <c r="BB205" i="49"/>
  <c r="BD205" i="49" s="1"/>
  <c r="BE205" i="49" s="1"/>
  <c r="BT96" i="49" s="1"/>
  <c r="C256" i="7" s="1"/>
  <c r="BB206" i="49"/>
  <c r="BD206" i="49" s="1"/>
  <c r="BE206" i="49" s="1"/>
  <c r="BT97" i="49" s="1"/>
  <c r="C258" i="7" s="1"/>
  <c r="BB207" i="49"/>
  <c r="BD207" i="49" s="1"/>
  <c r="BB208" i="49"/>
  <c r="BD208" i="49" s="1"/>
  <c r="BE208" i="49" s="1"/>
  <c r="BT99" i="49" s="1"/>
  <c r="C260" i="7" s="1"/>
  <c r="BB209" i="49"/>
  <c r="BD209" i="49" s="1"/>
  <c r="BE209" i="49" s="1"/>
  <c r="BT100" i="49" s="1"/>
  <c r="C261" i="7" s="1"/>
  <c r="BB210" i="49"/>
  <c r="BB211" i="49"/>
  <c r="BB212" i="49"/>
  <c r="BD212" i="49" s="1"/>
  <c r="BE212" i="49" s="1"/>
  <c r="BT102" i="49" s="1"/>
  <c r="C263" i="7" s="1"/>
  <c r="BB213" i="49"/>
  <c r="BD213" i="49" s="1"/>
  <c r="BE213" i="49" s="1"/>
  <c r="BT103" i="49" s="1"/>
  <c r="C264" i="7" s="1"/>
  <c r="BB215" i="49"/>
  <c r="BD215" i="49" s="1"/>
  <c r="BB216" i="49"/>
  <c r="BD216" i="49" s="1"/>
  <c r="BE216" i="49" s="1"/>
  <c r="BT104" i="49" s="1"/>
  <c r="C267" i="7" s="1"/>
  <c r="BB217" i="49"/>
  <c r="BD217" i="49" s="1"/>
  <c r="BB218" i="49"/>
  <c r="BD218" i="49" s="1"/>
  <c r="BE218" i="49" s="1"/>
  <c r="BT106" i="49" s="1"/>
  <c r="C142" i="7" s="1"/>
  <c r="BB219" i="49"/>
  <c r="BD219" i="49" s="1"/>
  <c r="BE219" i="49" s="1"/>
  <c r="BT107" i="49" s="1"/>
  <c r="C268" i="7" s="1"/>
  <c r="BB220" i="49"/>
  <c r="BD220" i="49" s="1"/>
  <c r="BE220" i="49" s="1"/>
  <c r="BT108" i="49" s="1"/>
  <c r="C269" i="7" s="1"/>
  <c r="BB221" i="49"/>
  <c r="BD221" i="49" s="1"/>
  <c r="BB222" i="49"/>
  <c r="BD222" i="49" s="1"/>
  <c r="BE222" i="49" s="1"/>
  <c r="BT109" i="49" s="1"/>
  <c r="C270" i="7" s="1"/>
  <c r="BB223" i="49"/>
  <c r="BD223" i="49" s="1"/>
  <c r="BE223" i="49" s="1"/>
  <c r="BT110" i="49" s="1"/>
  <c r="C271" i="7" s="1"/>
  <c r="BB224" i="49"/>
  <c r="BD224" i="49" s="1"/>
  <c r="BE224" i="49" s="1"/>
  <c r="BT111" i="49" s="1"/>
  <c r="C272" i="7" s="1"/>
  <c r="BB225" i="49"/>
  <c r="BD225" i="49" s="1"/>
  <c r="BB226" i="49"/>
  <c r="BD226" i="49" s="1"/>
  <c r="BE226" i="49" s="1"/>
  <c r="BT112" i="49" s="1"/>
  <c r="C273" i="7" s="1"/>
  <c r="BB227" i="49"/>
  <c r="BD227" i="49" s="1"/>
  <c r="BE227" i="49" s="1"/>
  <c r="BT113" i="49" s="1"/>
  <c r="C144" i="7" s="1"/>
  <c r="BB228" i="49"/>
  <c r="BD228" i="49" s="1"/>
  <c r="BE228" i="49" s="1"/>
  <c r="BT114" i="49" s="1"/>
  <c r="C275" i="7" s="1"/>
  <c r="BB229" i="49"/>
  <c r="BD229" i="49" s="1"/>
  <c r="BE229" i="49" s="1"/>
  <c r="BT115" i="49" s="1"/>
  <c r="C276" i="7" s="1"/>
  <c r="BB230" i="49"/>
  <c r="BB231" i="49"/>
  <c r="BB232" i="49"/>
  <c r="BB233" i="49"/>
  <c r="BD233" i="49" s="1"/>
  <c r="BE233" i="49" s="1"/>
  <c r="BT117" i="49" s="1"/>
  <c r="C278" i="7" s="1"/>
  <c r="BB234" i="49"/>
  <c r="BD234" i="49" s="1"/>
  <c r="BB235" i="49"/>
  <c r="BD235" i="49" s="1"/>
  <c r="BE235" i="49" s="1"/>
  <c r="BT118" i="49" s="1"/>
  <c r="C279" i="7" s="1"/>
  <c r="BB236" i="49"/>
  <c r="BD236" i="49" s="1"/>
  <c r="BB237" i="49"/>
  <c r="BD237" i="49" s="1"/>
  <c r="BE237" i="49" s="1"/>
  <c r="BT119" i="49" s="1"/>
  <c r="C280" i="7" s="1"/>
  <c r="BB238" i="49"/>
  <c r="BD238" i="49" s="1"/>
  <c r="BE238" i="49" s="1"/>
  <c r="BT120" i="49" s="1"/>
  <c r="C282" i="7" s="1"/>
  <c r="BB239" i="49"/>
  <c r="BD239" i="49" s="1"/>
  <c r="BE239" i="49" s="1"/>
  <c r="BT121" i="49" s="1"/>
  <c r="C283" i="7" s="1"/>
  <c r="BB240" i="49"/>
  <c r="BD240" i="49" s="1"/>
  <c r="BE240" i="49" s="1"/>
  <c r="BT122" i="49" s="1"/>
  <c r="C285" i="7" s="1"/>
  <c r="BB241" i="49"/>
  <c r="BD241" i="49" s="1"/>
  <c r="BE241" i="49" s="1"/>
  <c r="BT123" i="49" s="1"/>
  <c r="C286" i="7" s="1"/>
  <c r="BB242" i="49"/>
  <c r="BD242" i="49" s="1"/>
  <c r="BE242" i="49" s="1"/>
  <c r="BT124" i="49" s="1"/>
  <c r="C287" i="7" s="1"/>
  <c r="BB243" i="49"/>
  <c r="BD243" i="49" s="1"/>
  <c r="BE243" i="49" s="1"/>
  <c r="BT125" i="49" s="1"/>
  <c r="C288" i="7" s="1"/>
  <c r="BB6" i="49"/>
  <c r="BD6" i="49" s="1"/>
  <c r="BE6" i="49" s="1"/>
  <c r="BT6" i="49" s="1"/>
  <c r="C177" i="7" s="1"/>
  <c r="BC7" i="49"/>
  <c r="BC8" i="49"/>
  <c r="BC9" i="49"/>
  <c r="BC10" i="49"/>
  <c r="BC11" i="49"/>
  <c r="BC12" i="49"/>
  <c r="BC13" i="49"/>
  <c r="BC14" i="49"/>
  <c r="BC15" i="49"/>
  <c r="BC16" i="49"/>
  <c r="BC17" i="49"/>
  <c r="BC18" i="49"/>
  <c r="BC19" i="49"/>
  <c r="BC20" i="49"/>
  <c r="BC21" i="49"/>
  <c r="BC22" i="49"/>
  <c r="BC23" i="49"/>
  <c r="BC24" i="49"/>
  <c r="BC25" i="49"/>
  <c r="BC26" i="49"/>
  <c r="BC27" i="49"/>
  <c r="BC28" i="49"/>
  <c r="BC29" i="49"/>
  <c r="BC30" i="49"/>
  <c r="BC31" i="49"/>
  <c r="BC32" i="49"/>
  <c r="BC33" i="49"/>
  <c r="BC34" i="49"/>
  <c r="BC35" i="49"/>
  <c r="BC36" i="49"/>
  <c r="BC37" i="49"/>
  <c r="BC38" i="49"/>
  <c r="BC39" i="49"/>
  <c r="BC40" i="49"/>
  <c r="BC41" i="49"/>
  <c r="BC42" i="49"/>
  <c r="BC43" i="49"/>
  <c r="BC44" i="49"/>
  <c r="BC45" i="49"/>
  <c r="BC46" i="49"/>
  <c r="BC47" i="49"/>
  <c r="BC48" i="49"/>
  <c r="BC49" i="49"/>
  <c r="BC50" i="49"/>
  <c r="BC51" i="49"/>
  <c r="BC52" i="49"/>
  <c r="BC53" i="49"/>
  <c r="BC54" i="49"/>
  <c r="BC55" i="49"/>
  <c r="BC56" i="49"/>
  <c r="BC57" i="49"/>
  <c r="BC58" i="49"/>
  <c r="BC59" i="49"/>
  <c r="BC60" i="49"/>
  <c r="BC61" i="49"/>
  <c r="BC62" i="49"/>
  <c r="BC63" i="49"/>
  <c r="BC64" i="49"/>
  <c r="BC65" i="49"/>
  <c r="BC66" i="49"/>
  <c r="BC67" i="49"/>
  <c r="BC68" i="49"/>
  <c r="BC69" i="49"/>
  <c r="BC70" i="49"/>
  <c r="BC71" i="49"/>
  <c r="BC72" i="49"/>
  <c r="BC73" i="49"/>
  <c r="BC74" i="49"/>
  <c r="BC75" i="49"/>
  <c r="BC76" i="49"/>
  <c r="BC77" i="49"/>
  <c r="BC78" i="49"/>
  <c r="BC79" i="49"/>
  <c r="BC80" i="49"/>
  <c r="BC81" i="49"/>
  <c r="BC82" i="49"/>
  <c r="BC83" i="49"/>
  <c r="BC84" i="49"/>
  <c r="BC85" i="49"/>
  <c r="BC86" i="49"/>
  <c r="BC87" i="49"/>
  <c r="BC88" i="49"/>
  <c r="BC89" i="49"/>
  <c r="BC90" i="49"/>
  <c r="BC91" i="49"/>
  <c r="BC92" i="49"/>
  <c r="BC93" i="49"/>
  <c r="BC94" i="49"/>
  <c r="BC95" i="49"/>
  <c r="BC96" i="49"/>
  <c r="BC97" i="49"/>
  <c r="BC98" i="49"/>
  <c r="BC99" i="49"/>
  <c r="BC100" i="49"/>
  <c r="BC101" i="49"/>
  <c r="BC102" i="49"/>
  <c r="BC103" i="49"/>
  <c r="BC104" i="49"/>
  <c r="BC105" i="49"/>
  <c r="BC106" i="49"/>
  <c r="BC107" i="49"/>
  <c r="BC108" i="49"/>
  <c r="BC109" i="49"/>
  <c r="BC110" i="49"/>
  <c r="BC111" i="49"/>
  <c r="BC112" i="49"/>
  <c r="BC113" i="49"/>
  <c r="BC114" i="49"/>
  <c r="BC115" i="49"/>
  <c r="BC116" i="49"/>
  <c r="BC117" i="49"/>
  <c r="BC118" i="49"/>
  <c r="BC119" i="49"/>
  <c r="BC120" i="49"/>
  <c r="BC121" i="49"/>
  <c r="BC122" i="49"/>
  <c r="BC123" i="49"/>
  <c r="BC126" i="49"/>
  <c r="BC127" i="49"/>
  <c r="BC128" i="49"/>
  <c r="BC129" i="49"/>
  <c r="BC130" i="49"/>
  <c r="BC131" i="49"/>
  <c r="BC132" i="49"/>
  <c r="BC133" i="49"/>
  <c r="BC134" i="49"/>
  <c r="BC135" i="49"/>
  <c r="BC136" i="49"/>
  <c r="BC137" i="49"/>
  <c r="BC138" i="49"/>
  <c r="BC139" i="49"/>
  <c r="BC140" i="49"/>
  <c r="BC141" i="49"/>
  <c r="BC142" i="49"/>
  <c r="BC143" i="49"/>
  <c r="BC144" i="49"/>
  <c r="BC145" i="49"/>
  <c r="BC146" i="49"/>
  <c r="BC147" i="49"/>
  <c r="BC148" i="49"/>
  <c r="BC149" i="49"/>
  <c r="BC150" i="49"/>
  <c r="BC151" i="49"/>
  <c r="BC152" i="49"/>
  <c r="BC153" i="49"/>
  <c r="BC154" i="49"/>
  <c r="BC155" i="49"/>
  <c r="BC156" i="49"/>
  <c r="BC157" i="49"/>
  <c r="BC158" i="49"/>
  <c r="BC159" i="49"/>
  <c r="BC160" i="49"/>
  <c r="BC161" i="49"/>
  <c r="BC162" i="49"/>
  <c r="BC163" i="49"/>
  <c r="BC164" i="49"/>
  <c r="BC165" i="49"/>
  <c r="BC166" i="49"/>
  <c r="BC167" i="49"/>
  <c r="BC168" i="49"/>
  <c r="BC169" i="49"/>
  <c r="BC170" i="49"/>
  <c r="BC171" i="49"/>
  <c r="BC172" i="49"/>
  <c r="BC173" i="49"/>
  <c r="BC174" i="49"/>
  <c r="BC175" i="49"/>
  <c r="BC176" i="49"/>
  <c r="BC177" i="49"/>
  <c r="BC178" i="49"/>
  <c r="BC179" i="49"/>
  <c r="BC180" i="49"/>
  <c r="BC181" i="49"/>
  <c r="BC182" i="49"/>
  <c r="BC183" i="49"/>
  <c r="BC184" i="49"/>
  <c r="BC185" i="49"/>
  <c r="BC186" i="49"/>
  <c r="BC187" i="49"/>
  <c r="BC188" i="49"/>
  <c r="BC189" i="49"/>
  <c r="BC190" i="49"/>
  <c r="BC191" i="49"/>
  <c r="BC192" i="49"/>
  <c r="BC193" i="49"/>
  <c r="BC194" i="49"/>
  <c r="BC195" i="49"/>
  <c r="BC196" i="49"/>
  <c r="BC197" i="49"/>
  <c r="BC198" i="49"/>
  <c r="BC199" i="49"/>
  <c r="BC200" i="49"/>
  <c r="BC201" i="49"/>
  <c r="BC202" i="49"/>
  <c r="BC203" i="49"/>
  <c r="BC204" i="49"/>
  <c r="BC205" i="49"/>
  <c r="BC206" i="49"/>
  <c r="BC207" i="49"/>
  <c r="BC208" i="49"/>
  <c r="BC209" i="49"/>
  <c r="BC210" i="49"/>
  <c r="BC211" i="49"/>
  <c r="BC212" i="49"/>
  <c r="BC213" i="49"/>
  <c r="BC214" i="49"/>
  <c r="BC215" i="49"/>
  <c r="BC216" i="49"/>
  <c r="BC217" i="49"/>
  <c r="BC218" i="49"/>
  <c r="BC219" i="49"/>
  <c r="BC220" i="49"/>
  <c r="BC221" i="49"/>
  <c r="BC222" i="49"/>
  <c r="BC223" i="49"/>
  <c r="BC224" i="49"/>
  <c r="BC225" i="49"/>
  <c r="BC226" i="49"/>
  <c r="BC227" i="49"/>
  <c r="BC228" i="49"/>
  <c r="BC229" i="49"/>
  <c r="BC230" i="49"/>
  <c r="BC231" i="49"/>
  <c r="BC232" i="49"/>
  <c r="BC233" i="49"/>
  <c r="BC234" i="49"/>
  <c r="BC235" i="49"/>
  <c r="BC236" i="49"/>
  <c r="BC237" i="49"/>
  <c r="BC238" i="49"/>
  <c r="BC239" i="49"/>
  <c r="BC240" i="49"/>
  <c r="BC241" i="49"/>
  <c r="BC242" i="49"/>
  <c r="BC243" i="49"/>
  <c r="BC6" i="49"/>
  <c r="AU64" i="49" a="1"/>
  <c r="AU64" i="49" s="1"/>
  <c r="BI64" i="49" s="1"/>
  <c r="AV64" i="49" a="1"/>
  <c r="AV64" i="49" s="1"/>
  <c r="BJ64" i="49" s="1"/>
  <c r="AR48" i="49"/>
  <c r="AE7" i="49"/>
  <c r="AR7" i="49" s="1" a="1"/>
  <c r="AR7" i="49" s="1"/>
  <c r="BF7" i="49" s="1"/>
  <c r="AF7" i="49"/>
  <c r="AS7" i="49" s="1" a="1"/>
  <c r="AS7" i="49" s="1"/>
  <c r="BG7" i="49" s="1"/>
  <c r="AG7" i="49"/>
  <c r="AT7" i="49" s="1" a="1"/>
  <c r="AT7" i="49" s="1"/>
  <c r="BH7" i="49" s="1"/>
  <c r="AH7" i="49"/>
  <c r="AU7" i="49" s="1" a="1"/>
  <c r="AU7" i="49" s="1"/>
  <c r="BI7" i="49" s="1"/>
  <c r="AI7" i="49"/>
  <c r="AV7" i="49" s="1" a="1"/>
  <c r="AV7" i="49" s="1"/>
  <c r="BJ7" i="49" s="1"/>
  <c r="AJ7" i="49"/>
  <c r="AW7" i="49" s="1" a="1"/>
  <c r="AW7" i="49" s="1"/>
  <c r="BK7" i="49" s="1"/>
  <c r="AK7" i="49"/>
  <c r="AX7" i="49" s="1" a="1"/>
  <c r="AX7" i="49" s="1"/>
  <c r="BL7" i="49" s="1"/>
  <c r="AL7" i="49"/>
  <c r="AY7" i="49" s="1" a="1"/>
  <c r="AY7" i="49" s="1"/>
  <c r="BM7" i="49" s="1"/>
  <c r="AM7" i="49"/>
  <c r="AZ7" i="49" s="1" a="1"/>
  <c r="AZ7" i="49" s="1"/>
  <c r="BN7" i="49" s="1"/>
  <c r="AN7" i="49"/>
  <c r="BA7" i="49" s="1" a="1"/>
  <c r="BA7" i="49" s="1"/>
  <c r="BO7" i="49" s="1"/>
  <c r="AE10" i="49"/>
  <c r="AR10" i="49" s="1" a="1"/>
  <c r="AR10" i="49" s="1"/>
  <c r="BF10" i="49" s="1"/>
  <c r="AF10" i="49"/>
  <c r="AS10" i="49" s="1" a="1"/>
  <c r="AS10" i="49" s="1"/>
  <c r="AG10" i="49"/>
  <c r="AT10" i="49" s="1" a="1"/>
  <c r="AT10" i="49" s="1"/>
  <c r="AH10" i="49"/>
  <c r="AU10" i="49" s="1" a="1"/>
  <c r="AU10" i="49" s="1"/>
  <c r="AI10" i="49"/>
  <c r="AV10" i="49" s="1" a="1"/>
  <c r="AV10" i="49" s="1"/>
  <c r="AJ10" i="49"/>
  <c r="AW10" i="49" s="1" a="1"/>
  <c r="AW10" i="49" s="1"/>
  <c r="AK10" i="49"/>
  <c r="AX10" i="49" s="1" a="1"/>
  <c r="AX10" i="49" s="1"/>
  <c r="BL10" i="49" s="1"/>
  <c r="AL10" i="49"/>
  <c r="AY10" i="49" s="1" a="1"/>
  <c r="AY10" i="49" s="1"/>
  <c r="BM10" i="49" s="1"/>
  <c r="AM10" i="49"/>
  <c r="AZ10" i="49" s="1" a="1"/>
  <c r="AZ10" i="49" s="1"/>
  <c r="BN10" i="49" s="1"/>
  <c r="AN10" i="49"/>
  <c r="BA10" i="49" s="1" a="1"/>
  <c r="BA10" i="49" s="1"/>
  <c r="BO10" i="49" s="1"/>
  <c r="AE13" i="49"/>
  <c r="AR13" i="49" s="1" a="1"/>
  <c r="AR13" i="49" s="1"/>
  <c r="BF13" i="49" s="1"/>
  <c r="AF13" i="49"/>
  <c r="AS13" i="49" s="1" a="1"/>
  <c r="AS13" i="49" s="1"/>
  <c r="BG13" i="49" s="1"/>
  <c r="AG13" i="49"/>
  <c r="AT13" i="49" s="1" a="1"/>
  <c r="AT13" i="49" s="1"/>
  <c r="BH13" i="49" s="1"/>
  <c r="AH13" i="49"/>
  <c r="AU13" i="49" s="1" a="1"/>
  <c r="AU13" i="49" s="1"/>
  <c r="BI13" i="49" s="1"/>
  <c r="AI13" i="49"/>
  <c r="AV13" i="49" s="1" a="1"/>
  <c r="AV13" i="49" s="1"/>
  <c r="BJ13" i="49" s="1"/>
  <c r="AJ13" i="49"/>
  <c r="AW13" i="49" s="1" a="1"/>
  <c r="AW13" i="49" s="1"/>
  <c r="BK13" i="49" s="1"/>
  <c r="AK13" i="49"/>
  <c r="AX13" i="49" s="1" a="1"/>
  <c r="AX13" i="49" s="1"/>
  <c r="BL13" i="49" s="1"/>
  <c r="AL13" i="49"/>
  <c r="AY13" i="49" s="1" a="1"/>
  <c r="AY13" i="49" s="1"/>
  <c r="BM13" i="49" s="1"/>
  <c r="AM13" i="49"/>
  <c r="AZ13" i="49" s="1" a="1"/>
  <c r="AZ13" i="49" s="1"/>
  <c r="BN13" i="49" s="1"/>
  <c r="AN13" i="49"/>
  <c r="BA13" i="49" s="1" a="1"/>
  <c r="BA13" i="49" s="1"/>
  <c r="BO13" i="49" s="1"/>
  <c r="AE16" i="49"/>
  <c r="AR16" i="49" s="1" a="1"/>
  <c r="AR16" i="49" s="1"/>
  <c r="BF16" i="49" s="1"/>
  <c r="AF16" i="49"/>
  <c r="AS16" i="49" s="1" a="1"/>
  <c r="AS16" i="49" s="1"/>
  <c r="BG16" i="49" s="1"/>
  <c r="AG16" i="49"/>
  <c r="AT16" i="49" s="1" a="1"/>
  <c r="AT16" i="49" s="1"/>
  <c r="BH16" i="49" s="1"/>
  <c r="AH16" i="49"/>
  <c r="AU16" i="49" s="1" a="1"/>
  <c r="AU16" i="49" s="1"/>
  <c r="BI16" i="49" s="1"/>
  <c r="AI16" i="49"/>
  <c r="AV16" i="49" s="1" a="1"/>
  <c r="AV16" i="49" s="1"/>
  <c r="BJ16" i="49" s="1"/>
  <c r="AJ16" i="49"/>
  <c r="AW16" i="49" s="1" a="1"/>
  <c r="AW16" i="49" s="1"/>
  <c r="BK16" i="49" s="1"/>
  <c r="AK16" i="49"/>
  <c r="AX16" i="49" s="1" a="1"/>
  <c r="AX16" i="49" s="1"/>
  <c r="BL16" i="49" s="1"/>
  <c r="AL16" i="49"/>
  <c r="AY16" i="49" s="1" a="1"/>
  <c r="AY16" i="49" s="1"/>
  <c r="BM16" i="49" s="1"/>
  <c r="AM16" i="49"/>
  <c r="AZ16" i="49" s="1" a="1"/>
  <c r="AZ16" i="49" s="1"/>
  <c r="BN16" i="49" s="1"/>
  <c r="AN16" i="49"/>
  <c r="BA16" i="49" s="1" a="1"/>
  <c r="BA16" i="49" s="1"/>
  <c r="BO16" i="49" s="1"/>
  <c r="AE19" i="49"/>
  <c r="AR19" i="49" s="1" a="1"/>
  <c r="AR19" i="49" s="1"/>
  <c r="BF19" i="49" s="1"/>
  <c r="AF19" i="49"/>
  <c r="AS19" i="49" s="1" a="1"/>
  <c r="AS19" i="49" s="1"/>
  <c r="BG19" i="49" s="1"/>
  <c r="AG19" i="49"/>
  <c r="AT19" i="49" s="1" a="1"/>
  <c r="AT19" i="49" s="1"/>
  <c r="BH19" i="49" s="1"/>
  <c r="AH19" i="49"/>
  <c r="AU19" i="49" s="1" a="1"/>
  <c r="AU19" i="49" s="1"/>
  <c r="BI19" i="49" s="1"/>
  <c r="AI19" i="49"/>
  <c r="AV19" i="49" s="1" a="1"/>
  <c r="AV19" i="49" s="1"/>
  <c r="BJ19" i="49" s="1"/>
  <c r="AJ19" i="49"/>
  <c r="AW19" i="49" s="1" a="1"/>
  <c r="AW19" i="49" s="1"/>
  <c r="BK19" i="49" s="1"/>
  <c r="AK19" i="49"/>
  <c r="AX19" i="49" s="1" a="1"/>
  <c r="AX19" i="49" s="1"/>
  <c r="BL19" i="49" s="1"/>
  <c r="AL19" i="49"/>
  <c r="AY19" i="49" s="1" a="1"/>
  <c r="AY19" i="49" s="1"/>
  <c r="BM19" i="49" s="1"/>
  <c r="AM19" i="49"/>
  <c r="AZ19" i="49" s="1" a="1"/>
  <c r="AZ19" i="49" s="1"/>
  <c r="BN19" i="49" s="1"/>
  <c r="AN19" i="49"/>
  <c r="BA19" i="49" s="1" a="1"/>
  <c r="BA19" i="49" s="1"/>
  <c r="BO19" i="49" s="1"/>
  <c r="AE22" i="49"/>
  <c r="AR22" i="49" s="1" a="1"/>
  <c r="AR22" i="49" s="1"/>
  <c r="BF22" i="49" s="1"/>
  <c r="AF22" i="49"/>
  <c r="AS22" i="49" s="1" a="1"/>
  <c r="AS22" i="49" s="1"/>
  <c r="AG22" i="49"/>
  <c r="AT22" i="49" s="1" a="1"/>
  <c r="AT22" i="49" s="1"/>
  <c r="AH22" i="49"/>
  <c r="AU22" i="49" s="1" a="1"/>
  <c r="AU22" i="49" s="1"/>
  <c r="AI22" i="49"/>
  <c r="AV22" i="49" s="1" a="1"/>
  <c r="AV22" i="49" s="1"/>
  <c r="AJ22" i="49"/>
  <c r="AW22" i="49" s="1" a="1"/>
  <c r="AW22" i="49" s="1"/>
  <c r="AK22" i="49"/>
  <c r="AX22" i="49" s="1" a="1"/>
  <c r="AX22" i="49" s="1"/>
  <c r="BL22" i="49" s="1"/>
  <c r="AL22" i="49"/>
  <c r="AY22" i="49" s="1" a="1"/>
  <c r="AY22" i="49" s="1"/>
  <c r="BM22" i="49" s="1"/>
  <c r="AM22" i="49"/>
  <c r="AZ22" i="49" s="1" a="1"/>
  <c r="AZ22" i="49" s="1"/>
  <c r="BN22" i="49" s="1"/>
  <c r="AN22" i="49"/>
  <c r="BA22" i="49" s="1" a="1"/>
  <c r="BA22" i="49" s="1"/>
  <c r="BO22" i="49" s="1"/>
  <c r="AE27" i="49"/>
  <c r="AR27" i="49" s="1" a="1"/>
  <c r="AR27" i="49" s="1"/>
  <c r="BF27" i="49" s="1"/>
  <c r="AF27" i="49"/>
  <c r="AS27" i="49" s="1" a="1"/>
  <c r="AS27" i="49" s="1"/>
  <c r="BG27" i="49" s="1"/>
  <c r="AG27" i="49"/>
  <c r="AT27" i="49" s="1" a="1"/>
  <c r="AT27" i="49" s="1"/>
  <c r="BH27" i="49" s="1"/>
  <c r="AH27" i="49"/>
  <c r="AU27" i="49" s="1" a="1"/>
  <c r="AU27" i="49" s="1"/>
  <c r="BI27" i="49" s="1"/>
  <c r="AI27" i="49"/>
  <c r="AV27" i="49" s="1" a="1"/>
  <c r="AV27" i="49" s="1"/>
  <c r="BJ27" i="49" s="1"/>
  <c r="AJ27" i="49"/>
  <c r="AW27" i="49" s="1" a="1"/>
  <c r="AW27" i="49" s="1"/>
  <c r="BK27" i="49" s="1"/>
  <c r="AK27" i="49"/>
  <c r="AX27" i="49" s="1" a="1"/>
  <c r="AX27" i="49" s="1"/>
  <c r="BL27" i="49" s="1"/>
  <c r="AL27" i="49"/>
  <c r="AY27" i="49" s="1" a="1"/>
  <c r="AY27" i="49" s="1"/>
  <c r="BM27" i="49" s="1"/>
  <c r="AM27" i="49"/>
  <c r="AZ27" i="49" s="1" a="1"/>
  <c r="AZ27" i="49" s="1"/>
  <c r="BN27" i="49" s="1"/>
  <c r="AN27" i="49"/>
  <c r="BA27" i="49" s="1" a="1"/>
  <c r="BA27" i="49" s="1"/>
  <c r="BO27" i="49" s="1"/>
  <c r="AE30" i="49"/>
  <c r="AR30" i="49" s="1" a="1"/>
  <c r="AR30" i="49" s="1"/>
  <c r="BF30" i="49" s="1"/>
  <c r="AF30" i="49"/>
  <c r="AS30" i="49" s="1" a="1"/>
  <c r="AS30" i="49" s="1"/>
  <c r="BG30" i="49" s="1"/>
  <c r="AG30" i="49"/>
  <c r="AT30" i="49" s="1" a="1"/>
  <c r="AT30" i="49" s="1"/>
  <c r="BH30" i="49" s="1"/>
  <c r="AH30" i="49"/>
  <c r="AU30" i="49" s="1" a="1"/>
  <c r="AU30" i="49" s="1"/>
  <c r="BI30" i="49" s="1"/>
  <c r="AI30" i="49"/>
  <c r="AV30" i="49" s="1" a="1"/>
  <c r="AV30" i="49" s="1"/>
  <c r="BJ30" i="49" s="1"/>
  <c r="AJ30" i="49"/>
  <c r="AW30" i="49" s="1" a="1"/>
  <c r="AW30" i="49" s="1"/>
  <c r="BK30" i="49" s="1"/>
  <c r="AK30" i="49"/>
  <c r="AX30" i="49" s="1" a="1"/>
  <c r="AX30" i="49" s="1"/>
  <c r="BL30" i="49" s="1"/>
  <c r="AL30" i="49"/>
  <c r="AY30" i="49" s="1" a="1"/>
  <c r="AY30" i="49" s="1"/>
  <c r="BM30" i="49" s="1"/>
  <c r="AM30" i="49"/>
  <c r="AZ30" i="49" s="1" a="1"/>
  <c r="AZ30" i="49" s="1"/>
  <c r="BN30" i="49" s="1"/>
  <c r="AN30" i="49"/>
  <c r="BA30" i="49" s="1" a="1"/>
  <c r="BA30" i="49" s="1"/>
  <c r="BO30" i="49" s="1"/>
  <c r="AE34" i="49"/>
  <c r="AR34" i="49" s="1" a="1"/>
  <c r="AR34" i="49" s="1"/>
  <c r="BF34" i="49" s="1"/>
  <c r="AF34" i="49"/>
  <c r="AS34" i="49" s="1" a="1"/>
  <c r="AS34" i="49" s="1"/>
  <c r="BG34" i="49" s="1"/>
  <c r="AG34" i="49"/>
  <c r="AT34" i="49" s="1" a="1"/>
  <c r="AT34" i="49" s="1"/>
  <c r="BH34" i="49" s="1"/>
  <c r="AH34" i="49"/>
  <c r="AU34" i="49" s="1" a="1"/>
  <c r="AU34" i="49" s="1"/>
  <c r="BI34" i="49" s="1"/>
  <c r="AI34" i="49"/>
  <c r="AV34" i="49" s="1" a="1"/>
  <c r="AV34" i="49" s="1"/>
  <c r="BJ34" i="49" s="1"/>
  <c r="AJ34" i="49"/>
  <c r="AW34" i="49" s="1" a="1"/>
  <c r="AW34" i="49" s="1"/>
  <c r="BK34" i="49" s="1"/>
  <c r="AK34" i="49"/>
  <c r="AX34" i="49" s="1" a="1"/>
  <c r="AX34" i="49" s="1"/>
  <c r="BL34" i="49" s="1"/>
  <c r="AL34" i="49"/>
  <c r="AY34" i="49" s="1" a="1"/>
  <c r="AY34" i="49" s="1"/>
  <c r="BM34" i="49" s="1"/>
  <c r="AM34" i="49"/>
  <c r="AZ34" i="49" s="1" a="1"/>
  <c r="AZ34" i="49" s="1"/>
  <c r="BN34" i="49" s="1"/>
  <c r="AN34" i="49"/>
  <c r="BA34" i="49" s="1" a="1"/>
  <c r="BA34" i="49" s="1"/>
  <c r="BO34" i="49" s="1"/>
  <c r="AE35" i="49"/>
  <c r="AR35" i="49" s="1" a="1"/>
  <c r="AR35" i="49" s="1"/>
  <c r="BF35" i="49" s="1"/>
  <c r="AF35" i="49"/>
  <c r="AS35" i="49" s="1" a="1"/>
  <c r="AS35" i="49" s="1"/>
  <c r="BG35" i="49" s="1"/>
  <c r="AG35" i="49"/>
  <c r="AT35" i="49" s="1" a="1"/>
  <c r="AT35" i="49" s="1"/>
  <c r="BH35" i="49" s="1"/>
  <c r="AH35" i="49"/>
  <c r="AU35" i="49" s="1" a="1"/>
  <c r="AU35" i="49" s="1"/>
  <c r="BI35" i="49" s="1"/>
  <c r="AI35" i="49"/>
  <c r="AV35" i="49" s="1" a="1"/>
  <c r="AV35" i="49" s="1"/>
  <c r="BJ35" i="49" s="1"/>
  <c r="AJ35" i="49"/>
  <c r="AW35" i="49" s="1" a="1"/>
  <c r="AW35" i="49" s="1"/>
  <c r="BK35" i="49" s="1"/>
  <c r="AK35" i="49"/>
  <c r="AX35" i="49" s="1" a="1"/>
  <c r="AX35" i="49" s="1"/>
  <c r="BL35" i="49" s="1"/>
  <c r="AL35" i="49"/>
  <c r="AY35" i="49" s="1" a="1"/>
  <c r="AY35" i="49" s="1"/>
  <c r="BM35" i="49" s="1"/>
  <c r="AM35" i="49"/>
  <c r="AZ35" i="49" s="1" a="1"/>
  <c r="AZ35" i="49" s="1"/>
  <c r="BN35" i="49" s="1"/>
  <c r="AN35" i="49"/>
  <c r="BA35" i="49" s="1" a="1"/>
  <c r="BA35" i="49" s="1"/>
  <c r="BO35" i="49" s="1"/>
  <c r="AE40" i="49"/>
  <c r="AR40" i="49" s="1" a="1"/>
  <c r="AR40" i="49" s="1"/>
  <c r="AF40" i="49"/>
  <c r="AS40" i="49" s="1" a="1"/>
  <c r="AS40" i="49" s="1"/>
  <c r="AG40" i="49"/>
  <c r="AT40" i="49" s="1" a="1"/>
  <c r="AT40" i="49" s="1"/>
  <c r="AH40" i="49"/>
  <c r="AU40" i="49" s="1" a="1"/>
  <c r="AU40" i="49" s="1"/>
  <c r="AI40" i="49"/>
  <c r="AV40" i="49" s="1" a="1"/>
  <c r="AV40" i="49" s="1"/>
  <c r="AJ40" i="49"/>
  <c r="AW40" i="49" s="1" a="1"/>
  <c r="AW40" i="49" s="1"/>
  <c r="AK40" i="49"/>
  <c r="AX40" i="49" s="1" a="1"/>
  <c r="AX40" i="49" s="1"/>
  <c r="AL40" i="49"/>
  <c r="AY40" i="49" s="1" a="1"/>
  <c r="AY40" i="49" s="1"/>
  <c r="AM40" i="49"/>
  <c r="AZ40" i="49" s="1" a="1"/>
  <c r="AZ40" i="49" s="1"/>
  <c r="AN40" i="49"/>
  <c r="BA40" i="49" s="1" a="1"/>
  <c r="BA40" i="49" s="1"/>
  <c r="AE42" i="49"/>
  <c r="AR42" i="49" s="1" a="1"/>
  <c r="AR42" i="49" s="1"/>
  <c r="BF42" i="49" s="1"/>
  <c r="AF42" i="49"/>
  <c r="AS42" i="49" s="1" a="1"/>
  <c r="AS42" i="49" s="1"/>
  <c r="BG42" i="49" s="1"/>
  <c r="AG42" i="49"/>
  <c r="AT42" i="49" s="1" a="1"/>
  <c r="AT42" i="49" s="1"/>
  <c r="BH42" i="49" s="1"/>
  <c r="AH42" i="49"/>
  <c r="AU42" i="49" s="1" a="1"/>
  <c r="AU42" i="49" s="1"/>
  <c r="BI42" i="49" s="1"/>
  <c r="AI42" i="49"/>
  <c r="AV42" i="49" s="1" a="1"/>
  <c r="AV42" i="49" s="1"/>
  <c r="BJ42" i="49" s="1"/>
  <c r="AJ42" i="49"/>
  <c r="AW42" i="49" s="1" a="1"/>
  <c r="AW42" i="49" s="1"/>
  <c r="BK42" i="49" s="1"/>
  <c r="AK42" i="49"/>
  <c r="AX42" i="49" s="1" a="1"/>
  <c r="AX42" i="49" s="1"/>
  <c r="BL42" i="49" s="1"/>
  <c r="AL42" i="49"/>
  <c r="AY42" i="49" s="1" a="1"/>
  <c r="AY42" i="49" s="1"/>
  <c r="BM42" i="49" s="1"/>
  <c r="AM42" i="49"/>
  <c r="AZ42" i="49" s="1" a="1"/>
  <c r="AZ42" i="49" s="1"/>
  <c r="BN42" i="49" s="1"/>
  <c r="AN42" i="49"/>
  <c r="BA42" i="49" s="1" a="1"/>
  <c r="BA42" i="49" s="1"/>
  <c r="BO42" i="49" s="1"/>
  <c r="AE44" i="49"/>
  <c r="AR44" i="49" s="1" a="1"/>
  <c r="AR44" i="49" s="1"/>
  <c r="BF44" i="49" s="1"/>
  <c r="AF44" i="49"/>
  <c r="AS44" i="49" s="1" a="1"/>
  <c r="AS44" i="49" s="1"/>
  <c r="BG44" i="49" s="1"/>
  <c r="AG44" i="49"/>
  <c r="AT44" i="49" s="1" a="1"/>
  <c r="AT44" i="49" s="1"/>
  <c r="BH44" i="49" s="1"/>
  <c r="AH44" i="49"/>
  <c r="AU44" i="49" s="1" a="1"/>
  <c r="AU44" i="49" s="1"/>
  <c r="BI44" i="49" s="1"/>
  <c r="AI44" i="49"/>
  <c r="AV44" i="49" s="1" a="1"/>
  <c r="AV44" i="49" s="1"/>
  <c r="BJ44" i="49" s="1"/>
  <c r="AJ44" i="49"/>
  <c r="AW44" i="49" s="1" a="1"/>
  <c r="AW44" i="49" s="1"/>
  <c r="BK44" i="49" s="1"/>
  <c r="AK44" i="49"/>
  <c r="AX44" i="49" s="1" a="1"/>
  <c r="AX44" i="49" s="1"/>
  <c r="BL44" i="49" s="1"/>
  <c r="AL44" i="49"/>
  <c r="AY44" i="49" s="1" a="1"/>
  <c r="AY44" i="49" s="1"/>
  <c r="BM44" i="49" s="1"/>
  <c r="AM44" i="49"/>
  <c r="AZ44" i="49" s="1" a="1"/>
  <c r="AZ44" i="49" s="1"/>
  <c r="BN44" i="49" s="1"/>
  <c r="AN44" i="49"/>
  <c r="BA44" i="49" s="1" a="1"/>
  <c r="BA44" i="49" s="1"/>
  <c r="BO44" i="49" s="1"/>
  <c r="AE48" i="49"/>
  <c r="AR48" i="49" s="1" a="1"/>
  <c r="AF48" i="49"/>
  <c r="AS48" i="49" s="1" a="1"/>
  <c r="AS48" i="49" s="1"/>
  <c r="AG48" i="49"/>
  <c r="AT48" i="49" s="1" a="1"/>
  <c r="AT48" i="49" s="1"/>
  <c r="BH48" i="49" s="1"/>
  <c r="AH48" i="49"/>
  <c r="AU48" i="49" s="1" a="1"/>
  <c r="AU48" i="49" s="1"/>
  <c r="BI48" i="49" s="1"/>
  <c r="AI48" i="49"/>
  <c r="AV48" i="49" s="1" a="1"/>
  <c r="AV48" i="49" s="1"/>
  <c r="AJ48" i="49"/>
  <c r="AW48" i="49" s="1" a="1"/>
  <c r="AW48" i="49" s="1"/>
  <c r="AK48" i="49"/>
  <c r="AX48" i="49" s="1" a="1"/>
  <c r="AX48" i="49" s="1"/>
  <c r="AL48" i="49"/>
  <c r="AY48" i="49" s="1" a="1"/>
  <c r="AY48" i="49" s="1"/>
  <c r="AM48" i="49"/>
  <c r="AZ48" i="49" s="1" a="1"/>
  <c r="AZ48" i="49" s="1"/>
  <c r="AN48" i="49"/>
  <c r="BA48" i="49" s="1" a="1"/>
  <c r="BA48" i="49" s="1"/>
  <c r="AE49" i="49"/>
  <c r="AR49" i="49" s="1" a="1"/>
  <c r="AR49" i="49" s="1"/>
  <c r="AF49" i="49"/>
  <c r="AS49" i="49" s="1" a="1"/>
  <c r="AS49" i="49" s="1"/>
  <c r="AG49" i="49"/>
  <c r="AT49" i="49" s="1" a="1"/>
  <c r="AT49" i="49" s="1"/>
  <c r="AH49" i="49"/>
  <c r="AU49" i="49" s="1" a="1"/>
  <c r="AU49" i="49" s="1"/>
  <c r="AI49" i="49"/>
  <c r="AV49" i="49" s="1" a="1"/>
  <c r="AV49" i="49" s="1"/>
  <c r="AJ49" i="49"/>
  <c r="AW49" i="49" s="1" a="1"/>
  <c r="AW49" i="49" s="1"/>
  <c r="BK49" i="49" s="1"/>
  <c r="AK49" i="49"/>
  <c r="AX49" i="49" s="1" a="1"/>
  <c r="AX49" i="49" s="1"/>
  <c r="AL49" i="49"/>
  <c r="AY49" i="49" s="1" a="1"/>
  <c r="AY49" i="49" s="1"/>
  <c r="AM49" i="49"/>
  <c r="AZ49" i="49" s="1" a="1"/>
  <c r="AZ49" i="49" s="1"/>
  <c r="AN49" i="49"/>
  <c r="BA49" i="49" s="1" a="1"/>
  <c r="BA49" i="49" s="1"/>
  <c r="AE50" i="49"/>
  <c r="AR50" i="49" s="1" a="1"/>
  <c r="AR50" i="49" s="1"/>
  <c r="BF50" i="49" s="1"/>
  <c r="AF50" i="49"/>
  <c r="AS50" i="49" s="1" a="1"/>
  <c r="AS50" i="49" s="1"/>
  <c r="BG50" i="49" s="1"/>
  <c r="AG50" i="49"/>
  <c r="AT50" i="49" s="1" a="1"/>
  <c r="AT50" i="49" s="1"/>
  <c r="BH50" i="49" s="1"/>
  <c r="AH50" i="49"/>
  <c r="AU50" i="49" s="1" a="1"/>
  <c r="AU50" i="49" s="1"/>
  <c r="BI50" i="49" s="1"/>
  <c r="AI50" i="49"/>
  <c r="AV50" i="49" s="1" a="1"/>
  <c r="AV50" i="49" s="1"/>
  <c r="BJ50" i="49" s="1"/>
  <c r="AJ50" i="49"/>
  <c r="AW50" i="49" s="1" a="1"/>
  <c r="AW50" i="49" s="1"/>
  <c r="BK50" i="49" s="1"/>
  <c r="AK50" i="49"/>
  <c r="AX50" i="49" s="1" a="1"/>
  <c r="AX50" i="49" s="1"/>
  <c r="BL50" i="49" s="1"/>
  <c r="AL50" i="49"/>
  <c r="AY50" i="49" s="1" a="1"/>
  <c r="AY50" i="49" s="1"/>
  <c r="BM50" i="49" s="1"/>
  <c r="AM50" i="49"/>
  <c r="AZ50" i="49" s="1" a="1"/>
  <c r="AZ50" i="49" s="1"/>
  <c r="BN50" i="49" s="1"/>
  <c r="AN50" i="49"/>
  <c r="BA50" i="49" s="1" a="1"/>
  <c r="BA50" i="49" s="1"/>
  <c r="BO50" i="49" s="1"/>
  <c r="AE53" i="49"/>
  <c r="AR53" i="49" s="1" a="1"/>
  <c r="AR53" i="49" s="1"/>
  <c r="AF53" i="49"/>
  <c r="AS53" i="49" s="1" a="1"/>
  <c r="AS53" i="49" s="1"/>
  <c r="BG53" i="49" s="1"/>
  <c r="AG53" i="49"/>
  <c r="AT53" i="49" s="1" a="1"/>
  <c r="AT53" i="49" s="1"/>
  <c r="BH53" i="49" s="1"/>
  <c r="AH53" i="49"/>
  <c r="AU53" i="49" s="1" a="1"/>
  <c r="AU53" i="49" s="1"/>
  <c r="BI53" i="49" s="1"/>
  <c r="AI53" i="49"/>
  <c r="AV53" i="49" s="1" a="1"/>
  <c r="AV53" i="49" s="1"/>
  <c r="BJ53" i="49" s="1"/>
  <c r="AJ53" i="49"/>
  <c r="AW53" i="49" s="1" a="1"/>
  <c r="AW53" i="49" s="1"/>
  <c r="BK53" i="49" s="1"/>
  <c r="AK53" i="49"/>
  <c r="AX53" i="49" s="1" a="1"/>
  <c r="AX53" i="49" s="1"/>
  <c r="BL53" i="49" s="1"/>
  <c r="AL53" i="49"/>
  <c r="AY53" i="49" s="1" a="1"/>
  <c r="AY53" i="49" s="1"/>
  <c r="BM53" i="49" s="1"/>
  <c r="AM53" i="49"/>
  <c r="AZ53" i="49" s="1" a="1"/>
  <c r="AZ53" i="49" s="1"/>
  <c r="BN53" i="49" s="1"/>
  <c r="AN53" i="49"/>
  <c r="BA53" i="49" s="1" a="1"/>
  <c r="BA53" i="49" s="1"/>
  <c r="BO53" i="49" s="1"/>
  <c r="AE55" i="49"/>
  <c r="AR55" i="49" s="1" a="1"/>
  <c r="AR55" i="49" s="1"/>
  <c r="BF55" i="49" s="1"/>
  <c r="AF55" i="49"/>
  <c r="AS55" i="49" s="1" a="1"/>
  <c r="AS55" i="49" s="1"/>
  <c r="BG55" i="49" s="1"/>
  <c r="AG55" i="49"/>
  <c r="AT55" i="49" s="1" a="1"/>
  <c r="AT55" i="49" s="1"/>
  <c r="BH55" i="49" s="1"/>
  <c r="AH55" i="49"/>
  <c r="AU55" i="49" s="1" a="1"/>
  <c r="AU55" i="49" s="1"/>
  <c r="BI55" i="49" s="1"/>
  <c r="AI55" i="49"/>
  <c r="AV55" i="49" s="1" a="1"/>
  <c r="AV55" i="49" s="1"/>
  <c r="BJ55" i="49" s="1"/>
  <c r="AJ55" i="49"/>
  <c r="AW55" i="49" s="1" a="1"/>
  <c r="AW55" i="49" s="1"/>
  <c r="BK55" i="49" s="1"/>
  <c r="AK55" i="49"/>
  <c r="AX55" i="49" s="1" a="1"/>
  <c r="AX55" i="49" s="1"/>
  <c r="BL55" i="49" s="1"/>
  <c r="AL55" i="49"/>
  <c r="AY55" i="49" s="1" a="1"/>
  <c r="AY55" i="49" s="1"/>
  <c r="AM55" i="49"/>
  <c r="AZ55" i="49" s="1" a="1"/>
  <c r="AZ55" i="49" s="1"/>
  <c r="AN55" i="49"/>
  <c r="BA55" i="49" s="1" a="1"/>
  <c r="BA55" i="49" s="1"/>
  <c r="AE56" i="49"/>
  <c r="AR56" i="49" s="1" a="1"/>
  <c r="AR56" i="49" s="1"/>
  <c r="BF56" i="49" s="1"/>
  <c r="AF56" i="49"/>
  <c r="AS56" i="49" s="1" a="1"/>
  <c r="AS56" i="49" s="1"/>
  <c r="BG56" i="49" s="1"/>
  <c r="AG56" i="49"/>
  <c r="AT56" i="49" s="1" a="1"/>
  <c r="AT56" i="49" s="1"/>
  <c r="BH56" i="49" s="1"/>
  <c r="AH56" i="49"/>
  <c r="AU56" i="49" s="1" a="1"/>
  <c r="AU56" i="49" s="1"/>
  <c r="BI56" i="49" s="1"/>
  <c r="AI56" i="49"/>
  <c r="AV56" i="49" s="1" a="1"/>
  <c r="AV56" i="49" s="1"/>
  <c r="AJ56" i="49"/>
  <c r="AW56" i="49" s="1" a="1"/>
  <c r="AW56" i="49" s="1"/>
  <c r="AK56" i="49"/>
  <c r="AX56" i="49" s="1" a="1"/>
  <c r="AX56" i="49" s="1"/>
  <c r="BL56" i="49" s="1"/>
  <c r="AL56" i="49"/>
  <c r="AY56" i="49" s="1" a="1"/>
  <c r="AY56" i="49" s="1"/>
  <c r="AM56" i="49"/>
  <c r="AZ56" i="49" s="1" a="1"/>
  <c r="AZ56" i="49" s="1"/>
  <c r="BN56" i="49" s="1"/>
  <c r="AN56" i="49"/>
  <c r="BA56" i="49" s="1" a="1"/>
  <c r="BA56" i="49" s="1"/>
  <c r="BO56" i="49" s="1"/>
  <c r="AE58" i="49"/>
  <c r="AR58" i="49" s="1" a="1"/>
  <c r="AR58" i="49" s="1"/>
  <c r="BF58" i="49" s="1"/>
  <c r="AF58" i="49"/>
  <c r="AS58" i="49" s="1" a="1"/>
  <c r="AS58" i="49" s="1"/>
  <c r="BG58" i="49" s="1"/>
  <c r="AG58" i="49"/>
  <c r="AT58" i="49" s="1" a="1"/>
  <c r="AT58" i="49" s="1"/>
  <c r="AH58" i="49"/>
  <c r="AU58" i="49" s="1" a="1"/>
  <c r="AU58" i="49" s="1"/>
  <c r="BI58" i="49" s="1"/>
  <c r="AI58" i="49"/>
  <c r="AV58" i="49" s="1" a="1"/>
  <c r="AV58" i="49" s="1"/>
  <c r="BJ58" i="49" s="1"/>
  <c r="AJ58" i="49"/>
  <c r="AW58" i="49" s="1" a="1"/>
  <c r="AW58" i="49" s="1"/>
  <c r="AK58" i="49"/>
  <c r="AX58" i="49" s="1" a="1"/>
  <c r="AX58" i="49" s="1"/>
  <c r="AL58" i="49"/>
  <c r="AY58" i="49" s="1" a="1"/>
  <c r="AY58" i="49" s="1"/>
  <c r="AM58" i="49"/>
  <c r="AZ58" i="49" s="1" a="1"/>
  <c r="AZ58" i="49" s="1"/>
  <c r="AN58" i="49"/>
  <c r="BA58" i="49" s="1" a="1"/>
  <c r="BA58" i="49" s="1"/>
  <c r="AE59" i="49"/>
  <c r="AR59" i="49" s="1" a="1"/>
  <c r="AR59" i="49" s="1"/>
  <c r="AF59" i="49"/>
  <c r="AS59" i="49" s="1" a="1"/>
  <c r="AS59" i="49" s="1"/>
  <c r="AG59" i="49"/>
  <c r="AT59" i="49" s="1" a="1"/>
  <c r="AT59" i="49" s="1"/>
  <c r="AH59" i="49"/>
  <c r="AU59" i="49" s="1" a="1"/>
  <c r="AU59" i="49" s="1"/>
  <c r="BI59" i="49" s="1"/>
  <c r="AI59" i="49"/>
  <c r="AV59" i="49" s="1" a="1"/>
  <c r="AV59" i="49" s="1"/>
  <c r="AJ59" i="49"/>
  <c r="AW59" i="49" s="1" a="1"/>
  <c r="AW59" i="49" s="1"/>
  <c r="AK59" i="49"/>
  <c r="AX59" i="49" s="1" a="1"/>
  <c r="AX59" i="49" s="1"/>
  <c r="BL59" i="49" s="1"/>
  <c r="AL59" i="49"/>
  <c r="AY59" i="49" s="1" a="1"/>
  <c r="AY59" i="49" s="1"/>
  <c r="AM59" i="49"/>
  <c r="AZ59" i="49" s="1" a="1"/>
  <c r="AZ59" i="49" s="1"/>
  <c r="AN59" i="49"/>
  <c r="BA59" i="49" s="1" a="1"/>
  <c r="BA59" i="49" s="1"/>
  <c r="AE60" i="49"/>
  <c r="AR60" i="49" s="1" a="1"/>
  <c r="AR60" i="49" s="1"/>
  <c r="BF60" i="49" s="1"/>
  <c r="AF60" i="49"/>
  <c r="AS60" i="49" s="1" a="1"/>
  <c r="AS60" i="49" s="1"/>
  <c r="AG60" i="49"/>
  <c r="AT60" i="49" s="1" a="1"/>
  <c r="AT60" i="49" s="1"/>
  <c r="AH60" i="49"/>
  <c r="AU60" i="49" s="1" a="1"/>
  <c r="AU60" i="49" s="1"/>
  <c r="AI60" i="49"/>
  <c r="AV60" i="49" s="1" a="1"/>
  <c r="AV60" i="49" s="1"/>
  <c r="AJ60" i="49"/>
  <c r="AW60" i="49" s="1" a="1"/>
  <c r="AW60" i="49" s="1"/>
  <c r="AK60" i="49"/>
  <c r="AX60" i="49" s="1" a="1"/>
  <c r="AX60" i="49" s="1"/>
  <c r="BL60" i="49" s="1"/>
  <c r="AL60" i="49"/>
  <c r="AY60" i="49" s="1" a="1"/>
  <c r="AY60" i="49" s="1"/>
  <c r="AM60" i="49"/>
  <c r="AZ60" i="49" s="1" a="1"/>
  <c r="AZ60" i="49" s="1"/>
  <c r="AN60" i="49"/>
  <c r="BA60" i="49" s="1" a="1"/>
  <c r="BA60" i="49" s="1"/>
  <c r="BO60" i="49" s="1"/>
  <c r="AE64" i="49"/>
  <c r="AR64" i="49" s="1" a="1"/>
  <c r="AR64" i="49" s="1"/>
  <c r="BF64" i="49" s="1"/>
  <c r="AF64" i="49"/>
  <c r="AS64" i="49" s="1" a="1"/>
  <c r="AS64" i="49" s="1"/>
  <c r="BG64" i="49" s="1"/>
  <c r="AG64" i="49"/>
  <c r="AT64" i="49" s="1" a="1"/>
  <c r="AT64" i="49" s="1"/>
  <c r="BH64" i="49" s="1"/>
  <c r="AH64" i="49"/>
  <c r="AI64" i="49"/>
  <c r="AJ64" i="49"/>
  <c r="AW64" i="49" s="1" a="1"/>
  <c r="AW64" i="49" s="1"/>
  <c r="BK64" i="49" s="1"/>
  <c r="AK64" i="49"/>
  <c r="AX64" i="49" s="1" a="1"/>
  <c r="AX64" i="49" s="1"/>
  <c r="BL64" i="49" s="1"/>
  <c r="AL64" i="49"/>
  <c r="AY64" i="49" s="1" a="1"/>
  <c r="AY64" i="49" s="1"/>
  <c r="BM64" i="49" s="1"/>
  <c r="AM64" i="49"/>
  <c r="AZ64" i="49" s="1" a="1"/>
  <c r="AZ64" i="49" s="1"/>
  <c r="BN64" i="49" s="1"/>
  <c r="AN64" i="49"/>
  <c r="BA64" i="49" s="1" a="1"/>
  <c r="BA64" i="49" s="1"/>
  <c r="BO64" i="49" s="1"/>
  <c r="AE66" i="49"/>
  <c r="AR66" i="49" s="1" a="1"/>
  <c r="AR66" i="49" s="1"/>
  <c r="BF66" i="49" s="1"/>
  <c r="AF66" i="49"/>
  <c r="AS66" i="49" s="1" a="1"/>
  <c r="AS66" i="49" s="1"/>
  <c r="BG66" i="49" s="1"/>
  <c r="AG66" i="49"/>
  <c r="AT66" i="49" s="1" a="1"/>
  <c r="AT66" i="49" s="1"/>
  <c r="BH66" i="49" s="1"/>
  <c r="AH66" i="49"/>
  <c r="AU66" i="49" s="1" a="1"/>
  <c r="AU66" i="49" s="1"/>
  <c r="BI66" i="49" s="1"/>
  <c r="AI66" i="49"/>
  <c r="AV66" i="49" s="1" a="1"/>
  <c r="AV66" i="49" s="1"/>
  <c r="BJ66" i="49" s="1"/>
  <c r="AJ66" i="49"/>
  <c r="AW66" i="49" s="1" a="1"/>
  <c r="AW66" i="49" s="1"/>
  <c r="BK66" i="49" s="1"/>
  <c r="AK66" i="49"/>
  <c r="AX66" i="49" s="1" a="1"/>
  <c r="AX66" i="49" s="1"/>
  <c r="BL66" i="49" s="1"/>
  <c r="AL66" i="49"/>
  <c r="AY66" i="49" s="1" a="1"/>
  <c r="AY66" i="49" s="1"/>
  <c r="BM66" i="49" s="1"/>
  <c r="AM66" i="49"/>
  <c r="AZ66" i="49" s="1" a="1"/>
  <c r="AZ66" i="49" s="1"/>
  <c r="BN66" i="49" s="1"/>
  <c r="AN66" i="49"/>
  <c r="BA66" i="49" s="1" a="1"/>
  <c r="BA66" i="49" s="1"/>
  <c r="BO66" i="49" s="1"/>
  <c r="AE72" i="49"/>
  <c r="AR72" i="49" s="1" a="1"/>
  <c r="AR72" i="49" s="1"/>
  <c r="BF72" i="49" s="1"/>
  <c r="AF72" i="49"/>
  <c r="AS72" i="49" s="1" a="1"/>
  <c r="AS72" i="49" s="1"/>
  <c r="BG72" i="49" s="1"/>
  <c r="AG72" i="49"/>
  <c r="AT72" i="49" s="1" a="1"/>
  <c r="AT72" i="49" s="1"/>
  <c r="BH72" i="49" s="1"/>
  <c r="AH72" i="49"/>
  <c r="AU72" i="49" s="1" a="1"/>
  <c r="AU72" i="49" s="1"/>
  <c r="BI72" i="49" s="1"/>
  <c r="AI72" i="49"/>
  <c r="AV72" i="49" s="1" a="1"/>
  <c r="AV72" i="49" s="1"/>
  <c r="BJ72" i="49" s="1"/>
  <c r="AJ72" i="49"/>
  <c r="AW72" i="49" s="1" a="1"/>
  <c r="AW72" i="49" s="1"/>
  <c r="BK72" i="49" s="1"/>
  <c r="AK72" i="49"/>
  <c r="AX72" i="49" s="1" a="1"/>
  <c r="AX72" i="49" s="1"/>
  <c r="BL72" i="49" s="1"/>
  <c r="AL72" i="49"/>
  <c r="AY72" i="49" s="1" a="1"/>
  <c r="AY72" i="49" s="1"/>
  <c r="BM72" i="49" s="1"/>
  <c r="AM72" i="49"/>
  <c r="AZ72" i="49" s="1" a="1"/>
  <c r="AZ72" i="49" s="1"/>
  <c r="BN72" i="49" s="1"/>
  <c r="AN72" i="49"/>
  <c r="BA72" i="49" s="1" a="1"/>
  <c r="BA72" i="49" s="1"/>
  <c r="BO72" i="49" s="1"/>
  <c r="AE75" i="49"/>
  <c r="AR75" i="49" s="1" a="1"/>
  <c r="AR75" i="49" s="1"/>
  <c r="BF75" i="49" s="1"/>
  <c r="AF75" i="49"/>
  <c r="AS75" i="49" s="1" a="1"/>
  <c r="AS75" i="49" s="1"/>
  <c r="AG75" i="49"/>
  <c r="AT75" i="49" s="1" a="1"/>
  <c r="AT75" i="49" s="1"/>
  <c r="AH75" i="49"/>
  <c r="AU75" i="49" s="1" a="1"/>
  <c r="AU75" i="49" s="1"/>
  <c r="BI75" i="49" s="1"/>
  <c r="AI75" i="49"/>
  <c r="AV75" i="49" s="1" a="1"/>
  <c r="AV75" i="49" s="1"/>
  <c r="BJ75" i="49" s="1"/>
  <c r="AJ75" i="49"/>
  <c r="AW75" i="49" s="1" a="1"/>
  <c r="AW75" i="49" s="1"/>
  <c r="BK75" i="49" s="1"/>
  <c r="AK75" i="49"/>
  <c r="AX75" i="49" s="1" a="1"/>
  <c r="AX75" i="49" s="1"/>
  <c r="BL75" i="49" s="1"/>
  <c r="AL75" i="49"/>
  <c r="AY75" i="49" s="1" a="1"/>
  <c r="AY75" i="49" s="1"/>
  <c r="BM75" i="49" s="1"/>
  <c r="AM75" i="49"/>
  <c r="AZ75" i="49" s="1" a="1"/>
  <c r="AZ75" i="49" s="1"/>
  <c r="BN75" i="49" s="1"/>
  <c r="AN75" i="49"/>
  <c r="BA75" i="49" s="1" a="1"/>
  <c r="BA75" i="49" s="1"/>
  <c r="BO75" i="49" s="1"/>
  <c r="AE83" i="49"/>
  <c r="AR83" i="49" s="1" a="1"/>
  <c r="AR83" i="49" s="1"/>
  <c r="BF83" i="49" s="1"/>
  <c r="AF83" i="49"/>
  <c r="AS83" i="49" s="1" a="1"/>
  <c r="AS83" i="49" s="1"/>
  <c r="BG83" i="49" s="1"/>
  <c r="AG83" i="49"/>
  <c r="AT83" i="49" s="1" a="1"/>
  <c r="AT83" i="49" s="1"/>
  <c r="AH83" i="49"/>
  <c r="AU83" i="49" s="1" a="1"/>
  <c r="AU83" i="49" s="1"/>
  <c r="BI83" i="49" s="1"/>
  <c r="AI83" i="49"/>
  <c r="AV83" i="49" s="1" a="1"/>
  <c r="AV83" i="49" s="1"/>
  <c r="AJ83" i="49"/>
  <c r="AW83" i="49" s="1" a="1"/>
  <c r="AW83" i="49" s="1"/>
  <c r="AK83" i="49"/>
  <c r="AX83" i="49" s="1" a="1"/>
  <c r="AX83" i="49" s="1"/>
  <c r="AL83" i="49"/>
  <c r="AY83" i="49" s="1" a="1"/>
  <c r="AY83" i="49" s="1"/>
  <c r="AM83" i="49"/>
  <c r="AZ83" i="49" s="1" a="1"/>
  <c r="AZ83" i="49" s="1"/>
  <c r="AN83" i="49"/>
  <c r="BA83" i="49" s="1" a="1"/>
  <c r="BA83" i="49" s="1"/>
  <c r="AE84" i="49"/>
  <c r="AR84" i="49" s="1" a="1"/>
  <c r="AR84" i="49" s="1"/>
  <c r="AF84" i="49"/>
  <c r="AS84" i="49" s="1" a="1"/>
  <c r="AS84" i="49" s="1"/>
  <c r="AG84" i="49"/>
  <c r="AT84" i="49" s="1" a="1"/>
  <c r="AT84" i="49" s="1"/>
  <c r="AH84" i="49"/>
  <c r="AU84" i="49" s="1" a="1"/>
  <c r="AU84" i="49" s="1"/>
  <c r="AI84" i="49"/>
  <c r="AV84" i="49" s="1" a="1"/>
  <c r="AV84" i="49" s="1"/>
  <c r="AJ84" i="49"/>
  <c r="AW84" i="49" s="1" a="1"/>
  <c r="AW84" i="49" s="1"/>
  <c r="BK84" i="49" s="1"/>
  <c r="AK84" i="49"/>
  <c r="AX84" i="49" s="1" a="1"/>
  <c r="AX84" i="49" s="1"/>
  <c r="AL84" i="49"/>
  <c r="AY84" i="49" s="1" a="1"/>
  <c r="AY84" i="49" s="1"/>
  <c r="AM84" i="49"/>
  <c r="AZ84" i="49" s="1" a="1"/>
  <c r="AZ84" i="49" s="1"/>
  <c r="AN84" i="49"/>
  <c r="BA84" i="49" s="1" a="1"/>
  <c r="BA84" i="49" s="1"/>
  <c r="AE85" i="49"/>
  <c r="AR85" i="49" s="1" a="1"/>
  <c r="AR85" i="49" s="1"/>
  <c r="AF85" i="49"/>
  <c r="AS85" i="49" s="1" a="1"/>
  <c r="AS85" i="49" s="1"/>
  <c r="AG85" i="49"/>
  <c r="AT85" i="49" s="1" a="1"/>
  <c r="AT85" i="49" s="1"/>
  <c r="AH85" i="49"/>
  <c r="AU85" i="49" s="1" a="1"/>
  <c r="AU85" i="49" s="1"/>
  <c r="AI85" i="49"/>
  <c r="AV85" i="49" s="1" a="1"/>
  <c r="AV85" i="49" s="1"/>
  <c r="AJ85" i="49"/>
  <c r="AW85" i="49" s="1" a="1"/>
  <c r="AW85" i="49" s="1"/>
  <c r="AK85" i="49"/>
  <c r="AX85" i="49" s="1" a="1"/>
  <c r="AX85" i="49" s="1"/>
  <c r="AL85" i="49"/>
  <c r="AY85" i="49" s="1" a="1"/>
  <c r="AY85" i="49" s="1"/>
  <c r="AM85" i="49"/>
  <c r="AZ85" i="49" s="1" a="1"/>
  <c r="AZ85" i="49" s="1"/>
  <c r="AN85" i="49"/>
  <c r="BA85" i="49" s="1" a="1"/>
  <c r="BA85" i="49" s="1"/>
  <c r="BO85" i="49" s="1"/>
  <c r="AE86" i="49"/>
  <c r="AR86" i="49" s="1" a="1"/>
  <c r="AR86" i="49" s="1"/>
  <c r="AF86" i="49"/>
  <c r="AS86" i="49" s="1" a="1"/>
  <c r="AS86" i="49" s="1"/>
  <c r="AG86" i="49"/>
  <c r="AT86" i="49" s="1" a="1"/>
  <c r="AT86" i="49" s="1"/>
  <c r="AH86" i="49"/>
  <c r="AU86" i="49" s="1" a="1"/>
  <c r="AU86" i="49" s="1"/>
  <c r="BI86" i="49" s="1"/>
  <c r="AI86" i="49"/>
  <c r="AV86" i="49" s="1" a="1"/>
  <c r="AV86" i="49" s="1"/>
  <c r="AJ86" i="49"/>
  <c r="AW86" i="49" s="1" a="1"/>
  <c r="AW86" i="49" s="1"/>
  <c r="AK86" i="49"/>
  <c r="AX86" i="49" s="1" a="1"/>
  <c r="AX86" i="49" s="1"/>
  <c r="AL86" i="49"/>
  <c r="AY86" i="49" s="1" a="1"/>
  <c r="AY86" i="49" s="1"/>
  <c r="AM86" i="49"/>
  <c r="AZ86" i="49" s="1" a="1"/>
  <c r="AZ86" i="49" s="1"/>
  <c r="AN86" i="49"/>
  <c r="BA86" i="49" s="1" a="1"/>
  <c r="BA86" i="49" s="1"/>
  <c r="AE88" i="49"/>
  <c r="AR88" i="49" s="1" a="1"/>
  <c r="AR88" i="49" s="1"/>
  <c r="BF88" i="49" s="1"/>
  <c r="AF88" i="49"/>
  <c r="AS88" i="49" s="1" a="1"/>
  <c r="AS88" i="49" s="1"/>
  <c r="BG88" i="49" s="1"/>
  <c r="AG88" i="49"/>
  <c r="AT88" i="49" s="1" a="1"/>
  <c r="AT88" i="49" s="1"/>
  <c r="BH88" i="49" s="1"/>
  <c r="AH88" i="49"/>
  <c r="AU88" i="49" s="1" a="1"/>
  <c r="AU88" i="49" s="1"/>
  <c r="BI88" i="49" s="1"/>
  <c r="AI88" i="49"/>
  <c r="AV88" i="49" s="1" a="1"/>
  <c r="AV88" i="49" s="1"/>
  <c r="BJ88" i="49" s="1"/>
  <c r="AJ88" i="49"/>
  <c r="AW88" i="49" s="1" a="1"/>
  <c r="AW88" i="49" s="1"/>
  <c r="BK88" i="49" s="1"/>
  <c r="AK88" i="49"/>
  <c r="AX88" i="49" s="1" a="1"/>
  <c r="AX88" i="49" s="1"/>
  <c r="BL88" i="49" s="1"/>
  <c r="AL88" i="49"/>
  <c r="AY88" i="49" s="1" a="1"/>
  <c r="AY88" i="49" s="1"/>
  <c r="BM88" i="49" s="1"/>
  <c r="AM88" i="49"/>
  <c r="AZ88" i="49" s="1" a="1"/>
  <c r="AZ88" i="49" s="1"/>
  <c r="BN88" i="49" s="1"/>
  <c r="AN88" i="49"/>
  <c r="BA88" i="49" s="1" a="1"/>
  <c r="BA88" i="49" s="1"/>
  <c r="BO88" i="49" s="1"/>
  <c r="AE90" i="49"/>
  <c r="AR90" i="49" s="1" a="1"/>
  <c r="AR90" i="49" s="1"/>
  <c r="BF90" i="49" s="1"/>
  <c r="AF90" i="49"/>
  <c r="AS90" i="49" s="1" a="1"/>
  <c r="AS90" i="49" s="1"/>
  <c r="BG90" i="49" s="1"/>
  <c r="AG90" i="49"/>
  <c r="AT90" i="49" s="1" a="1"/>
  <c r="AT90" i="49" s="1"/>
  <c r="BH90" i="49" s="1"/>
  <c r="AH90" i="49"/>
  <c r="AU90" i="49" s="1" a="1"/>
  <c r="AU90" i="49" s="1"/>
  <c r="BI90" i="49" s="1"/>
  <c r="AI90" i="49"/>
  <c r="AV90" i="49" s="1" a="1"/>
  <c r="AV90" i="49" s="1"/>
  <c r="BJ90" i="49" s="1"/>
  <c r="AJ90" i="49"/>
  <c r="AW90" i="49" s="1" a="1"/>
  <c r="AW90" i="49" s="1"/>
  <c r="BK90" i="49" s="1"/>
  <c r="AK90" i="49"/>
  <c r="AX90" i="49" s="1" a="1"/>
  <c r="AX90" i="49" s="1"/>
  <c r="BL90" i="49" s="1"/>
  <c r="AL90" i="49"/>
  <c r="AY90" i="49" s="1" a="1"/>
  <c r="AY90" i="49" s="1"/>
  <c r="BM90" i="49" s="1"/>
  <c r="AM90" i="49"/>
  <c r="AZ90" i="49" s="1" a="1"/>
  <c r="AZ90" i="49" s="1"/>
  <c r="BN90" i="49" s="1"/>
  <c r="AN90" i="49"/>
  <c r="BA90" i="49" s="1" a="1"/>
  <c r="BA90" i="49" s="1"/>
  <c r="BO90" i="49" s="1"/>
  <c r="AE91" i="49"/>
  <c r="AR91" i="49" s="1" a="1"/>
  <c r="AR91" i="49" s="1"/>
  <c r="BF91" i="49" s="1"/>
  <c r="AF91" i="49"/>
  <c r="AS91" i="49" s="1" a="1"/>
  <c r="AS91" i="49" s="1"/>
  <c r="BG91" i="49" s="1"/>
  <c r="AG91" i="49"/>
  <c r="AT91" i="49" s="1" a="1"/>
  <c r="AT91" i="49" s="1"/>
  <c r="BH91" i="49" s="1"/>
  <c r="AH91" i="49"/>
  <c r="AU91" i="49" s="1" a="1"/>
  <c r="AU91" i="49" s="1"/>
  <c r="BI91" i="49" s="1"/>
  <c r="AI91" i="49"/>
  <c r="AV91" i="49" s="1" a="1"/>
  <c r="AV91" i="49" s="1"/>
  <c r="BJ91" i="49" s="1"/>
  <c r="AJ91" i="49"/>
  <c r="AW91" i="49" s="1" a="1"/>
  <c r="AW91" i="49" s="1"/>
  <c r="BK91" i="49" s="1"/>
  <c r="AK91" i="49"/>
  <c r="AX91" i="49" s="1" a="1"/>
  <c r="AX91" i="49" s="1"/>
  <c r="BL91" i="49" s="1"/>
  <c r="AL91" i="49"/>
  <c r="AY91" i="49" s="1" a="1"/>
  <c r="AY91" i="49" s="1"/>
  <c r="BM91" i="49" s="1"/>
  <c r="AM91" i="49"/>
  <c r="AZ91" i="49" s="1" a="1"/>
  <c r="AZ91" i="49" s="1"/>
  <c r="BN91" i="49" s="1"/>
  <c r="AN91" i="49"/>
  <c r="BA91" i="49" s="1" a="1"/>
  <c r="BA91" i="49" s="1"/>
  <c r="BO91" i="49" s="1"/>
  <c r="AE92" i="49"/>
  <c r="AR92" i="49" s="1" a="1"/>
  <c r="AR92" i="49" s="1"/>
  <c r="BF92" i="49" s="1"/>
  <c r="AF92" i="49"/>
  <c r="AS92" i="49" s="1" a="1"/>
  <c r="AS92" i="49" s="1"/>
  <c r="BG92" i="49" s="1"/>
  <c r="AG92" i="49"/>
  <c r="AT92" i="49" s="1" a="1"/>
  <c r="AT92" i="49" s="1"/>
  <c r="BH92" i="49" s="1"/>
  <c r="AH92" i="49"/>
  <c r="AU92" i="49" s="1" a="1"/>
  <c r="AU92" i="49" s="1"/>
  <c r="BI92" i="49" s="1"/>
  <c r="AI92" i="49"/>
  <c r="AV92" i="49" s="1" a="1"/>
  <c r="AV92" i="49" s="1"/>
  <c r="BJ92" i="49" s="1"/>
  <c r="AJ92" i="49"/>
  <c r="AW92" i="49" s="1" a="1"/>
  <c r="AW92" i="49" s="1"/>
  <c r="BK92" i="49" s="1"/>
  <c r="AK92" i="49"/>
  <c r="AX92" i="49" s="1" a="1"/>
  <c r="AX92" i="49" s="1"/>
  <c r="BL92" i="49" s="1"/>
  <c r="AL92" i="49"/>
  <c r="AY92" i="49" s="1" a="1"/>
  <c r="AY92" i="49" s="1"/>
  <c r="BM92" i="49" s="1"/>
  <c r="AM92" i="49"/>
  <c r="AZ92" i="49" s="1" a="1"/>
  <c r="AZ92" i="49" s="1"/>
  <c r="BN92" i="49" s="1"/>
  <c r="AN92" i="49"/>
  <c r="BA92" i="49" s="1" a="1"/>
  <c r="BA92" i="49" s="1"/>
  <c r="BO92" i="49" s="1"/>
  <c r="AE94" i="49"/>
  <c r="AR94" i="49" s="1" a="1"/>
  <c r="AR94" i="49" s="1"/>
  <c r="BF94" i="49" s="1"/>
  <c r="AF94" i="49"/>
  <c r="AS94" i="49" s="1" a="1"/>
  <c r="AS94" i="49" s="1"/>
  <c r="BG94" i="49" s="1"/>
  <c r="AG94" i="49"/>
  <c r="AT94" i="49" s="1" a="1"/>
  <c r="AT94" i="49" s="1"/>
  <c r="AH94" i="49"/>
  <c r="AU94" i="49" s="1" a="1"/>
  <c r="AU94" i="49" s="1"/>
  <c r="BI94" i="49" s="1"/>
  <c r="AI94" i="49"/>
  <c r="AV94" i="49" s="1" a="1"/>
  <c r="AV94" i="49" s="1"/>
  <c r="AJ94" i="49"/>
  <c r="AW94" i="49" s="1" a="1"/>
  <c r="AW94" i="49" s="1"/>
  <c r="AK94" i="49"/>
  <c r="AX94" i="49" s="1" a="1"/>
  <c r="AX94" i="49" s="1"/>
  <c r="BL94" i="49" s="1"/>
  <c r="AL94" i="49"/>
  <c r="AY94" i="49" s="1" a="1"/>
  <c r="AY94" i="49" s="1"/>
  <c r="AM94" i="49"/>
  <c r="AZ94" i="49" s="1" a="1"/>
  <c r="AZ94" i="49" s="1"/>
  <c r="BN94" i="49" s="1"/>
  <c r="AN94" i="49"/>
  <c r="BA94" i="49" s="1" a="1"/>
  <c r="BA94" i="49" s="1"/>
  <c r="BO94" i="49" s="1"/>
  <c r="AE96" i="49"/>
  <c r="AR96" i="49" s="1" a="1"/>
  <c r="AR96" i="49" s="1"/>
  <c r="AF96" i="49"/>
  <c r="AS96" i="49" s="1" a="1"/>
  <c r="AS96" i="49" s="1"/>
  <c r="BG96" i="49" s="1"/>
  <c r="AG96" i="49"/>
  <c r="AT96" i="49" s="1" a="1"/>
  <c r="AT96" i="49" s="1"/>
  <c r="AH96" i="49"/>
  <c r="AU96" i="49" s="1" a="1"/>
  <c r="AU96" i="49" s="1"/>
  <c r="AI96" i="49"/>
  <c r="AV96" i="49" s="1" a="1"/>
  <c r="AV96" i="49" s="1"/>
  <c r="AJ96" i="49"/>
  <c r="AW96" i="49" s="1" a="1"/>
  <c r="AW96" i="49" s="1"/>
  <c r="AK96" i="49"/>
  <c r="AX96" i="49" s="1" a="1"/>
  <c r="AX96" i="49" s="1"/>
  <c r="AL96" i="49"/>
  <c r="AY96" i="49" s="1" a="1"/>
  <c r="AY96" i="49" s="1"/>
  <c r="AM96" i="49"/>
  <c r="AZ96" i="49" s="1" a="1"/>
  <c r="AZ96" i="49" s="1"/>
  <c r="AN96" i="49"/>
  <c r="BA96" i="49" s="1" a="1"/>
  <c r="BA96" i="49" s="1"/>
  <c r="AE105" i="49"/>
  <c r="AR105" i="49" s="1" a="1"/>
  <c r="AR105" i="49" s="1"/>
  <c r="BF105" i="49" s="1"/>
  <c r="AF105" i="49"/>
  <c r="AS105" i="49" s="1" a="1"/>
  <c r="AS105" i="49" s="1"/>
  <c r="BG105" i="49" s="1"/>
  <c r="AG105" i="49"/>
  <c r="AT105" i="49" s="1" a="1"/>
  <c r="AT105" i="49" s="1"/>
  <c r="BH105" i="49" s="1"/>
  <c r="AH105" i="49"/>
  <c r="AU105" i="49" s="1" a="1"/>
  <c r="AU105" i="49" s="1"/>
  <c r="BI105" i="49" s="1"/>
  <c r="AI105" i="49"/>
  <c r="AV105" i="49" s="1" a="1"/>
  <c r="AV105" i="49" s="1"/>
  <c r="BJ105" i="49" s="1"/>
  <c r="AJ105" i="49"/>
  <c r="AW105" i="49" s="1" a="1"/>
  <c r="AW105" i="49" s="1"/>
  <c r="BK105" i="49" s="1"/>
  <c r="AK105" i="49"/>
  <c r="AX105" i="49" s="1" a="1"/>
  <c r="AX105" i="49" s="1"/>
  <c r="BL105" i="49" s="1"/>
  <c r="AL105" i="49"/>
  <c r="AY105" i="49" s="1" a="1"/>
  <c r="AY105" i="49" s="1"/>
  <c r="BM105" i="49" s="1"/>
  <c r="AM105" i="49"/>
  <c r="AZ105" i="49" s="1" a="1"/>
  <c r="AZ105" i="49" s="1"/>
  <c r="BN105" i="49" s="1"/>
  <c r="AN105" i="49"/>
  <c r="BA105" i="49" s="1" a="1"/>
  <c r="BA105" i="49" s="1"/>
  <c r="BO105" i="49" s="1"/>
  <c r="AE108" i="49"/>
  <c r="AR108" i="49" s="1" a="1"/>
  <c r="AR108" i="49" s="1"/>
  <c r="BF108" i="49" s="1"/>
  <c r="AF108" i="49"/>
  <c r="AS108" i="49" s="1" a="1"/>
  <c r="AS108" i="49" s="1"/>
  <c r="BG108" i="49" s="1"/>
  <c r="AG108" i="49"/>
  <c r="AT108" i="49" s="1" a="1"/>
  <c r="AT108" i="49" s="1"/>
  <c r="BH108" i="49" s="1"/>
  <c r="AH108" i="49"/>
  <c r="AU108" i="49" s="1" a="1"/>
  <c r="AU108" i="49" s="1"/>
  <c r="BI108" i="49" s="1"/>
  <c r="AI108" i="49"/>
  <c r="AV108" i="49" s="1" a="1"/>
  <c r="AV108" i="49" s="1"/>
  <c r="BJ108" i="49" s="1"/>
  <c r="AJ108" i="49"/>
  <c r="AW108" i="49" s="1" a="1"/>
  <c r="AW108" i="49" s="1"/>
  <c r="BK108" i="49" s="1"/>
  <c r="AK108" i="49"/>
  <c r="AX108" i="49" s="1" a="1"/>
  <c r="AX108" i="49" s="1"/>
  <c r="BL108" i="49" s="1"/>
  <c r="AL108" i="49"/>
  <c r="AY108" i="49" s="1" a="1"/>
  <c r="AY108" i="49" s="1"/>
  <c r="BM108" i="49" s="1"/>
  <c r="AM108" i="49"/>
  <c r="AZ108" i="49" s="1" a="1"/>
  <c r="AZ108" i="49" s="1"/>
  <c r="BN108" i="49" s="1"/>
  <c r="AN108" i="49"/>
  <c r="BA108" i="49" s="1" a="1"/>
  <c r="BA108" i="49" s="1"/>
  <c r="BO108" i="49" s="1"/>
  <c r="AE110" i="49"/>
  <c r="AR110" i="49" s="1" a="1"/>
  <c r="AR110" i="49" s="1"/>
  <c r="BF110" i="49" s="1"/>
  <c r="AF110" i="49"/>
  <c r="AS110" i="49" s="1" a="1"/>
  <c r="AS110" i="49" s="1"/>
  <c r="BG110" i="49" s="1"/>
  <c r="AG110" i="49"/>
  <c r="AT110" i="49" s="1" a="1"/>
  <c r="AT110" i="49" s="1"/>
  <c r="BH110" i="49" s="1"/>
  <c r="AH110" i="49"/>
  <c r="AU110" i="49" s="1" a="1"/>
  <c r="AU110" i="49" s="1"/>
  <c r="BI110" i="49" s="1"/>
  <c r="AI110" i="49"/>
  <c r="AV110" i="49" s="1" a="1"/>
  <c r="AV110" i="49" s="1"/>
  <c r="BJ110" i="49" s="1"/>
  <c r="AJ110" i="49"/>
  <c r="AW110" i="49" s="1" a="1"/>
  <c r="AW110" i="49" s="1"/>
  <c r="BK110" i="49" s="1"/>
  <c r="AK110" i="49"/>
  <c r="AX110" i="49" s="1" a="1"/>
  <c r="AX110" i="49" s="1"/>
  <c r="BL110" i="49" s="1"/>
  <c r="AL110" i="49"/>
  <c r="AY110" i="49" s="1" a="1"/>
  <c r="AY110" i="49" s="1"/>
  <c r="BM110" i="49" s="1"/>
  <c r="AM110" i="49"/>
  <c r="AZ110" i="49" s="1" a="1"/>
  <c r="AZ110" i="49" s="1"/>
  <c r="BN110" i="49" s="1"/>
  <c r="AN110" i="49"/>
  <c r="BA110" i="49" s="1" a="1"/>
  <c r="BA110" i="49" s="1"/>
  <c r="BO110" i="49" s="1"/>
  <c r="AE111" i="49"/>
  <c r="AR111" i="49" s="1" a="1"/>
  <c r="AR111" i="49" s="1"/>
  <c r="BF111" i="49" s="1"/>
  <c r="AF111" i="49"/>
  <c r="AS111" i="49" s="1" a="1"/>
  <c r="AS111" i="49" s="1"/>
  <c r="BG111" i="49" s="1"/>
  <c r="AG111" i="49"/>
  <c r="AT111" i="49" s="1" a="1"/>
  <c r="AT111" i="49" s="1"/>
  <c r="BH111" i="49" s="1"/>
  <c r="AH111" i="49"/>
  <c r="AU111" i="49" s="1" a="1"/>
  <c r="AU111" i="49" s="1"/>
  <c r="BI111" i="49" s="1"/>
  <c r="AI111" i="49"/>
  <c r="AV111" i="49" s="1" a="1"/>
  <c r="AV111" i="49" s="1"/>
  <c r="BJ111" i="49" s="1"/>
  <c r="AJ111" i="49"/>
  <c r="AW111" i="49" s="1" a="1"/>
  <c r="AW111" i="49" s="1"/>
  <c r="BK111" i="49" s="1"/>
  <c r="AK111" i="49"/>
  <c r="AX111" i="49" s="1" a="1"/>
  <c r="AX111" i="49" s="1"/>
  <c r="BL111" i="49" s="1"/>
  <c r="AL111" i="49"/>
  <c r="AY111" i="49" s="1" a="1"/>
  <c r="AY111" i="49" s="1"/>
  <c r="BM111" i="49" s="1"/>
  <c r="AM111" i="49"/>
  <c r="AZ111" i="49" s="1" a="1"/>
  <c r="AZ111" i="49" s="1"/>
  <c r="BN111" i="49" s="1"/>
  <c r="AN111" i="49"/>
  <c r="BA111" i="49" s="1" a="1"/>
  <c r="BA111" i="49" s="1"/>
  <c r="BO111" i="49" s="1"/>
  <c r="AE116" i="49"/>
  <c r="AR116" i="49" s="1" a="1"/>
  <c r="AR116" i="49" s="1"/>
  <c r="BF116" i="49" s="1"/>
  <c r="AF116" i="49"/>
  <c r="AS116" i="49" s="1" a="1"/>
  <c r="AS116" i="49" s="1"/>
  <c r="BG116" i="49" s="1"/>
  <c r="AG116" i="49"/>
  <c r="AT116" i="49" s="1" a="1"/>
  <c r="AT116" i="49" s="1"/>
  <c r="BH116" i="49" s="1"/>
  <c r="AH116" i="49"/>
  <c r="AU116" i="49" s="1" a="1"/>
  <c r="AU116" i="49" s="1"/>
  <c r="BI116" i="49" s="1"/>
  <c r="AI116" i="49"/>
  <c r="AV116" i="49" s="1" a="1"/>
  <c r="AV116" i="49" s="1"/>
  <c r="BJ116" i="49" s="1"/>
  <c r="AJ116" i="49"/>
  <c r="AW116" i="49" s="1" a="1"/>
  <c r="AW116" i="49" s="1"/>
  <c r="BK116" i="49" s="1"/>
  <c r="AK116" i="49"/>
  <c r="AX116" i="49" s="1" a="1"/>
  <c r="AX116" i="49" s="1"/>
  <c r="BL116" i="49" s="1"/>
  <c r="AL116" i="49"/>
  <c r="AY116" i="49" s="1" a="1"/>
  <c r="AY116" i="49" s="1"/>
  <c r="BM116" i="49" s="1"/>
  <c r="AM116" i="49"/>
  <c r="AZ116" i="49" s="1" a="1"/>
  <c r="AZ116" i="49" s="1"/>
  <c r="BN116" i="49" s="1"/>
  <c r="AN116" i="49"/>
  <c r="BA116" i="49" s="1" a="1"/>
  <c r="BA116" i="49" s="1"/>
  <c r="BO116" i="49" s="1"/>
  <c r="AE121" i="49"/>
  <c r="AR121" i="49" s="1" a="1"/>
  <c r="AR121" i="49" s="1"/>
  <c r="AF121" i="49"/>
  <c r="AS121" i="49" s="1" a="1"/>
  <c r="AS121" i="49" s="1"/>
  <c r="AG121" i="49"/>
  <c r="AT121" i="49" s="1" a="1"/>
  <c r="AT121" i="49" s="1"/>
  <c r="AH121" i="49"/>
  <c r="AU121" i="49" s="1" a="1"/>
  <c r="AU121" i="49" s="1"/>
  <c r="AI121" i="49"/>
  <c r="AV121" i="49" s="1" a="1"/>
  <c r="AV121" i="49" s="1"/>
  <c r="AJ121" i="49"/>
  <c r="AW121" i="49" s="1" a="1"/>
  <c r="AW121" i="49" s="1"/>
  <c r="AK121" i="49"/>
  <c r="AX121" i="49" s="1" a="1"/>
  <c r="AX121" i="49" s="1"/>
  <c r="AL121" i="49"/>
  <c r="AY121" i="49" s="1" a="1"/>
  <c r="AY121" i="49" s="1"/>
  <c r="AM121" i="49"/>
  <c r="AZ121" i="49" s="1" a="1"/>
  <c r="AZ121" i="49" s="1"/>
  <c r="AN121" i="49"/>
  <c r="BA121" i="49" s="1" a="1"/>
  <c r="BA121" i="49" s="1"/>
  <c r="BO121" i="49" s="1"/>
  <c r="AE122" i="49"/>
  <c r="AR122" i="49" s="1" a="1"/>
  <c r="AR122" i="49" s="1"/>
  <c r="BF122" i="49" s="1"/>
  <c r="AF122" i="49"/>
  <c r="AS122" i="49" s="1" a="1"/>
  <c r="AS122" i="49" s="1"/>
  <c r="AG122" i="49"/>
  <c r="AT122" i="49" s="1" a="1"/>
  <c r="AT122" i="49" s="1"/>
  <c r="AH122" i="49"/>
  <c r="AU122" i="49" s="1" a="1"/>
  <c r="AU122" i="49" s="1"/>
  <c r="AI122" i="49"/>
  <c r="AV122" i="49" s="1" a="1"/>
  <c r="AV122" i="49" s="1"/>
  <c r="AJ122" i="49"/>
  <c r="AW122" i="49" s="1" a="1"/>
  <c r="AW122" i="49" s="1"/>
  <c r="AK122" i="49"/>
  <c r="AX122" i="49" s="1" a="1"/>
  <c r="AX122" i="49" s="1"/>
  <c r="AL122" i="49"/>
  <c r="AY122" i="49" s="1" a="1"/>
  <c r="AY122" i="49" s="1"/>
  <c r="AM122" i="49"/>
  <c r="AZ122" i="49" s="1" a="1"/>
  <c r="AZ122" i="49" s="1"/>
  <c r="AN122" i="49"/>
  <c r="BA122" i="49" s="1" a="1"/>
  <c r="BA122" i="49" s="1"/>
  <c r="BO122" i="49" s="1"/>
  <c r="AE127" i="49"/>
  <c r="AR127" i="49" s="1" a="1"/>
  <c r="AR127" i="49" s="1"/>
  <c r="BF127" i="49" s="1"/>
  <c r="AF127" i="49"/>
  <c r="AS127" i="49" s="1" a="1"/>
  <c r="AS127" i="49" s="1"/>
  <c r="AG127" i="49"/>
  <c r="AT127" i="49" s="1" a="1"/>
  <c r="AT127" i="49" s="1"/>
  <c r="AH127" i="49"/>
  <c r="AU127" i="49" s="1" a="1"/>
  <c r="AU127" i="49" s="1"/>
  <c r="AI127" i="49"/>
  <c r="AV127" i="49" s="1" a="1"/>
  <c r="AV127" i="49" s="1"/>
  <c r="AJ127" i="49"/>
  <c r="AW127" i="49" s="1" a="1"/>
  <c r="AW127" i="49" s="1"/>
  <c r="AK127" i="49"/>
  <c r="AX127" i="49" s="1" a="1"/>
  <c r="AX127" i="49" s="1"/>
  <c r="BL127" i="49" s="1"/>
  <c r="AL127" i="49"/>
  <c r="AY127" i="49" s="1" a="1"/>
  <c r="AY127" i="49" s="1"/>
  <c r="BM127" i="49" s="1"/>
  <c r="AM127" i="49"/>
  <c r="AZ127" i="49" s="1" a="1"/>
  <c r="AZ127" i="49" s="1"/>
  <c r="BN127" i="49" s="1"/>
  <c r="AN127" i="49"/>
  <c r="BA127" i="49" s="1" a="1"/>
  <c r="BA127" i="49" s="1"/>
  <c r="BO127" i="49" s="1"/>
  <c r="AE128" i="49"/>
  <c r="AR128" i="49" s="1" a="1"/>
  <c r="AR128" i="49" s="1"/>
  <c r="BF128" i="49" s="1"/>
  <c r="AF128" i="49"/>
  <c r="AS128" i="49" s="1" a="1"/>
  <c r="AS128" i="49" s="1"/>
  <c r="BG128" i="49" s="1"/>
  <c r="AG128" i="49"/>
  <c r="AT128" i="49" s="1" a="1"/>
  <c r="AT128" i="49" s="1"/>
  <c r="BH128" i="49" s="1"/>
  <c r="AH128" i="49"/>
  <c r="AU128" i="49" s="1" a="1"/>
  <c r="AU128" i="49" s="1"/>
  <c r="AI128" i="49"/>
  <c r="AV128" i="49" s="1" a="1"/>
  <c r="AV128" i="49" s="1"/>
  <c r="BJ128" i="49" s="1"/>
  <c r="AJ128" i="49"/>
  <c r="AW128" i="49" s="1" a="1"/>
  <c r="AW128" i="49" s="1"/>
  <c r="AK128" i="49"/>
  <c r="AX128" i="49" s="1" a="1"/>
  <c r="AX128" i="49" s="1"/>
  <c r="AL128" i="49"/>
  <c r="AY128" i="49" s="1" a="1"/>
  <c r="AY128" i="49" s="1"/>
  <c r="BM128" i="49" s="1"/>
  <c r="AM128" i="49"/>
  <c r="AZ128" i="49" s="1" a="1"/>
  <c r="AZ128" i="49" s="1"/>
  <c r="AN128" i="49"/>
  <c r="BA128" i="49" s="1" a="1"/>
  <c r="BA128" i="49" s="1"/>
  <c r="AE130" i="49"/>
  <c r="AR130" i="49" s="1" a="1"/>
  <c r="AR130" i="49" s="1"/>
  <c r="BF130" i="49" s="1"/>
  <c r="AF130" i="49"/>
  <c r="AS130" i="49" s="1" a="1"/>
  <c r="AS130" i="49" s="1"/>
  <c r="BG130" i="49" s="1"/>
  <c r="AG130" i="49"/>
  <c r="AT130" i="49" s="1" a="1"/>
  <c r="AT130" i="49" s="1"/>
  <c r="BH130" i="49" s="1"/>
  <c r="AH130" i="49"/>
  <c r="AU130" i="49" s="1" a="1"/>
  <c r="AU130" i="49" s="1"/>
  <c r="BI130" i="49" s="1"/>
  <c r="AI130" i="49"/>
  <c r="AV130" i="49" s="1" a="1"/>
  <c r="AV130" i="49" s="1"/>
  <c r="BJ130" i="49" s="1"/>
  <c r="AJ130" i="49"/>
  <c r="AW130" i="49" s="1" a="1"/>
  <c r="AW130" i="49" s="1"/>
  <c r="BK130" i="49" s="1"/>
  <c r="AK130" i="49"/>
  <c r="AX130" i="49" s="1" a="1"/>
  <c r="AX130" i="49" s="1"/>
  <c r="BL130" i="49" s="1"/>
  <c r="AL130" i="49"/>
  <c r="AY130" i="49" s="1" a="1"/>
  <c r="AY130" i="49" s="1"/>
  <c r="BM130" i="49" s="1"/>
  <c r="AM130" i="49"/>
  <c r="AZ130" i="49" s="1" a="1"/>
  <c r="AZ130" i="49" s="1"/>
  <c r="BN130" i="49" s="1"/>
  <c r="AN130" i="49"/>
  <c r="BA130" i="49" s="1" a="1"/>
  <c r="BA130" i="49" s="1"/>
  <c r="BO130" i="49" s="1"/>
  <c r="AE140" i="49"/>
  <c r="AR140" i="49" s="1" a="1"/>
  <c r="AR140" i="49" s="1"/>
  <c r="BF140" i="49" s="1"/>
  <c r="AF140" i="49"/>
  <c r="AS140" i="49" s="1" a="1"/>
  <c r="AS140" i="49" s="1"/>
  <c r="BG140" i="49" s="1"/>
  <c r="AG140" i="49"/>
  <c r="AT140" i="49" s="1" a="1"/>
  <c r="AT140" i="49" s="1"/>
  <c r="BH140" i="49" s="1"/>
  <c r="AH140" i="49"/>
  <c r="AU140" i="49" s="1" a="1"/>
  <c r="AU140" i="49" s="1"/>
  <c r="BI140" i="49" s="1"/>
  <c r="AI140" i="49"/>
  <c r="AV140" i="49" s="1" a="1"/>
  <c r="AV140" i="49" s="1"/>
  <c r="BJ140" i="49" s="1"/>
  <c r="AJ140" i="49"/>
  <c r="AW140" i="49" s="1" a="1"/>
  <c r="AW140" i="49" s="1"/>
  <c r="BK140" i="49" s="1"/>
  <c r="AK140" i="49"/>
  <c r="AX140" i="49" s="1" a="1"/>
  <c r="AX140" i="49" s="1"/>
  <c r="BL140" i="49" s="1"/>
  <c r="AL140" i="49"/>
  <c r="AY140" i="49" s="1" a="1"/>
  <c r="AY140" i="49" s="1"/>
  <c r="BM140" i="49" s="1"/>
  <c r="AM140" i="49"/>
  <c r="AZ140" i="49" s="1" a="1"/>
  <c r="AZ140" i="49" s="1"/>
  <c r="BN140" i="49" s="1"/>
  <c r="AN140" i="49"/>
  <c r="BA140" i="49" s="1" a="1"/>
  <c r="BA140" i="49" s="1"/>
  <c r="BO140" i="49" s="1"/>
  <c r="AE143" i="49"/>
  <c r="AR143" i="49" s="1" a="1"/>
  <c r="AR143" i="49" s="1"/>
  <c r="BF143" i="49" s="1"/>
  <c r="AF143" i="49"/>
  <c r="AS143" i="49" s="1" a="1"/>
  <c r="AS143" i="49" s="1"/>
  <c r="BG143" i="49" s="1"/>
  <c r="AG143" i="49"/>
  <c r="AT143" i="49" s="1" a="1"/>
  <c r="AT143" i="49" s="1"/>
  <c r="BH143" i="49" s="1"/>
  <c r="AH143" i="49"/>
  <c r="AU143" i="49" s="1" a="1"/>
  <c r="AU143" i="49" s="1"/>
  <c r="BI143" i="49" s="1"/>
  <c r="AI143" i="49"/>
  <c r="AV143" i="49" s="1" a="1"/>
  <c r="AV143" i="49" s="1"/>
  <c r="BJ143" i="49" s="1"/>
  <c r="AJ143" i="49"/>
  <c r="AW143" i="49" s="1" a="1"/>
  <c r="AW143" i="49" s="1"/>
  <c r="BK143" i="49" s="1"/>
  <c r="AK143" i="49"/>
  <c r="AX143" i="49" s="1" a="1"/>
  <c r="AX143" i="49" s="1"/>
  <c r="BL143" i="49" s="1"/>
  <c r="AL143" i="49"/>
  <c r="AY143" i="49" s="1" a="1"/>
  <c r="AY143" i="49" s="1"/>
  <c r="BM143" i="49" s="1"/>
  <c r="AM143" i="49"/>
  <c r="AZ143" i="49" s="1" a="1"/>
  <c r="AZ143" i="49" s="1"/>
  <c r="BN143" i="49" s="1"/>
  <c r="AN143" i="49"/>
  <c r="BA143" i="49" s="1" a="1"/>
  <c r="BA143" i="49" s="1"/>
  <c r="BO143" i="49" s="1"/>
  <c r="AE145" i="49"/>
  <c r="AR145" i="49" s="1" a="1"/>
  <c r="AR145" i="49" s="1"/>
  <c r="BF145" i="49" s="1"/>
  <c r="AF145" i="49"/>
  <c r="AS145" i="49" s="1" a="1"/>
  <c r="AS145" i="49" s="1"/>
  <c r="BG145" i="49" s="1"/>
  <c r="AG145" i="49"/>
  <c r="AT145" i="49" s="1" a="1"/>
  <c r="AT145" i="49" s="1"/>
  <c r="BH145" i="49" s="1"/>
  <c r="AH145" i="49"/>
  <c r="AU145" i="49" s="1" a="1"/>
  <c r="AU145" i="49" s="1"/>
  <c r="BI145" i="49" s="1"/>
  <c r="AI145" i="49"/>
  <c r="AV145" i="49" s="1" a="1"/>
  <c r="AV145" i="49" s="1"/>
  <c r="BJ145" i="49" s="1"/>
  <c r="AJ145" i="49"/>
  <c r="AW145" i="49" s="1" a="1"/>
  <c r="AW145" i="49" s="1"/>
  <c r="BK145" i="49" s="1"/>
  <c r="AK145" i="49"/>
  <c r="AX145" i="49" s="1" a="1"/>
  <c r="AX145" i="49" s="1"/>
  <c r="BL145" i="49" s="1"/>
  <c r="AL145" i="49"/>
  <c r="AY145" i="49" s="1" a="1"/>
  <c r="AY145" i="49" s="1"/>
  <c r="BM145" i="49" s="1"/>
  <c r="AM145" i="49"/>
  <c r="AZ145" i="49" s="1" a="1"/>
  <c r="AZ145" i="49" s="1"/>
  <c r="BN145" i="49" s="1"/>
  <c r="AN145" i="49"/>
  <c r="BA145" i="49" s="1" a="1"/>
  <c r="BA145" i="49" s="1"/>
  <c r="BO145" i="49" s="1"/>
  <c r="AE148" i="49"/>
  <c r="AR148" i="49" s="1" a="1"/>
  <c r="AR148" i="49" s="1"/>
  <c r="BF148" i="49" s="1"/>
  <c r="AF148" i="49"/>
  <c r="AS148" i="49" s="1" a="1"/>
  <c r="AS148" i="49" s="1"/>
  <c r="BG148" i="49" s="1"/>
  <c r="AG148" i="49"/>
  <c r="AT148" i="49" s="1" a="1"/>
  <c r="AT148" i="49" s="1"/>
  <c r="BH148" i="49" s="1"/>
  <c r="AH148" i="49"/>
  <c r="AU148" i="49" s="1" a="1"/>
  <c r="AU148" i="49" s="1"/>
  <c r="BI148" i="49" s="1"/>
  <c r="AI148" i="49"/>
  <c r="AV148" i="49" s="1" a="1"/>
  <c r="AV148" i="49" s="1"/>
  <c r="BJ148" i="49" s="1"/>
  <c r="AJ148" i="49"/>
  <c r="AW148" i="49" s="1" a="1"/>
  <c r="AW148" i="49" s="1"/>
  <c r="BK148" i="49" s="1"/>
  <c r="AK148" i="49"/>
  <c r="AX148" i="49" s="1" a="1"/>
  <c r="AX148" i="49" s="1"/>
  <c r="BL148" i="49" s="1"/>
  <c r="AL148" i="49"/>
  <c r="AY148" i="49" s="1" a="1"/>
  <c r="AY148" i="49" s="1"/>
  <c r="BM148" i="49" s="1"/>
  <c r="AM148" i="49"/>
  <c r="AZ148" i="49" s="1" a="1"/>
  <c r="AZ148" i="49" s="1"/>
  <c r="BN148" i="49" s="1"/>
  <c r="AN148" i="49"/>
  <c r="BA148" i="49" s="1" a="1"/>
  <c r="BA148" i="49" s="1"/>
  <c r="BO148" i="49" s="1"/>
  <c r="AE149" i="49"/>
  <c r="AR149" i="49" s="1" a="1"/>
  <c r="AR149" i="49" s="1"/>
  <c r="BF149" i="49" s="1"/>
  <c r="AF149" i="49"/>
  <c r="AS149" i="49" s="1" a="1"/>
  <c r="AS149" i="49" s="1"/>
  <c r="BG149" i="49" s="1"/>
  <c r="AG149" i="49"/>
  <c r="AT149" i="49" s="1" a="1"/>
  <c r="AT149" i="49" s="1"/>
  <c r="BH149" i="49" s="1"/>
  <c r="AH149" i="49"/>
  <c r="AU149" i="49" s="1" a="1"/>
  <c r="AU149" i="49" s="1"/>
  <c r="BI149" i="49" s="1"/>
  <c r="AI149" i="49"/>
  <c r="AV149" i="49" s="1" a="1"/>
  <c r="AV149" i="49" s="1"/>
  <c r="BJ149" i="49" s="1"/>
  <c r="AJ149" i="49"/>
  <c r="AW149" i="49" s="1" a="1"/>
  <c r="AW149" i="49" s="1"/>
  <c r="AK149" i="49"/>
  <c r="AX149" i="49" s="1" a="1"/>
  <c r="AX149" i="49" s="1"/>
  <c r="AL149" i="49"/>
  <c r="AY149" i="49" s="1" a="1"/>
  <c r="AY149" i="49" s="1"/>
  <c r="AM149" i="49"/>
  <c r="AZ149" i="49" s="1" a="1"/>
  <c r="AZ149" i="49" s="1"/>
  <c r="AN149" i="49"/>
  <c r="BA149" i="49" s="1" a="1"/>
  <c r="BA149" i="49" s="1"/>
  <c r="AE151" i="49"/>
  <c r="AR151" i="49" s="1" a="1"/>
  <c r="AR151" i="49" s="1"/>
  <c r="AF151" i="49"/>
  <c r="AS151" i="49" s="1" a="1"/>
  <c r="AS151" i="49" s="1"/>
  <c r="AG151" i="49"/>
  <c r="AT151" i="49" s="1" a="1"/>
  <c r="AT151" i="49" s="1"/>
  <c r="AH151" i="49"/>
  <c r="AU151" i="49" s="1" a="1"/>
  <c r="AU151" i="49" s="1"/>
  <c r="AI151" i="49"/>
  <c r="AV151" i="49" s="1" a="1"/>
  <c r="AV151" i="49" s="1"/>
  <c r="BJ151" i="49" s="1"/>
  <c r="AJ151" i="49"/>
  <c r="AW151" i="49" s="1" a="1"/>
  <c r="AW151" i="49" s="1"/>
  <c r="BK151" i="49" s="1"/>
  <c r="AK151" i="49"/>
  <c r="AX151" i="49" s="1" a="1"/>
  <c r="AX151" i="49" s="1"/>
  <c r="AL151" i="49"/>
  <c r="AY151" i="49" s="1" a="1"/>
  <c r="AY151" i="49" s="1"/>
  <c r="AM151" i="49"/>
  <c r="AZ151" i="49" s="1" a="1"/>
  <c r="AZ151" i="49" s="1"/>
  <c r="AN151" i="49"/>
  <c r="BA151" i="49" s="1" a="1"/>
  <c r="BA151" i="49" s="1"/>
  <c r="AE155" i="49"/>
  <c r="AR155" i="49" s="1" a="1"/>
  <c r="AR155" i="49" s="1"/>
  <c r="BF155" i="49" s="1"/>
  <c r="AF155" i="49"/>
  <c r="AS155" i="49" s="1" a="1"/>
  <c r="AS155" i="49" s="1"/>
  <c r="BG155" i="49" s="1"/>
  <c r="AG155" i="49"/>
  <c r="AT155" i="49" s="1" a="1"/>
  <c r="AT155" i="49" s="1"/>
  <c r="BH155" i="49" s="1"/>
  <c r="AH155" i="49"/>
  <c r="AU155" i="49" s="1" a="1"/>
  <c r="AU155" i="49" s="1"/>
  <c r="BI155" i="49" s="1"/>
  <c r="AI155" i="49"/>
  <c r="AV155" i="49" s="1" a="1"/>
  <c r="AV155" i="49" s="1"/>
  <c r="BJ155" i="49" s="1"/>
  <c r="AJ155" i="49"/>
  <c r="AW155" i="49" s="1" a="1"/>
  <c r="AW155" i="49" s="1"/>
  <c r="BK155" i="49" s="1"/>
  <c r="AK155" i="49"/>
  <c r="AX155" i="49" s="1" a="1"/>
  <c r="AX155" i="49" s="1"/>
  <c r="BL155" i="49" s="1"/>
  <c r="AL155" i="49"/>
  <c r="AY155" i="49" s="1" a="1"/>
  <c r="AY155" i="49" s="1"/>
  <c r="BM155" i="49" s="1"/>
  <c r="AM155" i="49"/>
  <c r="AZ155" i="49" s="1" a="1"/>
  <c r="AZ155" i="49" s="1"/>
  <c r="BN155" i="49" s="1"/>
  <c r="AN155" i="49"/>
  <c r="BA155" i="49" s="1" a="1"/>
  <c r="BA155" i="49" s="1"/>
  <c r="BO155" i="49" s="1"/>
  <c r="AE161" i="49"/>
  <c r="AR161" i="49" s="1" a="1"/>
  <c r="AR161" i="49" s="1"/>
  <c r="BF161" i="49" s="1"/>
  <c r="AF161" i="49"/>
  <c r="AS161" i="49" s="1" a="1"/>
  <c r="AS161" i="49" s="1"/>
  <c r="BG161" i="49" s="1"/>
  <c r="AG161" i="49"/>
  <c r="AT161" i="49" s="1" a="1"/>
  <c r="AT161" i="49" s="1"/>
  <c r="BH161" i="49" s="1"/>
  <c r="AH161" i="49"/>
  <c r="AU161" i="49" s="1" a="1"/>
  <c r="AU161" i="49" s="1"/>
  <c r="BI161" i="49" s="1"/>
  <c r="AI161" i="49"/>
  <c r="AV161" i="49" s="1" a="1"/>
  <c r="AV161" i="49" s="1"/>
  <c r="BJ161" i="49" s="1"/>
  <c r="AJ161" i="49"/>
  <c r="AW161" i="49" s="1" a="1"/>
  <c r="AW161" i="49" s="1"/>
  <c r="BK161" i="49" s="1"/>
  <c r="AK161" i="49"/>
  <c r="AX161" i="49" s="1" a="1"/>
  <c r="AX161" i="49" s="1"/>
  <c r="BL161" i="49" s="1"/>
  <c r="AL161" i="49"/>
  <c r="AY161" i="49" s="1" a="1"/>
  <c r="AY161" i="49" s="1"/>
  <c r="BM161" i="49" s="1"/>
  <c r="AM161" i="49"/>
  <c r="AZ161" i="49" s="1" a="1"/>
  <c r="AZ161" i="49" s="1"/>
  <c r="BN161" i="49" s="1"/>
  <c r="AN161" i="49"/>
  <c r="BA161" i="49" s="1" a="1"/>
  <c r="BA161" i="49" s="1"/>
  <c r="BO161" i="49" s="1"/>
  <c r="AE170" i="49"/>
  <c r="AR170" i="49" s="1" a="1"/>
  <c r="AR170" i="49" s="1"/>
  <c r="AF170" i="49"/>
  <c r="AS170" i="49" s="1" a="1"/>
  <c r="AS170" i="49" s="1"/>
  <c r="AG170" i="49"/>
  <c r="AT170" i="49" s="1" a="1"/>
  <c r="AT170" i="49" s="1"/>
  <c r="AH170" i="49"/>
  <c r="AU170" i="49" s="1" a="1"/>
  <c r="AU170" i="49" s="1"/>
  <c r="AI170" i="49"/>
  <c r="AV170" i="49" s="1" a="1"/>
  <c r="AV170" i="49" s="1"/>
  <c r="BJ170" i="49" s="1"/>
  <c r="AJ170" i="49"/>
  <c r="AW170" i="49" s="1" a="1"/>
  <c r="AW170" i="49" s="1"/>
  <c r="BK170" i="49" s="1"/>
  <c r="AK170" i="49"/>
  <c r="AX170" i="49" s="1" a="1"/>
  <c r="AX170" i="49" s="1"/>
  <c r="AL170" i="49"/>
  <c r="AY170" i="49" s="1" a="1"/>
  <c r="AY170" i="49" s="1"/>
  <c r="AM170" i="49"/>
  <c r="AZ170" i="49" s="1" a="1"/>
  <c r="AZ170" i="49" s="1"/>
  <c r="AN170" i="49"/>
  <c r="BA170" i="49" s="1" a="1"/>
  <c r="BA170" i="49" s="1"/>
  <c r="AE174" i="49"/>
  <c r="AR174" i="49" s="1" a="1"/>
  <c r="AR174" i="49" s="1"/>
  <c r="BF174" i="49" s="1"/>
  <c r="AF174" i="49"/>
  <c r="AS174" i="49" s="1" a="1"/>
  <c r="AS174" i="49" s="1"/>
  <c r="BG174" i="49" s="1"/>
  <c r="AG174" i="49"/>
  <c r="AT174" i="49" s="1" a="1"/>
  <c r="AT174" i="49" s="1"/>
  <c r="BH174" i="49" s="1"/>
  <c r="AH174" i="49"/>
  <c r="AU174" i="49" s="1" a="1"/>
  <c r="AU174" i="49" s="1"/>
  <c r="BI174" i="49" s="1"/>
  <c r="AI174" i="49"/>
  <c r="AV174" i="49" s="1" a="1"/>
  <c r="AV174" i="49" s="1"/>
  <c r="BJ174" i="49" s="1"/>
  <c r="AJ174" i="49"/>
  <c r="AW174" i="49" s="1" a="1"/>
  <c r="AW174" i="49" s="1"/>
  <c r="BK174" i="49" s="1"/>
  <c r="AK174" i="49"/>
  <c r="AX174" i="49" s="1" a="1"/>
  <c r="AX174" i="49" s="1"/>
  <c r="BL174" i="49" s="1"/>
  <c r="AL174" i="49"/>
  <c r="AY174" i="49" s="1" a="1"/>
  <c r="AY174" i="49" s="1"/>
  <c r="BM174" i="49" s="1"/>
  <c r="AM174" i="49"/>
  <c r="AZ174" i="49" s="1" a="1"/>
  <c r="AZ174" i="49" s="1"/>
  <c r="BN174" i="49" s="1"/>
  <c r="AN174" i="49"/>
  <c r="BA174" i="49" s="1" a="1"/>
  <c r="BA174" i="49" s="1"/>
  <c r="BO174" i="49" s="1"/>
  <c r="AE180" i="49"/>
  <c r="AR180" i="49" s="1" a="1"/>
  <c r="AR180" i="49" s="1"/>
  <c r="BF180" i="49" s="1"/>
  <c r="AF180" i="49"/>
  <c r="AS180" i="49" s="1" a="1"/>
  <c r="AS180" i="49" s="1"/>
  <c r="BG180" i="49" s="1"/>
  <c r="AG180" i="49"/>
  <c r="AT180" i="49" s="1" a="1"/>
  <c r="AT180" i="49" s="1"/>
  <c r="AH180" i="49"/>
  <c r="AU180" i="49" s="1" a="1"/>
  <c r="AU180" i="49" s="1"/>
  <c r="AI180" i="49"/>
  <c r="AV180" i="49" s="1" a="1"/>
  <c r="AV180" i="49" s="1"/>
  <c r="AJ180" i="49"/>
  <c r="AW180" i="49" s="1" a="1"/>
  <c r="AW180" i="49" s="1"/>
  <c r="AK180" i="49"/>
  <c r="AX180" i="49" s="1" a="1"/>
  <c r="AX180" i="49" s="1"/>
  <c r="AL180" i="49"/>
  <c r="AY180" i="49" s="1" a="1"/>
  <c r="AY180" i="49" s="1"/>
  <c r="AM180" i="49"/>
  <c r="AZ180" i="49" s="1" a="1"/>
  <c r="AZ180" i="49" s="1"/>
  <c r="AN180" i="49"/>
  <c r="BA180" i="49" s="1" a="1"/>
  <c r="BA180" i="49" s="1"/>
  <c r="BO180" i="49" s="1"/>
  <c r="AE184" i="49"/>
  <c r="AR184" i="49" s="1" a="1"/>
  <c r="AR184" i="49" s="1"/>
  <c r="BF184" i="49" s="1"/>
  <c r="AF184" i="49"/>
  <c r="AS184" i="49" s="1" a="1"/>
  <c r="AS184" i="49" s="1"/>
  <c r="BG184" i="49" s="1"/>
  <c r="AG184" i="49"/>
  <c r="AT184" i="49" s="1" a="1"/>
  <c r="AT184" i="49" s="1"/>
  <c r="BH184" i="49" s="1"/>
  <c r="AH184" i="49"/>
  <c r="AU184" i="49" s="1" a="1"/>
  <c r="AU184" i="49" s="1"/>
  <c r="BI184" i="49" s="1"/>
  <c r="AI184" i="49"/>
  <c r="AV184" i="49" s="1" a="1"/>
  <c r="AV184" i="49" s="1"/>
  <c r="BJ184" i="49" s="1"/>
  <c r="AJ184" i="49"/>
  <c r="AW184" i="49" s="1" a="1"/>
  <c r="AW184" i="49" s="1"/>
  <c r="BK184" i="49" s="1"/>
  <c r="AK184" i="49"/>
  <c r="AX184" i="49" s="1" a="1"/>
  <c r="AX184" i="49" s="1"/>
  <c r="BL184" i="49" s="1"/>
  <c r="AL184" i="49"/>
  <c r="AY184" i="49" s="1" a="1"/>
  <c r="AY184" i="49" s="1"/>
  <c r="BM184" i="49" s="1"/>
  <c r="AM184" i="49"/>
  <c r="AZ184" i="49" s="1" a="1"/>
  <c r="AZ184" i="49" s="1"/>
  <c r="BN184" i="49" s="1"/>
  <c r="AN184" i="49"/>
  <c r="BA184" i="49" s="1" a="1"/>
  <c r="BA184" i="49" s="1"/>
  <c r="BO184" i="49" s="1"/>
  <c r="AE191" i="49"/>
  <c r="AR191" i="49" s="1" a="1"/>
  <c r="AR191" i="49" s="1"/>
  <c r="BF191" i="49" s="1"/>
  <c r="AF191" i="49"/>
  <c r="AS191" i="49" s="1" a="1"/>
  <c r="AS191" i="49" s="1"/>
  <c r="BG191" i="49" s="1"/>
  <c r="AG191" i="49"/>
  <c r="AT191" i="49" s="1" a="1"/>
  <c r="AT191" i="49" s="1"/>
  <c r="AH191" i="49"/>
  <c r="AU191" i="49" s="1" a="1"/>
  <c r="AU191" i="49" s="1"/>
  <c r="AI191" i="49"/>
  <c r="AV191" i="49" s="1" a="1"/>
  <c r="AV191" i="49" s="1"/>
  <c r="AJ191" i="49"/>
  <c r="AW191" i="49" s="1" a="1"/>
  <c r="AW191" i="49" s="1"/>
  <c r="AK191" i="49"/>
  <c r="AX191" i="49" s="1" a="1"/>
  <c r="AX191" i="49" s="1"/>
  <c r="AL191" i="49"/>
  <c r="AY191" i="49" s="1" a="1"/>
  <c r="AY191" i="49" s="1"/>
  <c r="AM191" i="49"/>
  <c r="AZ191" i="49" s="1" a="1"/>
  <c r="AZ191" i="49" s="1"/>
  <c r="AN191" i="49"/>
  <c r="BA191" i="49" s="1" a="1"/>
  <c r="BA191" i="49" s="1"/>
  <c r="AE196" i="49"/>
  <c r="AR196" i="49" s="1" a="1"/>
  <c r="AR196" i="49" s="1"/>
  <c r="BF196" i="49" s="1"/>
  <c r="AF196" i="49"/>
  <c r="AS196" i="49" s="1" a="1"/>
  <c r="AS196" i="49" s="1"/>
  <c r="BG196" i="49" s="1"/>
  <c r="AG196" i="49"/>
  <c r="AT196" i="49" s="1" a="1"/>
  <c r="AT196" i="49" s="1"/>
  <c r="BH196" i="49" s="1"/>
  <c r="AH196" i="49"/>
  <c r="AU196" i="49" s="1" a="1"/>
  <c r="AU196" i="49" s="1"/>
  <c r="BI196" i="49" s="1"/>
  <c r="AI196" i="49"/>
  <c r="AV196" i="49" s="1" a="1"/>
  <c r="AV196" i="49" s="1"/>
  <c r="BJ196" i="49" s="1"/>
  <c r="AJ196" i="49"/>
  <c r="AW196" i="49" s="1" a="1"/>
  <c r="AW196" i="49" s="1"/>
  <c r="BK196" i="49" s="1"/>
  <c r="AK196" i="49"/>
  <c r="AX196" i="49" s="1" a="1"/>
  <c r="AX196" i="49" s="1"/>
  <c r="BL196" i="49" s="1"/>
  <c r="AL196" i="49"/>
  <c r="AY196" i="49" s="1" a="1"/>
  <c r="AY196" i="49" s="1"/>
  <c r="BM196" i="49" s="1"/>
  <c r="AM196" i="49"/>
  <c r="AZ196" i="49" s="1" a="1"/>
  <c r="AZ196" i="49" s="1"/>
  <c r="BN196" i="49" s="1"/>
  <c r="AN196" i="49"/>
  <c r="BA196" i="49" s="1" a="1"/>
  <c r="BA196" i="49" s="1"/>
  <c r="BO196" i="49" s="1"/>
  <c r="AE197" i="49"/>
  <c r="AR197" i="49" s="1" a="1"/>
  <c r="AR197" i="49" s="1"/>
  <c r="BF197" i="49" s="1"/>
  <c r="AF197" i="49"/>
  <c r="AS197" i="49" s="1" a="1"/>
  <c r="AS197" i="49" s="1"/>
  <c r="BG197" i="49" s="1"/>
  <c r="AG197" i="49"/>
  <c r="AT197" i="49" s="1" a="1"/>
  <c r="AT197" i="49" s="1"/>
  <c r="BH197" i="49" s="1"/>
  <c r="AH197" i="49"/>
  <c r="AU197" i="49" s="1" a="1"/>
  <c r="AU197" i="49" s="1"/>
  <c r="BI197" i="49" s="1"/>
  <c r="AI197" i="49"/>
  <c r="AV197" i="49" s="1" a="1"/>
  <c r="AV197" i="49" s="1"/>
  <c r="BJ197" i="49" s="1"/>
  <c r="AJ197" i="49"/>
  <c r="AW197" i="49" s="1" a="1"/>
  <c r="AW197" i="49" s="1"/>
  <c r="BK197" i="49" s="1"/>
  <c r="AK197" i="49"/>
  <c r="AX197" i="49" s="1" a="1"/>
  <c r="AX197" i="49" s="1"/>
  <c r="BL197" i="49" s="1"/>
  <c r="AL197" i="49"/>
  <c r="AY197" i="49" s="1" a="1"/>
  <c r="AY197" i="49" s="1"/>
  <c r="BM197" i="49" s="1"/>
  <c r="AM197" i="49"/>
  <c r="AZ197" i="49" s="1" a="1"/>
  <c r="AZ197" i="49" s="1"/>
  <c r="BN197" i="49" s="1"/>
  <c r="AN197" i="49"/>
  <c r="BA197" i="49" s="1" a="1"/>
  <c r="BA197" i="49" s="1"/>
  <c r="BO197" i="49" s="1"/>
  <c r="AE198" i="49"/>
  <c r="AR198" i="49" s="1" a="1"/>
  <c r="AR198" i="49" s="1"/>
  <c r="BF198" i="49" s="1"/>
  <c r="AF198" i="49"/>
  <c r="AS198" i="49" s="1" a="1"/>
  <c r="AS198" i="49" s="1"/>
  <c r="BG198" i="49" s="1"/>
  <c r="AG198" i="49"/>
  <c r="AT198" i="49" s="1" a="1"/>
  <c r="AT198" i="49" s="1"/>
  <c r="BH198" i="49" s="1"/>
  <c r="AH198" i="49"/>
  <c r="AU198" i="49" s="1" a="1"/>
  <c r="AU198" i="49" s="1"/>
  <c r="BI198" i="49" s="1"/>
  <c r="AI198" i="49"/>
  <c r="AV198" i="49" s="1" a="1"/>
  <c r="AV198" i="49" s="1"/>
  <c r="BJ198" i="49" s="1"/>
  <c r="AJ198" i="49"/>
  <c r="AW198" i="49" s="1" a="1"/>
  <c r="AW198" i="49" s="1"/>
  <c r="BK198" i="49" s="1"/>
  <c r="AK198" i="49"/>
  <c r="AX198" i="49" s="1" a="1"/>
  <c r="AX198" i="49" s="1"/>
  <c r="BL198" i="49" s="1"/>
  <c r="AL198" i="49"/>
  <c r="AY198" i="49" s="1" a="1"/>
  <c r="AY198" i="49" s="1"/>
  <c r="BM198" i="49" s="1"/>
  <c r="AM198" i="49"/>
  <c r="AZ198" i="49" s="1" a="1"/>
  <c r="AZ198" i="49" s="1"/>
  <c r="BN198" i="49" s="1"/>
  <c r="AN198" i="49"/>
  <c r="BA198" i="49" s="1" a="1"/>
  <c r="BA198" i="49" s="1"/>
  <c r="BO198" i="49" s="1"/>
  <c r="AE201" i="49"/>
  <c r="AR201" i="49" s="1" a="1"/>
  <c r="AR201" i="49" s="1"/>
  <c r="BF201" i="49" s="1"/>
  <c r="AF201" i="49"/>
  <c r="AS201" i="49" s="1" a="1"/>
  <c r="AS201" i="49" s="1"/>
  <c r="BG201" i="49" s="1"/>
  <c r="AG201" i="49"/>
  <c r="AT201" i="49" s="1" a="1"/>
  <c r="AT201" i="49" s="1"/>
  <c r="BH201" i="49" s="1"/>
  <c r="AH201" i="49"/>
  <c r="AU201" i="49" s="1" a="1"/>
  <c r="AU201" i="49" s="1"/>
  <c r="BI201" i="49" s="1"/>
  <c r="AI201" i="49"/>
  <c r="AV201" i="49" s="1" a="1"/>
  <c r="AV201" i="49" s="1"/>
  <c r="BJ201" i="49" s="1"/>
  <c r="AJ201" i="49"/>
  <c r="AW201" i="49" s="1" a="1"/>
  <c r="AW201" i="49" s="1"/>
  <c r="BK201" i="49" s="1"/>
  <c r="AK201" i="49"/>
  <c r="AX201" i="49" s="1" a="1"/>
  <c r="AX201" i="49" s="1"/>
  <c r="BL201" i="49" s="1"/>
  <c r="AL201" i="49"/>
  <c r="AY201" i="49" s="1" a="1"/>
  <c r="AY201" i="49" s="1"/>
  <c r="BM201" i="49" s="1"/>
  <c r="AM201" i="49"/>
  <c r="AZ201" i="49" s="1" a="1"/>
  <c r="AZ201" i="49" s="1"/>
  <c r="BN201" i="49" s="1"/>
  <c r="AN201" i="49"/>
  <c r="BA201" i="49" s="1" a="1"/>
  <c r="BA201" i="49" s="1"/>
  <c r="BO201" i="49" s="1"/>
  <c r="AE203" i="49"/>
  <c r="AR203" i="49" s="1" a="1"/>
  <c r="AR203" i="49" s="1"/>
  <c r="BF203" i="49" s="1"/>
  <c r="AF203" i="49"/>
  <c r="AS203" i="49" s="1" a="1"/>
  <c r="AS203" i="49" s="1"/>
  <c r="BG203" i="49" s="1"/>
  <c r="AG203" i="49"/>
  <c r="AT203" i="49" s="1" a="1"/>
  <c r="AT203" i="49" s="1"/>
  <c r="BH203" i="49" s="1"/>
  <c r="AH203" i="49"/>
  <c r="AU203" i="49" s="1" a="1"/>
  <c r="AU203" i="49" s="1"/>
  <c r="BI203" i="49" s="1"/>
  <c r="AI203" i="49"/>
  <c r="AV203" i="49" s="1" a="1"/>
  <c r="AV203" i="49" s="1"/>
  <c r="BJ203" i="49" s="1"/>
  <c r="AJ203" i="49"/>
  <c r="AW203" i="49" s="1" a="1"/>
  <c r="AW203" i="49" s="1"/>
  <c r="BK203" i="49" s="1"/>
  <c r="AK203" i="49"/>
  <c r="AX203" i="49" s="1" a="1"/>
  <c r="AX203" i="49" s="1"/>
  <c r="BL203" i="49" s="1"/>
  <c r="AL203" i="49"/>
  <c r="AY203" i="49" s="1" a="1"/>
  <c r="AY203" i="49" s="1"/>
  <c r="BM203" i="49" s="1"/>
  <c r="AM203" i="49"/>
  <c r="AZ203" i="49" s="1" a="1"/>
  <c r="AZ203" i="49" s="1"/>
  <c r="BN203" i="49" s="1"/>
  <c r="AN203" i="49"/>
  <c r="BA203" i="49" s="1" a="1"/>
  <c r="BA203" i="49" s="1"/>
  <c r="BO203" i="49" s="1"/>
  <c r="AE211" i="49"/>
  <c r="AR211" i="49" s="1" a="1"/>
  <c r="AR211" i="49" s="1"/>
  <c r="BF211" i="49" s="1"/>
  <c r="AF211" i="49"/>
  <c r="AS211" i="49" s="1" a="1"/>
  <c r="AS211" i="49" s="1"/>
  <c r="BG211" i="49" s="1"/>
  <c r="AG211" i="49"/>
  <c r="AT211" i="49" s="1" a="1"/>
  <c r="AT211" i="49" s="1"/>
  <c r="BH211" i="49" s="1"/>
  <c r="AH211" i="49"/>
  <c r="AU211" i="49" s="1" a="1"/>
  <c r="AU211" i="49" s="1"/>
  <c r="BI211" i="49" s="1"/>
  <c r="AI211" i="49"/>
  <c r="AV211" i="49" s="1" a="1"/>
  <c r="AV211" i="49" s="1"/>
  <c r="BJ211" i="49" s="1"/>
  <c r="AJ211" i="49"/>
  <c r="AW211" i="49" s="1" a="1"/>
  <c r="AW211" i="49" s="1"/>
  <c r="BK211" i="49" s="1"/>
  <c r="AK211" i="49"/>
  <c r="AX211" i="49" s="1" a="1"/>
  <c r="AX211" i="49" s="1"/>
  <c r="BL211" i="49" s="1"/>
  <c r="AL211" i="49"/>
  <c r="AY211" i="49" s="1" a="1"/>
  <c r="AY211" i="49" s="1"/>
  <c r="BM211" i="49" s="1"/>
  <c r="AM211" i="49"/>
  <c r="AZ211" i="49" s="1" a="1"/>
  <c r="AZ211" i="49" s="1"/>
  <c r="BN211" i="49" s="1"/>
  <c r="AN211" i="49"/>
  <c r="BA211" i="49" s="1" a="1"/>
  <c r="BA211" i="49" s="1"/>
  <c r="BO211" i="49" s="1"/>
  <c r="AE214" i="49"/>
  <c r="AR214" i="49" s="1" a="1"/>
  <c r="AR214" i="49" s="1"/>
  <c r="BF214" i="49" s="1"/>
  <c r="AF214" i="49"/>
  <c r="AS214" i="49" s="1" a="1"/>
  <c r="AS214" i="49" s="1"/>
  <c r="AG214" i="49"/>
  <c r="AT214" i="49" s="1" a="1"/>
  <c r="AT214" i="49" s="1"/>
  <c r="AH214" i="49"/>
  <c r="AU214" i="49" s="1" a="1"/>
  <c r="AU214" i="49" s="1"/>
  <c r="BI214" i="49" s="1"/>
  <c r="AI214" i="49"/>
  <c r="AV214" i="49" s="1" a="1"/>
  <c r="AV214" i="49" s="1"/>
  <c r="BJ214" i="49" s="1"/>
  <c r="AJ214" i="49"/>
  <c r="AW214" i="49" s="1" a="1"/>
  <c r="AW214" i="49" s="1"/>
  <c r="BK214" i="49" s="1"/>
  <c r="AK214" i="49"/>
  <c r="AX214" i="49" s="1" a="1"/>
  <c r="AX214" i="49" s="1"/>
  <c r="BL214" i="49" s="1"/>
  <c r="AL214" i="49"/>
  <c r="AY214" i="49" s="1" a="1"/>
  <c r="AY214" i="49" s="1"/>
  <c r="AM214" i="49"/>
  <c r="AZ214" i="49" s="1" a="1"/>
  <c r="AZ214" i="49" s="1"/>
  <c r="AN214" i="49"/>
  <c r="BA214" i="49" s="1" a="1"/>
  <c r="BA214" i="49" s="1"/>
  <c r="BO214" i="49" s="1"/>
  <c r="AE231" i="49"/>
  <c r="AR231" i="49" s="1" a="1"/>
  <c r="AR231" i="49" s="1"/>
  <c r="BF231" i="49" s="1"/>
  <c r="AF231" i="49"/>
  <c r="AS231" i="49" s="1" a="1"/>
  <c r="AS231" i="49" s="1"/>
  <c r="BG231" i="49" s="1"/>
  <c r="AG231" i="49"/>
  <c r="AT231" i="49" s="1" a="1"/>
  <c r="AT231" i="49" s="1"/>
  <c r="BH231" i="49" s="1"/>
  <c r="AH231" i="49"/>
  <c r="AU231" i="49" s="1" a="1"/>
  <c r="AU231" i="49" s="1"/>
  <c r="BI231" i="49" s="1"/>
  <c r="AI231" i="49"/>
  <c r="AV231" i="49" s="1" a="1"/>
  <c r="AV231" i="49" s="1"/>
  <c r="BJ231" i="49" s="1"/>
  <c r="AJ231" i="49"/>
  <c r="AW231" i="49" s="1" a="1"/>
  <c r="AW231" i="49" s="1"/>
  <c r="BK231" i="49" s="1"/>
  <c r="AK231" i="49"/>
  <c r="AX231" i="49" s="1" a="1"/>
  <c r="AX231" i="49" s="1"/>
  <c r="BL231" i="49" s="1"/>
  <c r="AL231" i="49"/>
  <c r="AY231" i="49" s="1" a="1"/>
  <c r="AY231" i="49" s="1"/>
  <c r="BM231" i="49" s="1"/>
  <c r="AM231" i="49"/>
  <c r="AZ231" i="49" s="1" a="1"/>
  <c r="AZ231" i="49" s="1"/>
  <c r="BN231" i="49" s="1"/>
  <c r="AN231" i="49"/>
  <c r="BA231" i="49" s="1" a="1"/>
  <c r="BA231" i="49" s="1"/>
  <c r="BO231" i="49" s="1"/>
  <c r="AE232" i="49"/>
  <c r="AR232" i="49" s="1" a="1"/>
  <c r="AR232" i="49" s="1"/>
  <c r="BF232" i="49" s="1"/>
  <c r="AF232" i="49"/>
  <c r="AS232" i="49" s="1" a="1"/>
  <c r="AS232" i="49" s="1"/>
  <c r="BG232" i="49" s="1"/>
  <c r="AG232" i="49"/>
  <c r="AT232" i="49" s="1" a="1"/>
  <c r="AT232" i="49" s="1"/>
  <c r="BH232" i="49" s="1"/>
  <c r="AH232" i="49"/>
  <c r="AU232" i="49" s="1" a="1"/>
  <c r="AU232" i="49" s="1"/>
  <c r="BI232" i="49" s="1"/>
  <c r="AI232" i="49"/>
  <c r="AV232" i="49" s="1" a="1"/>
  <c r="AV232" i="49" s="1"/>
  <c r="AJ232" i="49"/>
  <c r="AW232" i="49" s="1" a="1"/>
  <c r="AW232" i="49" s="1"/>
  <c r="BK232" i="49" s="1"/>
  <c r="AK232" i="49"/>
  <c r="AX232" i="49" s="1" a="1"/>
  <c r="AX232" i="49" s="1"/>
  <c r="BL232" i="49" s="1"/>
  <c r="AL232" i="49"/>
  <c r="AY232" i="49" s="1" a="1"/>
  <c r="AY232" i="49" s="1"/>
  <c r="BM232" i="49" s="1"/>
  <c r="AM232" i="49"/>
  <c r="AZ232" i="49" s="1" a="1"/>
  <c r="AZ232" i="49" s="1"/>
  <c r="BN232" i="49" s="1"/>
  <c r="AN232" i="49"/>
  <c r="BA232" i="49" s="1" a="1"/>
  <c r="BA232" i="49" s="1"/>
  <c r="BO232" i="49" s="1"/>
  <c r="AI6" i="49"/>
  <c r="AV6" i="49" s="1" a="1"/>
  <c r="AV6" i="49" s="1"/>
  <c r="BJ6" i="49" s="1"/>
  <c r="AJ6" i="49"/>
  <c r="AW6" i="49" s="1" a="1"/>
  <c r="AW6" i="49" s="1"/>
  <c r="BK6" i="49" s="1"/>
  <c r="AN6" i="49"/>
  <c r="BA6" i="49" s="1" a="1"/>
  <c r="BA6" i="49" s="1"/>
  <c r="BO6" i="49" s="1"/>
  <c r="U6" i="49"/>
  <c r="AF6" i="49" s="1"/>
  <c r="AS6" i="49" s="1" a="1"/>
  <c r="AS6" i="49" s="1"/>
  <c r="BG6" i="49" s="1"/>
  <c r="V6" i="49"/>
  <c r="AG6" i="49" s="1"/>
  <c r="AT6" i="49" s="1" a="1"/>
  <c r="AT6" i="49" s="1"/>
  <c r="BH6" i="49" s="1"/>
  <c r="W6" i="49"/>
  <c r="AH6" i="49" s="1"/>
  <c r="AU6" i="49" s="1" a="1"/>
  <c r="AU6" i="49" s="1"/>
  <c r="BI6" i="49" s="1"/>
  <c r="X6" i="49"/>
  <c r="Y6" i="49"/>
  <c r="Z6" i="49"/>
  <c r="AK6" i="49" s="1"/>
  <c r="AX6" i="49" s="1" a="1"/>
  <c r="AX6" i="49" s="1"/>
  <c r="BL6" i="49" s="1"/>
  <c r="AA6" i="49"/>
  <c r="AL6" i="49" s="1"/>
  <c r="AY6" i="49" s="1" a="1"/>
  <c r="AY6" i="49" s="1"/>
  <c r="BM6" i="49" s="1"/>
  <c r="AB6" i="49"/>
  <c r="AM6" i="49" s="1"/>
  <c r="AZ6" i="49" s="1" a="1"/>
  <c r="AZ6" i="49" s="1"/>
  <c r="BN6" i="49" s="1"/>
  <c r="AC6" i="49"/>
  <c r="U8" i="49"/>
  <c r="AF8" i="49" s="1"/>
  <c r="AS8" i="49" s="1" a="1"/>
  <c r="AS8" i="49" s="1"/>
  <c r="BG8" i="49" s="1"/>
  <c r="V8" i="49"/>
  <c r="AG8" i="49" s="1"/>
  <c r="AT8" i="49" s="1" a="1"/>
  <c r="AT8" i="49" s="1"/>
  <c r="BH8" i="49" s="1"/>
  <c r="W8" i="49"/>
  <c r="AH8" i="49" s="1"/>
  <c r="AU8" i="49" s="1" a="1"/>
  <c r="AU8" i="49" s="1"/>
  <c r="BI8" i="49" s="1"/>
  <c r="X8" i="49"/>
  <c r="AI8" i="49" s="1"/>
  <c r="AV8" i="49" s="1" a="1"/>
  <c r="AV8" i="49" s="1"/>
  <c r="Y8" i="49"/>
  <c r="AJ8" i="49" s="1"/>
  <c r="AW8" i="49" s="1" a="1"/>
  <c r="AW8" i="49" s="1"/>
  <c r="Z8" i="49"/>
  <c r="AK8" i="49" s="1"/>
  <c r="AX8" i="49" s="1" a="1"/>
  <c r="AX8" i="49" s="1"/>
  <c r="BL8" i="49" s="1"/>
  <c r="AA8" i="49"/>
  <c r="AL8" i="49" s="1"/>
  <c r="AY8" i="49" s="1" a="1"/>
  <c r="AY8" i="49" s="1"/>
  <c r="AB8" i="49"/>
  <c r="AM8" i="49" s="1"/>
  <c r="AZ8" i="49" s="1" a="1"/>
  <c r="AZ8" i="49" s="1"/>
  <c r="AC8" i="49"/>
  <c r="AN8" i="49" s="1"/>
  <c r="BA8" i="49" s="1" a="1"/>
  <c r="BA8" i="49" s="1"/>
  <c r="BO8" i="49" s="1"/>
  <c r="U9" i="49"/>
  <c r="AF9" i="49" s="1"/>
  <c r="AS9" i="49" s="1" a="1"/>
  <c r="AS9" i="49" s="1"/>
  <c r="V9" i="49"/>
  <c r="AG9" i="49" s="1"/>
  <c r="AT9" i="49" s="1" a="1"/>
  <c r="AT9" i="49" s="1"/>
  <c r="W9" i="49"/>
  <c r="AH9" i="49" s="1"/>
  <c r="AU9" i="49" s="1" a="1"/>
  <c r="AU9" i="49" s="1"/>
  <c r="X9" i="49"/>
  <c r="AI9" i="49" s="1"/>
  <c r="AV9" i="49" s="1" a="1"/>
  <c r="AV9" i="49" s="1"/>
  <c r="Y9" i="49"/>
  <c r="AJ9" i="49" s="1"/>
  <c r="AW9" i="49" s="1" a="1"/>
  <c r="AW9" i="49" s="1"/>
  <c r="BK9" i="49" s="1"/>
  <c r="Z9" i="49"/>
  <c r="AK9" i="49" s="1"/>
  <c r="AX9" i="49" s="1" a="1"/>
  <c r="AX9" i="49" s="1"/>
  <c r="AA9" i="49"/>
  <c r="AL9" i="49" s="1"/>
  <c r="AY9" i="49" s="1" a="1"/>
  <c r="AY9" i="49" s="1"/>
  <c r="AB9" i="49"/>
  <c r="AM9" i="49" s="1"/>
  <c r="AZ9" i="49" s="1" a="1"/>
  <c r="AZ9" i="49" s="1"/>
  <c r="AC9" i="49"/>
  <c r="AN9" i="49" s="1"/>
  <c r="BA9" i="49" s="1" a="1"/>
  <c r="BA9" i="49" s="1"/>
  <c r="U11" i="49"/>
  <c r="AF11" i="49" s="1"/>
  <c r="AS11" i="49" s="1" a="1"/>
  <c r="AS11" i="49" s="1"/>
  <c r="V11" i="49"/>
  <c r="AG11" i="49" s="1"/>
  <c r="AT11" i="49" s="1" a="1"/>
  <c r="AT11" i="49" s="1"/>
  <c r="W11" i="49"/>
  <c r="AH11" i="49" s="1"/>
  <c r="AU11" i="49" s="1" a="1"/>
  <c r="AU11" i="49" s="1"/>
  <c r="X11" i="49"/>
  <c r="AI11" i="49" s="1"/>
  <c r="AV11" i="49" s="1" a="1"/>
  <c r="AV11" i="49" s="1"/>
  <c r="Y11" i="49"/>
  <c r="AJ11" i="49" s="1"/>
  <c r="AW11" i="49" s="1" a="1"/>
  <c r="AW11" i="49" s="1"/>
  <c r="Z11" i="49"/>
  <c r="AK11" i="49" s="1"/>
  <c r="AX11" i="49" s="1" a="1"/>
  <c r="AX11" i="49" s="1"/>
  <c r="AA11" i="49"/>
  <c r="AL11" i="49" s="1"/>
  <c r="AY11" i="49" s="1" a="1"/>
  <c r="AY11" i="49" s="1"/>
  <c r="AB11" i="49"/>
  <c r="AM11" i="49" s="1"/>
  <c r="AZ11" i="49" s="1" a="1"/>
  <c r="AZ11" i="49" s="1"/>
  <c r="BN11" i="49" s="1"/>
  <c r="AC11" i="49"/>
  <c r="AN11" i="49" s="1"/>
  <c r="BA11" i="49" s="1" a="1"/>
  <c r="BA11" i="49" s="1"/>
  <c r="U12" i="49"/>
  <c r="AF12" i="49" s="1"/>
  <c r="AS12" i="49" s="1" a="1"/>
  <c r="AS12" i="49" s="1"/>
  <c r="BG12" i="49" s="1"/>
  <c r="V12" i="49"/>
  <c r="AG12" i="49" s="1"/>
  <c r="AT12" i="49" s="1" a="1"/>
  <c r="AT12" i="49" s="1"/>
  <c r="W12" i="49"/>
  <c r="AH12" i="49" s="1"/>
  <c r="AU12" i="49" s="1" a="1"/>
  <c r="AU12" i="49" s="1"/>
  <c r="X12" i="49"/>
  <c r="AI12" i="49" s="1"/>
  <c r="AV12" i="49" s="1" a="1"/>
  <c r="AV12" i="49" s="1"/>
  <c r="Y12" i="49"/>
  <c r="AJ12" i="49" s="1"/>
  <c r="AW12" i="49" s="1" a="1"/>
  <c r="AW12" i="49" s="1"/>
  <c r="Z12" i="49"/>
  <c r="AK12" i="49" s="1"/>
  <c r="AX12" i="49" s="1" a="1"/>
  <c r="AX12" i="49" s="1"/>
  <c r="AA12" i="49"/>
  <c r="AL12" i="49" s="1"/>
  <c r="AY12" i="49" s="1" a="1"/>
  <c r="AY12" i="49" s="1"/>
  <c r="AB12" i="49"/>
  <c r="AM12" i="49" s="1"/>
  <c r="AZ12" i="49" s="1" a="1"/>
  <c r="AZ12" i="49" s="1"/>
  <c r="AC12" i="49"/>
  <c r="AN12" i="49" s="1"/>
  <c r="BA12" i="49" s="1" a="1"/>
  <c r="BA12" i="49" s="1"/>
  <c r="U14" i="49"/>
  <c r="AF14" i="49" s="1"/>
  <c r="AS14" i="49" s="1" a="1"/>
  <c r="AS14" i="49" s="1"/>
  <c r="BG14" i="49" s="1"/>
  <c r="V14" i="49"/>
  <c r="AG14" i="49" s="1"/>
  <c r="AT14" i="49" s="1" a="1"/>
  <c r="AT14" i="49" s="1"/>
  <c r="BH14" i="49" s="1"/>
  <c r="W14" i="49"/>
  <c r="AH14" i="49" s="1"/>
  <c r="AU14" i="49" s="1" a="1"/>
  <c r="AU14" i="49" s="1"/>
  <c r="BI14" i="49" s="1"/>
  <c r="X14" i="49"/>
  <c r="AI14" i="49" s="1"/>
  <c r="AV14" i="49" s="1" a="1"/>
  <c r="AV14" i="49" s="1"/>
  <c r="Y14" i="49"/>
  <c r="AJ14" i="49" s="1"/>
  <c r="AW14" i="49" s="1" a="1"/>
  <c r="AW14" i="49" s="1"/>
  <c r="Z14" i="49"/>
  <c r="AK14" i="49" s="1"/>
  <c r="AX14" i="49" s="1" a="1"/>
  <c r="AX14" i="49" s="1"/>
  <c r="BL14" i="49" s="1"/>
  <c r="AA14" i="49"/>
  <c r="AL14" i="49" s="1"/>
  <c r="AY14" i="49" s="1" a="1"/>
  <c r="AY14" i="49" s="1"/>
  <c r="AB14" i="49"/>
  <c r="AM14" i="49" s="1"/>
  <c r="AZ14" i="49" s="1" a="1"/>
  <c r="AZ14" i="49" s="1"/>
  <c r="BN14" i="49" s="1"/>
  <c r="AC14" i="49"/>
  <c r="AN14" i="49" s="1"/>
  <c r="BA14" i="49" s="1" a="1"/>
  <c r="BA14" i="49" s="1"/>
  <c r="BO14" i="49" s="1"/>
  <c r="U15" i="49"/>
  <c r="AF15" i="49" s="1"/>
  <c r="AS15" i="49" s="1" a="1"/>
  <c r="AS15" i="49" s="1"/>
  <c r="BG15" i="49" s="1"/>
  <c r="V15" i="49"/>
  <c r="AG15" i="49" s="1"/>
  <c r="AT15" i="49" s="1" a="1"/>
  <c r="AT15" i="49" s="1"/>
  <c r="BH15" i="49" s="1"/>
  <c r="W15" i="49"/>
  <c r="AH15" i="49" s="1"/>
  <c r="AU15" i="49" s="1" a="1"/>
  <c r="AU15" i="49" s="1"/>
  <c r="BI15" i="49" s="1"/>
  <c r="X15" i="49"/>
  <c r="AI15" i="49" s="1"/>
  <c r="AV15" i="49" s="1" a="1"/>
  <c r="AV15" i="49" s="1"/>
  <c r="BJ15" i="49" s="1"/>
  <c r="Y15" i="49"/>
  <c r="AJ15" i="49" s="1"/>
  <c r="AW15" i="49" s="1" a="1"/>
  <c r="AW15" i="49" s="1"/>
  <c r="BK15" i="49" s="1"/>
  <c r="Z15" i="49"/>
  <c r="AK15" i="49" s="1"/>
  <c r="AX15" i="49" s="1" a="1"/>
  <c r="AX15" i="49" s="1"/>
  <c r="BL15" i="49" s="1"/>
  <c r="AA15" i="49"/>
  <c r="AL15" i="49" s="1"/>
  <c r="AY15" i="49" s="1" a="1"/>
  <c r="AY15" i="49" s="1"/>
  <c r="BM15" i="49" s="1"/>
  <c r="AB15" i="49"/>
  <c r="AM15" i="49" s="1"/>
  <c r="AZ15" i="49" s="1" a="1"/>
  <c r="AZ15" i="49" s="1"/>
  <c r="BN15" i="49" s="1"/>
  <c r="AC15" i="49"/>
  <c r="AN15" i="49" s="1"/>
  <c r="BA15" i="49" s="1" a="1"/>
  <c r="BA15" i="49" s="1"/>
  <c r="BO15" i="49" s="1"/>
  <c r="U17" i="49"/>
  <c r="AF17" i="49" s="1"/>
  <c r="AS17" i="49" s="1" a="1"/>
  <c r="AS17" i="49" s="1"/>
  <c r="BG17" i="49" s="1"/>
  <c r="V17" i="49"/>
  <c r="AG17" i="49" s="1"/>
  <c r="AT17" i="49" s="1" a="1"/>
  <c r="AT17" i="49" s="1"/>
  <c r="BH17" i="49" s="1"/>
  <c r="W17" i="49"/>
  <c r="AH17" i="49" s="1"/>
  <c r="AU17" i="49" s="1" a="1"/>
  <c r="AU17" i="49" s="1"/>
  <c r="BI17" i="49" s="1"/>
  <c r="X17" i="49"/>
  <c r="AI17" i="49" s="1"/>
  <c r="AV17" i="49" s="1" a="1"/>
  <c r="AV17" i="49" s="1"/>
  <c r="BJ17" i="49" s="1"/>
  <c r="Y17" i="49"/>
  <c r="AJ17" i="49" s="1"/>
  <c r="AW17" i="49" s="1" a="1"/>
  <c r="AW17" i="49" s="1"/>
  <c r="BK17" i="49" s="1"/>
  <c r="Z17" i="49"/>
  <c r="AK17" i="49" s="1"/>
  <c r="AX17" i="49" s="1" a="1"/>
  <c r="AX17" i="49" s="1"/>
  <c r="BL17" i="49" s="1"/>
  <c r="AA17" i="49"/>
  <c r="AL17" i="49" s="1"/>
  <c r="AY17" i="49" s="1" a="1"/>
  <c r="AY17" i="49" s="1"/>
  <c r="BM17" i="49" s="1"/>
  <c r="AB17" i="49"/>
  <c r="AM17" i="49" s="1"/>
  <c r="AZ17" i="49" s="1" a="1"/>
  <c r="AZ17" i="49" s="1"/>
  <c r="BN17" i="49" s="1"/>
  <c r="AC17" i="49"/>
  <c r="AN17" i="49" s="1"/>
  <c r="BA17" i="49" s="1" a="1"/>
  <c r="BA17" i="49" s="1"/>
  <c r="BO17" i="49" s="1"/>
  <c r="U18" i="49"/>
  <c r="AF18" i="49" s="1"/>
  <c r="AS18" i="49" s="1" a="1"/>
  <c r="AS18" i="49" s="1"/>
  <c r="BG18" i="49" s="1"/>
  <c r="V18" i="49"/>
  <c r="AG18" i="49" s="1"/>
  <c r="AT18" i="49" s="1" a="1"/>
  <c r="AT18" i="49" s="1"/>
  <c r="W18" i="49"/>
  <c r="AH18" i="49" s="1"/>
  <c r="AU18" i="49" s="1" a="1"/>
  <c r="AU18" i="49" s="1"/>
  <c r="BI18" i="49" s="1"/>
  <c r="X18" i="49"/>
  <c r="AI18" i="49" s="1"/>
  <c r="AV18" i="49" s="1" a="1"/>
  <c r="AV18" i="49" s="1"/>
  <c r="Y18" i="49"/>
  <c r="AJ18" i="49" s="1"/>
  <c r="AW18" i="49" s="1" a="1"/>
  <c r="AW18" i="49" s="1"/>
  <c r="Z18" i="49"/>
  <c r="AK18" i="49" s="1"/>
  <c r="AX18" i="49" s="1" a="1"/>
  <c r="AX18" i="49" s="1"/>
  <c r="BL18" i="49" s="1"/>
  <c r="AA18" i="49"/>
  <c r="AL18" i="49" s="1"/>
  <c r="AY18" i="49" s="1" a="1"/>
  <c r="AY18" i="49" s="1"/>
  <c r="BM18" i="49" s="1"/>
  <c r="AB18" i="49"/>
  <c r="AM18" i="49" s="1"/>
  <c r="AZ18" i="49" s="1" a="1"/>
  <c r="AZ18" i="49" s="1"/>
  <c r="AC18" i="49"/>
  <c r="AN18" i="49" s="1"/>
  <c r="BA18" i="49" s="1" a="1"/>
  <c r="BA18" i="49" s="1"/>
  <c r="U20" i="49"/>
  <c r="AF20" i="49" s="1"/>
  <c r="AS20" i="49" s="1" a="1"/>
  <c r="AS20" i="49" s="1"/>
  <c r="V20" i="49"/>
  <c r="AG20" i="49" s="1"/>
  <c r="AT20" i="49" s="1" a="1"/>
  <c r="AT20" i="49" s="1"/>
  <c r="W20" i="49"/>
  <c r="AH20" i="49" s="1"/>
  <c r="AU20" i="49" s="1" a="1"/>
  <c r="AU20" i="49" s="1"/>
  <c r="X20" i="49"/>
  <c r="AI20" i="49" s="1"/>
  <c r="AV20" i="49" s="1" a="1"/>
  <c r="AV20" i="49" s="1"/>
  <c r="Y20" i="49"/>
  <c r="AJ20" i="49" s="1"/>
  <c r="AW20" i="49" s="1" a="1"/>
  <c r="AW20" i="49" s="1"/>
  <c r="Z20" i="49"/>
  <c r="AK20" i="49" s="1"/>
  <c r="AX20" i="49" s="1" a="1"/>
  <c r="AX20" i="49" s="1"/>
  <c r="AA20" i="49"/>
  <c r="AL20" i="49" s="1"/>
  <c r="AY20" i="49" s="1" a="1"/>
  <c r="AY20" i="49" s="1"/>
  <c r="AB20" i="49"/>
  <c r="AM20" i="49" s="1"/>
  <c r="AZ20" i="49" s="1" a="1"/>
  <c r="AZ20" i="49" s="1"/>
  <c r="AC20" i="49"/>
  <c r="AN20" i="49" s="1"/>
  <c r="BA20" i="49" s="1" a="1"/>
  <c r="BA20" i="49" s="1"/>
  <c r="U21" i="49"/>
  <c r="AF21" i="49" s="1"/>
  <c r="AS21" i="49" s="1" a="1"/>
  <c r="AS21" i="49" s="1"/>
  <c r="V21" i="49"/>
  <c r="AG21" i="49" s="1"/>
  <c r="AT21" i="49" s="1" a="1"/>
  <c r="AT21" i="49" s="1"/>
  <c r="W21" i="49"/>
  <c r="AH21" i="49" s="1"/>
  <c r="AU21" i="49" s="1" a="1"/>
  <c r="AU21" i="49" s="1"/>
  <c r="X21" i="49"/>
  <c r="AI21" i="49" s="1"/>
  <c r="AV21" i="49" s="1" a="1"/>
  <c r="AV21" i="49" s="1"/>
  <c r="Y21" i="49"/>
  <c r="AJ21" i="49" s="1"/>
  <c r="AW21" i="49" s="1" a="1"/>
  <c r="AW21" i="49" s="1"/>
  <c r="Z21" i="49"/>
  <c r="AK21" i="49" s="1"/>
  <c r="AX21" i="49" s="1" a="1"/>
  <c r="AX21" i="49" s="1"/>
  <c r="AA21" i="49"/>
  <c r="AL21" i="49" s="1"/>
  <c r="AY21" i="49" s="1" a="1"/>
  <c r="AY21" i="49" s="1"/>
  <c r="AB21" i="49"/>
  <c r="AM21" i="49" s="1"/>
  <c r="AZ21" i="49" s="1" a="1"/>
  <c r="AZ21" i="49" s="1"/>
  <c r="AC21" i="49"/>
  <c r="AN21" i="49" s="1"/>
  <c r="BA21" i="49" s="1" a="1"/>
  <c r="BA21" i="49" s="1"/>
  <c r="U23" i="49"/>
  <c r="AF23" i="49" s="1"/>
  <c r="AS23" i="49" s="1" a="1"/>
  <c r="AS23" i="49" s="1"/>
  <c r="BG23" i="49" s="1"/>
  <c r="V23" i="49"/>
  <c r="AG23" i="49" s="1"/>
  <c r="AT23" i="49" s="1" a="1"/>
  <c r="AT23" i="49" s="1"/>
  <c r="W23" i="49"/>
  <c r="AH23" i="49" s="1"/>
  <c r="AU23" i="49" s="1" a="1"/>
  <c r="AU23" i="49" s="1"/>
  <c r="X23" i="49"/>
  <c r="AI23" i="49" s="1"/>
  <c r="AV23" i="49" s="1" a="1"/>
  <c r="AV23" i="49" s="1"/>
  <c r="BJ23" i="49" s="1"/>
  <c r="Y23" i="49"/>
  <c r="AJ23" i="49" s="1"/>
  <c r="AW23" i="49" s="1" a="1"/>
  <c r="AW23" i="49" s="1"/>
  <c r="BK23" i="49" s="1"/>
  <c r="Z23" i="49"/>
  <c r="AK23" i="49" s="1"/>
  <c r="AX23" i="49" s="1" a="1"/>
  <c r="AX23" i="49" s="1"/>
  <c r="AA23" i="49"/>
  <c r="AL23" i="49" s="1"/>
  <c r="AY23" i="49" s="1" a="1"/>
  <c r="AY23" i="49" s="1"/>
  <c r="BM23" i="49" s="1"/>
  <c r="AB23" i="49"/>
  <c r="AM23" i="49" s="1"/>
  <c r="AZ23" i="49" s="1" a="1"/>
  <c r="AZ23" i="49" s="1"/>
  <c r="BN23" i="49" s="1"/>
  <c r="AC23" i="49"/>
  <c r="AN23" i="49" s="1"/>
  <c r="BA23" i="49" s="1" a="1"/>
  <c r="BA23" i="49" s="1"/>
  <c r="BO23" i="49" s="1"/>
  <c r="U24" i="49"/>
  <c r="AF24" i="49" s="1"/>
  <c r="AS24" i="49" s="1" a="1"/>
  <c r="AS24" i="49" s="1"/>
  <c r="V24" i="49"/>
  <c r="AG24" i="49" s="1"/>
  <c r="AT24" i="49" s="1" a="1"/>
  <c r="AT24" i="49" s="1"/>
  <c r="W24" i="49"/>
  <c r="AH24" i="49" s="1"/>
  <c r="AU24" i="49" s="1" a="1"/>
  <c r="AU24" i="49" s="1"/>
  <c r="X24" i="49"/>
  <c r="AI24" i="49" s="1"/>
  <c r="AV24" i="49" s="1" a="1"/>
  <c r="AV24" i="49" s="1"/>
  <c r="Y24" i="49"/>
  <c r="AJ24" i="49" s="1"/>
  <c r="AW24" i="49" s="1" a="1"/>
  <c r="AW24" i="49" s="1"/>
  <c r="BK24" i="49" s="1"/>
  <c r="Z24" i="49"/>
  <c r="AK24" i="49" s="1"/>
  <c r="AX24" i="49" s="1" a="1"/>
  <c r="AX24" i="49" s="1"/>
  <c r="BL24" i="49" s="1"/>
  <c r="AA24" i="49"/>
  <c r="AL24" i="49" s="1"/>
  <c r="AY24" i="49" s="1" a="1"/>
  <c r="AY24" i="49" s="1"/>
  <c r="BM24" i="49" s="1"/>
  <c r="AB24" i="49"/>
  <c r="AM24" i="49" s="1"/>
  <c r="AZ24" i="49" s="1" a="1"/>
  <c r="AZ24" i="49" s="1"/>
  <c r="AC24" i="49"/>
  <c r="AN24" i="49" s="1"/>
  <c r="BA24" i="49" s="1" a="1"/>
  <c r="BA24" i="49" s="1"/>
  <c r="BO24" i="49" s="1"/>
  <c r="U25" i="49"/>
  <c r="AF25" i="49" s="1"/>
  <c r="AS25" i="49" s="1" a="1"/>
  <c r="AS25" i="49" s="1"/>
  <c r="BG25" i="49" s="1"/>
  <c r="V25" i="49"/>
  <c r="AG25" i="49" s="1"/>
  <c r="AT25" i="49" s="1" a="1"/>
  <c r="AT25" i="49" s="1"/>
  <c r="BH25" i="49" s="1"/>
  <c r="W25" i="49"/>
  <c r="AH25" i="49" s="1"/>
  <c r="AU25" i="49" s="1" a="1"/>
  <c r="AU25" i="49" s="1"/>
  <c r="BI25" i="49" s="1"/>
  <c r="X25" i="49"/>
  <c r="AI25" i="49" s="1"/>
  <c r="AV25" i="49" s="1" a="1"/>
  <c r="AV25" i="49" s="1"/>
  <c r="Y25" i="49"/>
  <c r="AJ25" i="49" s="1"/>
  <c r="AW25" i="49" s="1" a="1"/>
  <c r="AW25" i="49" s="1"/>
  <c r="Z25" i="49"/>
  <c r="AK25" i="49" s="1"/>
  <c r="AX25" i="49" s="1" a="1"/>
  <c r="AX25" i="49" s="1"/>
  <c r="BL25" i="49" s="1"/>
  <c r="AA25" i="49"/>
  <c r="AL25" i="49" s="1"/>
  <c r="AY25" i="49" s="1" a="1"/>
  <c r="AY25" i="49" s="1"/>
  <c r="AB25" i="49"/>
  <c r="AM25" i="49" s="1"/>
  <c r="AZ25" i="49" s="1" a="1"/>
  <c r="AZ25" i="49" s="1"/>
  <c r="AC25" i="49"/>
  <c r="AN25" i="49" s="1"/>
  <c r="BA25" i="49" s="1" a="1"/>
  <c r="BA25" i="49" s="1"/>
  <c r="U26" i="49"/>
  <c r="AF26" i="49" s="1"/>
  <c r="AS26" i="49" s="1" a="1"/>
  <c r="AS26" i="49" s="1"/>
  <c r="V26" i="49"/>
  <c r="AG26" i="49" s="1"/>
  <c r="AT26" i="49" s="1" a="1"/>
  <c r="AT26" i="49" s="1"/>
  <c r="W26" i="49"/>
  <c r="AH26" i="49" s="1"/>
  <c r="AU26" i="49" s="1" a="1"/>
  <c r="AU26" i="49" s="1"/>
  <c r="X26" i="49"/>
  <c r="AI26" i="49" s="1"/>
  <c r="AV26" i="49" s="1" a="1"/>
  <c r="AV26" i="49" s="1"/>
  <c r="BJ26" i="49" s="1"/>
  <c r="Y26" i="49"/>
  <c r="AJ26" i="49" s="1"/>
  <c r="AW26" i="49" s="1" a="1"/>
  <c r="AW26" i="49" s="1"/>
  <c r="BK26" i="49" s="1"/>
  <c r="Z26" i="49"/>
  <c r="AK26" i="49" s="1"/>
  <c r="AX26" i="49" s="1" a="1"/>
  <c r="AX26" i="49" s="1"/>
  <c r="AA26" i="49"/>
  <c r="AL26" i="49" s="1"/>
  <c r="AY26" i="49" s="1" a="1"/>
  <c r="AY26" i="49" s="1"/>
  <c r="AB26" i="49"/>
  <c r="AM26" i="49" s="1"/>
  <c r="AZ26" i="49" s="1" a="1"/>
  <c r="AZ26" i="49" s="1"/>
  <c r="AC26" i="49"/>
  <c r="AN26" i="49" s="1"/>
  <c r="BA26" i="49" s="1" a="1"/>
  <c r="BA26" i="49" s="1"/>
  <c r="U28" i="49"/>
  <c r="AF28" i="49" s="1"/>
  <c r="AS28" i="49" s="1" a="1"/>
  <c r="AS28" i="49" s="1"/>
  <c r="V28" i="49"/>
  <c r="AG28" i="49" s="1"/>
  <c r="AT28" i="49" s="1" a="1"/>
  <c r="AT28" i="49" s="1"/>
  <c r="W28" i="49"/>
  <c r="AH28" i="49" s="1"/>
  <c r="AU28" i="49" s="1" a="1"/>
  <c r="AU28" i="49" s="1"/>
  <c r="X28" i="49"/>
  <c r="AI28" i="49" s="1"/>
  <c r="AV28" i="49" s="1" a="1"/>
  <c r="AV28" i="49" s="1"/>
  <c r="Y28" i="49"/>
  <c r="AJ28" i="49" s="1"/>
  <c r="AW28" i="49" s="1" a="1"/>
  <c r="AW28" i="49" s="1"/>
  <c r="Z28" i="49"/>
  <c r="AK28" i="49" s="1"/>
  <c r="AX28" i="49" s="1" a="1"/>
  <c r="AX28" i="49" s="1"/>
  <c r="AA28" i="49"/>
  <c r="AL28" i="49" s="1"/>
  <c r="AY28" i="49" s="1" a="1"/>
  <c r="AY28" i="49" s="1"/>
  <c r="AB28" i="49"/>
  <c r="AM28" i="49" s="1"/>
  <c r="AZ28" i="49" s="1" a="1"/>
  <c r="AZ28" i="49" s="1"/>
  <c r="BN28" i="49" s="1"/>
  <c r="AC28" i="49"/>
  <c r="AN28" i="49" s="1"/>
  <c r="BA28" i="49" s="1" a="1"/>
  <c r="BA28" i="49" s="1"/>
  <c r="U29" i="49"/>
  <c r="AF29" i="49" s="1"/>
  <c r="AS29" i="49" s="1" a="1"/>
  <c r="AS29" i="49" s="1"/>
  <c r="V29" i="49"/>
  <c r="AG29" i="49" s="1"/>
  <c r="AT29" i="49" s="1" a="1"/>
  <c r="AT29" i="49" s="1"/>
  <c r="BH29" i="49" s="1"/>
  <c r="W29" i="49"/>
  <c r="AH29" i="49" s="1"/>
  <c r="AU29" i="49" s="1" a="1"/>
  <c r="AU29" i="49" s="1"/>
  <c r="X29" i="49"/>
  <c r="AI29" i="49" s="1"/>
  <c r="AV29" i="49" s="1" a="1"/>
  <c r="AV29" i="49" s="1"/>
  <c r="Y29" i="49"/>
  <c r="AJ29" i="49" s="1"/>
  <c r="AW29" i="49" s="1" a="1"/>
  <c r="AW29" i="49" s="1"/>
  <c r="Z29" i="49"/>
  <c r="AK29" i="49" s="1"/>
  <c r="AX29" i="49" s="1" a="1"/>
  <c r="AX29" i="49" s="1"/>
  <c r="AA29" i="49"/>
  <c r="AL29" i="49" s="1"/>
  <c r="AY29" i="49" s="1" a="1"/>
  <c r="AY29" i="49" s="1"/>
  <c r="AB29" i="49"/>
  <c r="AM29" i="49" s="1"/>
  <c r="AZ29" i="49" s="1" a="1"/>
  <c r="AZ29" i="49" s="1"/>
  <c r="AC29" i="49"/>
  <c r="AN29" i="49" s="1"/>
  <c r="BA29" i="49" s="1" a="1"/>
  <c r="BA29" i="49" s="1"/>
  <c r="U31" i="49"/>
  <c r="AF31" i="49" s="1"/>
  <c r="AS31" i="49" s="1" a="1"/>
  <c r="AS31" i="49" s="1"/>
  <c r="BG31" i="49" s="1"/>
  <c r="V31" i="49"/>
  <c r="AG31" i="49" s="1"/>
  <c r="AT31" i="49" s="1" a="1"/>
  <c r="AT31" i="49" s="1"/>
  <c r="BH31" i="49" s="1"/>
  <c r="W31" i="49"/>
  <c r="AH31" i="49" s="1"/>
  <c r="AU31" i="49" s="1" a="1"/>
  <c r="AU31" i="49" s="1"/>
  <c r="BI31" i="49" s="1"/>
  <c r="X31" i="49"/>
  <c r="AI31" i="49" s="1"/>
  <c r="AV31" i="49" s="1" a="1"/>
  <c r="AV31" i="49" s="1"/>
  <c r="Y31" i="49"/>
  <c r="AJ31" i="49" s="1"/>
  <c r="AW31" i="49" s="1" a="1"/>
  <c r="AW31" i="49" s="1"/>
  <c r="BK31" i="49" s="1"/>
  <c r="Z31" i="49"/>
  <c r="AK31" i="49" s="1"/>
  <c r="AX31" i="49" s="1" a="1"/>
  <c r="AX31" i="49" s="1"/>
  <c r="BL31" i="49" s="1"/>
  <c r="AA31" i="49"/>
  <c r="AL31" i="49" s="1"/>
  <c r="AY31" i="49" s="1" a="1"/>
  <c r="AY31" i="49" s="1"/>
  <c r="AB31" i="49"/>
  <c r="AM31" i="49" s="1"/>
  <c r="AZ31" i="49" s="1" a="1"/>
  <c r="AZ31" i="49" s="1"/>
  <c r="BN31" i="49" s="1"/>
  <c r="AC31" i="49"/>
  <c r="AN31" i="49" s="1"/>
  <c r="BA31" i="49" s="1" a="1"/>
  <c r="BA31" i="49" s="1"/>
  <c r="BO31" i="49" s="1"/>
  <c r="U32" i="49"/>
  <c r="AF32" i="49" s="1"/>
  <c r="AS32" i="49" s="1" a="1"/>
  <c r="AS32" i="49" s="1"/>
  <c r="BG32" i="49" s="1"/>
  <c r="V32" i="49"/>
  <c r="AG32" i="49" s="1"/>
  <c r="AT32" i="49" s="1" a="1"/>
  <c r="AT32" i="49" s="1"/>
  <c r="BH32" i="49" s="1"/>
  <c r="W32" i="49"/>
  <c r="AH32" i="49" s="1"/>
  <c r="AU32" i="49" s="1" a="1"/>
  <c r="AU32" i="49" s="1"/>
  <c r="BI32" i="49" s="1"/>
  <c r="X32" i="49"/>
  <c r="AI32" i="49" s="1"/>
  <c r="AV32" i="49" s="1" a="1"/>
  <c r="AV32" i="49" s="1"/>
  <c r="BJ32" i="49" s="1"/>
  <c r="Y32" i="49"/>
  <c r="AJ32" i="49" s="1"/>
  <c r="AW32" i="49" s="1" a="1"/>
  <c r="AW32" i="49" s="1"/>
  <c r="BK32" i="49" s="1"/>
  <c r="Z32" i="49"/>
  <c r="AK32" i="49" s="1"/>
  <c r="AX32" i="49" s="1" a="1"/>
  <c r="AX32" i="49" s="1"/>
  <c r="BL32" i="49" s="1"/>
  <c r="AA32" i="49"/>
  <c r="AL32" i="49" s="1"/>
  <c r="AY32" i="49" s="1" a="1"/>
  <c r="AY32" i="49" s="1"/>
  <c r="BM32" i="49" s="1"/>
  <c r="AB32" i="49"/>
  <c r="AM32" i="49" s="1"/>
  <c r="AZ32" i="49" s="1" a="1"/>
  <c r="AZ32" i="49" s="1"/>
  <c r="BN32" i="49" s="1"/>
  <c r="AC32" i="49"/>
  <c r="AN32" i="49" s="1"/>
  <c r="BA32" i="49" s="1" a="1"/>
  <c r="BA32" i="49" s="1"/>
  <c r="BO32" i="49" s="1"/>
  <c r="U33" i="49"/>
  <c r="AF33" i="49" s="1"/>
  <c r="AS33" i="49" s="1" a="1"/>
  <c r="AS33" i="49" s="1"/>
  <c r="V33" i="49"/>
  <c r="AG33" i="49" s="1"/>
  <c r="AT33" i="49" s="1" a="1"/>
  <c r="AT33" i="49" s="1"/>
  <c r="W33" i="49"/>
  <c r="AH33" i="49" s="1"/>
  <c r="AU33" i="49" s="1" a="1"/>
  <c r="AU33" i="49" s="1"/>
  <c r="X33" i="49"/>
  <c r="AI33" i="49" s="1"/>
  <c r="AV33" i="49" s="1" a="1"/>
  <c r="AV33" i="49" s="1"/>
  <c r="Y33" i="49"/>
  <c r="AJ33" i="49" s="1"/>
  <c r="AW33" i="49" s="1" a="1"/>
  <c r="AW33" i="49" s="1"/>
  <c r="Z33" i="49"/>
  <c r="AK33" i="49" s="1"/>
  <c r="AX33" i="49" s="1" a="1"/>
  <c r="AX33" i="49" s="1"/>
  <c r="AA33" i="49"/>
  <c r="AL33" i="49" s="1"/>
  <c r="AY33" i="49" s="1" a="1"/>
  <c r="AY33" i="49" s="1"/>
  <c r="AB33" i="49"/>
  <c r="AM33" i="49" s="1"/>
  <c r="AZ33" i="49" s="1" a="1"/>
  <c r="AZ33" i="49" s="1"/>
  <c r="AC33" i="49"/>
  <c r="AN33" i="49" s="1"/>
  <c r="BA33" i="49" s="1" a="1"/>
  <c r="BA33" i="49" s="1"/>
  <c r="U36" i="49"/>
  <c r="AF36" i="49" s="1"/>
  <c r="AS36" i="49" s="1" a="1"/>
  <c r="AS36" i="49" s="1"/>
  <c r="BG36" i="49" s="1"/>
  <c r="V36" i="49"/>
  <c r="AG36" i="49" s="1"/>
  <c r="AT36" i="49" s="1" a="1"/>
  <c r="AT36" i="49" s="1"/>
  <c r="BH36" i="49" s="1"/>
  <c r="W36" i="49"/>
  <c r="AH36" i="49" s="1"/>
  <c r="AU36" i="49" s="1" a="1"/>
  <c r="AU36" i="49" s="1"/>
  <c r="BI36" i="49" s="1"/>
  <c r="X36" i="49"/>
  <c r="AI36" i="49" s="1"/>
  <c r="AV36" i="49" s="1" a="1"/>
  <c r="AV36" i="49" s="1"/>
  <c r="BJ36" i="49" s="1"/>
  <c r="Y36" i="49"/>
  <c r="AJ36" i="49" s="1"/>
  <c r="AW36" i="49" s="1" a="1"/>
  <c r="AW36" i="49" s="1"/>
  <c r="BK36" i="49" s="1"/>
  <c r="Z36" i="49"/>
  <c r="AK36" i="49" s="1"/>
  <c r="AX36" i="49" s="1" a="1"/>
  <c r="AX36" i="49" s="1"/>
  <c r="BL36" i="49" s="1"/>
  <c r="AA36" i="49"/>
  <c r="AL36" i="49" s="1"/>
  <c r="AY36" i="49" s="1" a="1"/>
  <c r="AY36" i="49" s="1"/>
  <c r="BM36" i="49" s="1"/>
  <c r="AB36" i="49"/>
  <c r="AM36" i="49" s="1"/>
  <c r="AZ36" i="49" s="1" a="1"/>
  <c r="AZ36" i="49" s="1"/>
  <c r="BN36" i="49" s="1"/>
  <c r="AC36" i="49"/>
  <c r="AN36" i="49" s="1"/>
  <c r="BA36" i="49" s="1" a="1"/>
  <c r="BA36" i="49" s="1"/>
  <c r="BO36" i="49" s="1"/>
  <c r="U37" i="49"/>
  <c r="AF37" i="49" s="1"/>
  <c r="AS37" i="49" s="1" a="1"/>
  <c r="AS37" i="49" s="1"/>
  <c r="BG37" i="49" s="1"/>
  <c r="V37" i="49"/>
  <c r="AG37" i="49" s="1"/>
  <c r="AT37" i="49" s="1" a="1"/>
  <c r="AT37" i="49" s="1"/>
  <c r="BH37" i="49" s="1"/>
  <c r="W37" i="49"/>
  <c r="AH37" i="49" s="1"/>
  <c r="AU37" i="49" s="1" a="1"/>
  <c r="AU37" i="49" s="1"/>
  <c r="BI37" i="49" s="1"/>
  <c r="X37" i="49"/>
  <c r="AI37" i="49" s="1"/>
  <c r="AV37" i="49" s="1" a="1"/>
  <c r="AV37" i="49" s="1"/>
  <c r="BJ37" i="49" s="1"/>
  <c r="Y37" i="49"/>
  <c r="AJ37" i="49" s="1"/>
  <c r="AW37" i="49" s="1" a="1"/>
  <c r="AW37" i="49" s="1"/>
  <c r="BK37" i="49" s="1"/>
  <c r="Z37" i="49"/>
  <c r="AK37" i="49" s="1"/>
  <c r="AX37" i="49" s="1" a="1"/>
  <c r="AX37" i="49" s="1"/>
  <c r="BL37" i="49" s="1"/>
  <c r="AA37" i="49"/>
  <c r="AL37" i="49" s="1"/>
  <c r="AY37" i="49" s="1" a="1"/>
  <c r="AY37" i="49" s="1"/>
  <c r="BM37" i="49" s="1"/>
  <c r="AB37" i="49"/>
  <c r="AM37" i="49" s="1"/>
  <c r="AZ37" i="49" s="1" a="1"/>
  <c r="AZ37" i="49" s="1"/>
  <c r="BN37" i="49" s="1"/>
  <c r="AC37" i="49"/>
  <c r="AN37" i="49" s="1"/>
  <c r="BA37" i="49" s="1" a="1"/>
  <c r="BA37" i="49" s="1"/>
  <c r="BO37" i="49" s="1"/>
  <c r="U38" i="49"/>
  <c r="AF38" i="49" s="1"/>
  <c r="AS38" i="49" s="1" a="1"/>
  <c r="AS38" i="49" s="1"/>
  <c r="BG38" i="49" s="1"/>
  <c r="V38" i="49"/>
  <c r="AG38" i="49" s="1"/>
  <c r="AT38" i="49" s="1" a="1"/>
  <c r="AT38" i="49" s="1"/>
  <c r="BH38" i="49" s="1"/>
  <c r="W38" i="49"/>
  <c r="AH38" i="49" s="1"/>
  <c r="AU38" i="49" s="1" a="1"/>
  <c r="AU38" i="49" s="1"/>
  <c r="BI38" i="49" s="1"/>
  <c r="X38" i="49"/>
  <c r="AI38" i="49" s="1"/>
  <c r="AV38" i="49" s="1" a="1"/>
  <c r="AV38" i="49" s="1"/>
  <c r="BJ38" i="49" s="1"/>
  <c r="Y38" i="49"/>
  <c r="AJ38" i="49" s="1"/>
  <c r="AW38" i="49" s="1" a="1"/>
  <c r="AW38" i="49" s="1"/>
  <c r="BK38" i="49" s="1"/>
  <c r="Z38" i="49"/>
  <c r="AK38" i="49" s="1"/>
  <c r="AX38" i="49" s="1" a="1"/>
  <c r="AX38" i="49" s="1"/>
  <c r="BL38" i="49" s="1"/>
  <c r="AA38" i="49"/>
  <c r="AL38" i="49" s="1"/>
  <c r="AY38" i="49" s="1" a="1"/>
  <c r="AY38" i="49" s="1"/>
  <c r="BM38" i="49" s="1"/>
  <c r="AB38" i="49"/>
  <c r="AM38" i="49" s="1"/>
  <c r="AZ38" i="49" s="1" a="1"/>
  <c r="AZ38" i="49" s="1"/>
  <c r="BN38" i="49" s="1"/>
  <c r="AC38" i="49"/>
  <c r="AN38" i="49" s="1"/>
  <c r="BA38" i="49" s="1" a="1"/>
  <c r="BA38" i="49" s="1"/>
  <c r="BO38" i="49" s="1"/>
  <c r="U39" i="49"/>
  <c r="AF39" i="49" s="1"/>
  <c r="AS39" i="49" s="1" a="1"/>
  <c r="AS39" i="49" s="1"/>
  <c r="V39" i="49"/>
  <c r="AG39" i="49" s="1"/>
  <c r="AT39" i="49" s="1" a="1"/>
  <c r="AT39" i="49" s="1"/>
  <c r="W39" i="49"/>
  <c r="AH39" i="49" s="1"/>
  <c r="AU39" i="49" s="1" a="1"/>
  <c r="AU39" i="49" s="1"/>
  <c r="X39" i="49"/>
  <c r="AI39" i="49" s="1"/>
  <c r="AV39" i="49" s="1" a="1"/>
  <c r="AV39" i="49" s="1"/>
  <c r="Y39" i="49"/>
  <c r="AJ39" i="49" s="1"/>
  <c r="AW39" i="49" s="1" a="1"/>
  <c r="AW39" i="49" s="1"/>
  <c r="Z39" i="49"/>
  <c r="AK39" i="49" s="1"/>
  <c r="AX39" i="49" s="1" a="1"/>
  <c r="AX39" i="49" s="1"/>
  <c r="AA39" i="49"/>
  <c r="AL39" i="49" s="1"/>
  <c r="AY39" i="49" s="1" a="1"/>
  <c r="AY39" i="49" s="1"/>
  <c r="AB39" i="49"/>
  <c r="AM39" i="49" s="1"/>
  <c r="AZ39" i="49" s="1" a="1"/>
  <c r="AZ39" i="49" s="1"/>
  <c r="AC39" i="49"/>
  <c r="AN39" i="49" s="1"/>
  <c r="BA39" i="49" s="1" a="1"/>
  <c r="BA39" i="49" s="1"/>
  <c r="U41" i="49"/>
  <c r="AF41" i="49" s="1"/>
  <c r="AS41" i="49" s="1" a="1"/>
  <c r="AS41" i="49" s="1"/>
  <c r="V41" i="49"/>
  <c r="AG41" i="49" s="1"/>
  <c r="AT41" i="49" s="1" a="1"/>
  <c r="AT41" i="49" s="1"/>
  <c r="W41" i="49"/>
  <c r="AH41" i="49" s="1"/>
  <c r="AU41" i="49" s="1" a="1"/>
  <c r="AU41" i="49" s="1"/>
  <c r="X41" i="49"/>
  <c r="AI41" i="49" s="1"/>
  <c r="AV41" i="49" s="1" a="1"/>
  <c r="AV41" i="49" s="1"/>
  <c r="Y41" i="49"/>
  <c r="AJ41" i="49" s="1"/>
  <c r="AW41" i="49" s="1" a="1"/>
  <c r="AW41" i="49" s="1"/>
  <c r="Z41" i="49"/>
  <c r="AK41" i="49" s="1"/>
  <c r="AX41" i="49" s="1" a="1"/>
  <c r="AX41" i="49" s="1"/>
  <c r="AA41" i="49"/>
  <c r="AL41" i="49" s="1"/>
  <c r="AY41" i="49" s="1" a="1"/>
  <c r="AY41" i="49" s="1"/>
  <c r="AB41" i="49"/>
  <c r="AM41" i="49" s="1"/>
  <c r="AZ41" i="49" s="1" a="1"/>
  <c r="AZ41" i="49" s="1"/>
  <c r="AC41" i="49"/>
  <c r="AN41" i="49" s="1"/>
  <c r="BA41" i="49" s="1" a="1"/>
  <c r="BA41" i="49" s="1"/>
  <c r="U43" i="49"/>
  <c r="AF43" i="49" s="1"/>
  <c r="AS43" i="49" s="1" a="1"/>
  <c r="AS43" i="49" s="1"/>
  <c r="V43" i="49"/>
  <c r="AG43" i="49" s="1"/>
  <c r="AT43" i="49" s="1" a="1"/>
  <c r="AT43" i="49" s="1"/>
  <c r="W43" i="49"/>
  <c r="AH43" i="49" s="1"/>
  <c r="AU43" i="49" s="1" a="1"/>
  <c r="AU43" i="49" s="1"/>
  <c r="X43" i="49"/>
  <c r="AI43" i="49" s="1"/>
  <c r="AV43" i="49" s="1" a="1"/>
  <c r="AV43" i="49" s="1"/>
  <c r="Y43" i="49"/>
  <c r="AJ43" i="49" s="1"/>
  <c r="AW43" i="49" s="1" a="1"/>
  <c r="AW43" i="49" s="1"/>
  <c r="Z43" i="49"/>
  <c r="AK43" i="49" s="1"/>
  <c r="AX43" i="49" s="1" a="1"/>
  <c r="AX43" i="49" s="1"/>
  <c r="AA43" i="49"/>
  <c r="AL43" i="49" s="1"/>
  <c r="AY43" i="49" s="1" a="1"/>
  <c r="AY43" i="49" s="1"/>
  <c r="AB43" i="49"/>
  <c r="AM43" i="49" s="1"/>
  <c r="AZ43" i="49" s="1" a="1"/>
  <c r="AZ43" i="49" s="1"/>
  <c r="AC43" i="49"/>
  <c r="AN43" i="49" s="1"/>
  <c r="BA43" i="49" s="1" a="1"/>
  <c r="BA43" i="49" s="1"/>
  <c r="U45" i="49"/>
  <c r="AF45" i="49" s="1"/>
  <c r="AS45" i="49" s="1" a="1"/>
  <c r="AS45" i="49" s="1"/>
  <c r="BG45" i="49" s="1"/>
  <c r="V45" i="49"/>
  <c r="AG45" i="49" s="1"/>
  <c r="AT45" i="49" s="1" a="1"/>
  <c r="AT45" i="49" s="1"/>
  <c r="BH45" i="49" s="1"/>
  <c r="W45" i="49"/>
  <c r="AH45" i="49" s="1"/>
  <c r="AU45" i="49" s="1" a="1"/>
  <c r="AU45" i="49" s="1"/>
  <c r="BI45" i="49" s="1"/>
  <c r="X45" i="49"/>
  <c r="AI45" i="49" s="1"/>
  <c r="AV45" i="49" s="1" a="1"/>
  <c r="AV45" i="49" s="1"/>
  <c r="BJ45" i="49" s="1"/>
  <c r="Y45" i="49"/>
  <c r="AJ45" i="49" s="1"/>
  <c r="AW45" i="49" s="1" a="1"/>
  <c r="AW45" i="49" s="1"/>
  <c r="BK45" i="49" s="1"/>
  <c r="Z45" i="49"/>
  <c r="AK45" i="49" s="1"/>
  <c r="AX45" i="49" s="1" a="1"/>
  <c r="AX45" i="49" s="1"/>
  <c r="BL45" i="49" s="1"/>
  <c r="AA45" i="49"/>
  <c r="AL45" i="49" s="1"/>
  <c r="AY45" i="49" s="1" a="1"/>
  <c r="AY45" i="49" s="1"/>
  <c r="AB45" i="49"/>
  <c r="AM45" i="49" s="1"/>
  <c r="AZ45" i="49" s="1" a="1"/>
  <c r="AZ45" i="49" s="1"/>
  <c r="AC45" i="49"/>
  <c r="AN45" i="49" s="1"/>
  <c r="BA45" i="49" s="1" a="1"/>
  <c r="BA45" i="49" s="1"/>
  <c r="U46" i="49"/>
  <c r="AF46" i="49" s="1"/>
  <c r="AS46" i="49" s="1" a="1"/>
  <c r="AS46" i="49" s="1"/>
  <c r="V46" i="49"/>
  <c r="AG46" i="49" s="1"/>
  <c r="AT46" i="49" s="1" a="1"/>
  <c r="AT46" i="49" s="1"/>
  <c r="BH46" i="49" s="1"/>
  <c r="W46" i="49"/>
  <c r="AH46" i="49" s="1"/>
  <c r="AU46" i="49" s="1" a="1"/>
  <c r="AU46" i="49" s="1"/>
  <c r="X46" i="49"/>
  <c r="AI46" i="49" s="1"/>
  <c r="AV46" i="49" s="1" a="1"/>
  <c r="AV46" i="49" s="1"/>
  <c r="BJ46" i="49" s="1"/>
  <c r="Y46" i="49"/>
  <c r="AJ46" i="49" s="1"/>
  <c r="AW46" i="49" s="1" a="1"/>
  <c r="AW46" i="49" s="1"/>
  <c r="BK46" i="49" s="1"/>
  <c r="Z46" i="49"/>
  <c r="AK46" i="49" s="1"/>
  <c r="AX46" i="49" s="1" a="1"/>
  <c r="AX46" i="49" s="1"/>
  <c r="BL46" i="49" s="1"/>
  <c r="AA46" i="49"/>
  <c r="AL46" i="49" s="1"/>
  <c r="AY46" i="49" s="1" a="1"/>
  <c r="AY46" i="49" s="1"/>
  <c r="BM46" i="49" s="1"/>
  <c r="AB46" i="49"/>
  <c r="AM46" i="49" s="1"/>
  <c r="AZ46" i="49" s="1" a="1"/>
  <c r="AZ46" i="49" s="1"/>
  <c r="BN46" i="49" s="1"/>
  <c r="AC46" i="49"/>
  <c r="AN46" i="49" s="1"/>
  <c r="BA46" i="49" s="1" a="1"/>
  <c r="BA46" i="49" s="1"/>
  <c r="BO46" i="49" s="1"/>
  <c r="U47" i="49"/>
  <c r="AF47" i="49" s="1"/>
  <c r="AS47" i="49" s="1" a="1"/>
  <c r="AS47" i="49" s="1"/>
  <c r="BG47" i="49" s="1"/>
  <c r="V47" i="49"/>
  <c r="AG47" i="49" s="1"/>
  <c r="AT47" i="49" s="1" a="1"/>
  <c r="AT47" i="49" s="1"/>
  <c r="BH47" i="49" s="1"/>
  <c r="W47" i="49"/>
  <c r="AH47" i="49" s="1"/>
  <c r="AU47" i="49" s="1" a="1"/>
  <c r="AU47" i="49" s="1"/>
  <c r="BI47" i="49" s="1"/>
  <c r="X47" i="49"/>
  <c r="AI47" i="49" s="1"/>
  <c r="AV47" i="49" s="1" a="1"/>
  <c r="AV47" i="49" s="1"/>
  <c r="BJ47" i="49" s="1"/>
  <c r="Y47" i="49"/>
  <c r="AJ47" i="49" s="1"/>
  <c r="AW47" i="49" s="1" a="1"/>
  <c r="AW47" i="49" s="1"/>
  <c r="BK47" i="49" s="1"/>
  <c r="Z47" i="49"/>
  <c r="AK47" i="49" s="1"/>
  <c r="AX47" i="49" s="1" a="1"/>
  <c r="AX47" i="49" s="1"/>
  <c r="BL47" i="49" s="1"/>
  <c r="AA47" i="49"/>
  <c r="AL47" i="49" s="1"/>
  <c r="AY47" i="49" s="1" a="1"/>
  <c r="AY47" i="49" s="1"/>
  <c r="BM47" i="49" s="1"/>
  <c r="AB47" i="49"/>
  <c r="AM47" i="49" s="1"/>
  <c r="AZ47" i="49" s="1" a="1"/>
  <c r="AZ47" i="49" s="1"/>
  <c r="BN47" i="49" s="1"/>
  <c r="AC47" i="49"/>
  <c r="AN47" i="49" s="1"/>
  <c r="BA47" i="49" s="1" a="1"/>
  <c r="BA47" i="49" s="1"/>
  <c r="BO47" i="49" s="1"/>
  <c r="U51" i="49"/>
  <c r="AF51" i="49" s="1"/>
  <c r="AS51" i="49" s="1" a="1"/>
  <c r="AS51" i="49" s="1"/>
  <c r="BG51" i="49" s="1"/>
  <c r="V51" i="49"/>
  <c r="AG51" i="49" s="1"/>
  <c r="AT51" i="49" s="1" a="1"/>
  <c r="AT51" i="49" s="1"/>
  <c r="BH51" i="49" s="1"/>
  <c r="W51" i="49"/>
  <c r="AH51" i="49" s="1"/>
  <c r="AU51" i="49" s="1" a="1"/>
  <c r="AU51" i="49" s="1"/>
  <c r="BI51" i="49" s="1"/>
  <c r="X51" i="49"/>
  <c r="AI51" i="49" s="1"/>
  <c r="AV51" i="49" s="1" a="1"/>
  <c r="AV51" i="49" s="1"/>
  <c r="BJ51" i="49" s="1"/>
  <c r="Y51" i="49"/>
  <c r="AJ51" i="49" s="1"/>
  <c r="AW51" i="49" s="1" a="1"/>
  <c r="AW51" i="49" s="1"/>
  <c r="BK51" i="49" s="1"/>
  <c r="Z51" i="49"/>
  <c r="AK51" i="49" s="1"/>
  <c r="AX51" i="49" s="1" a="1"/>
  <c r="AX51" i="49" s="1"/>
  <c r="BL51" i="49" s="1"/>
  <c r="AA51" i="49"/>
  <c r="AL51" i="49" s="1"/>
  <c r="AY51" i="49" s="1" a="1"/>
  <c r="AY51" i="49" s="1"/>
  <c r="BM51" i="49" s="1"/>
  <c r="AB51" i="49"/>
  <c r="AM51" i="49" s="1"/>
  <c r="AZ51" i="49" s="1" a="1"/>
  <c r="AZ51" i="49" s="1"/>
  <c r="BN51" i="49" s="1"/>
  <c r="AC51" i="49"/>
  <c r="AN51" i="49" s="1"/>
  <c r="BA51" i="49" s="1" a="1"/>
  <c r="BA51" i="49" s="1"/>
  <c r="BO51" i="49" s="1"/>
  <c r="U52" i="49"/>
  <c r="AF52" i="49" s="1"/>
  <c r="AS52" i="49" s="1" a="1"/>
  <c r="AS52" i="49" s="1"/>
  <c r="V52" i="49"/>
  <c r="AG52" i="49" s="1"/>
  <c r="AT52" i="49" s="1" a="1"/>
  <c r="AT52" i="49" s="1"/>
  <c r="W52" i="49"/>
  <c r="AH52" i="49" s="1"/>
  <c r="AU52" i="49" s="1" a="1"/>
  <c r="AU52" i="49" s="1"/>
  <c r="X52" i="49"/>
  <c r="AI52" i="49" s="1"/>
  <c r="AV52" i="49" s="1" a="1"/>
  <c r="AV52" i="49" s="1"/>
  <c r="Y52" i="49"/>
  <c r="AJ52" i="49" s="1"/>
  <c r="AW52" i="49" s="1" a="1"/>
  <c r="AW52" i="49" s="1"/>
  <c r="Z52" i="49"/>
  <c r="AK52" i="49" s="1"/>
  <c r="AX52" i="49" s="1" a="1"/>
  <c r="AX52" i="49" s="1"/>
  <c r="AA52" i="49"/>
  <c r="AL52" i="49" s="1"/>
  <c r="AY52" i="49" s="1" a="1"/>
  <c r="AY52" i="49" s="1"/>
  <c r="AB52" i="49"/>
  <c r="AM52" i="49" s="1"/>
  <c r="AZ52" i="49" s="1" a="1"/>
  <c r="AZ52" i="49" s="1"/>
  <c r="AC52" i="49"/>
  <c r="AN52" i="49" s="1"/>
  <c r="BA52" i="49" s="1" a="1"/>
  <c r="BA52" i="49" s="1"/>
  <c r="U54" i="49"/>
  <c r="AF54" i="49" s="1"/>
  <c r="AS54" i="49" s="1" a="1"/>
  <c r="AS54" i="49" s="1"/>
  <c r="BG54" i="49" s="1"/>
  <c r="V54" i="49"/>
  <c r="AG54" i="49" s="1"/>
  <c r="AT54" i="49" s="1" a="1"/>
  <c r="AT54" i="49" s="1"/>
  <c r="BH54" i="49" s="1"/>
  <c r="W54" i="49"/>
  <c r="AH54" i="49" s="1"/>
  <c r="AU54" i="49" s="1" a="1"/>
  <c r="AU54" i="49" s="1"/>
  <c r="BI54" i="49" s="1"/>
  <c r="X54" i="49"/>
  <c r="AI54" i="49" s="1"/>
  <c r="AV54" i="49" s="1" a="1"/>
  <c r="AV54" i="49" s="1"/>
  <c r="BJ54" i="49" s="1"/>
  <c r="Y54" i="49"/>
  <c r="AJ54" i="49" s="1"/>
  <c r="AW54" i="49" s="1" a="1"/>
  <c r="AW54" i="49" s="1"/>
  <c r="BK54" i="49" s="1"/>
  <c r="Z54" i="49"/>
  <c r="AK54" i="49" s="1"/>
  <c r="AX54" i="49" s="1" a="1"/>
  <c r="AX54" i="49" s="1"/>
  <c r="BL54" i="49" s="1"/>
  <c r="AA54" i="49"/>
  <c r="AL54" i="49" s="1"/>
  <c r="AY54" i="49" s="1" a="1"/>
  <c r="AY54" i="49" s="1"/>
  <c r="BM54" i="49" s="1"/>
  <c r="AB54" i="49"/>
  <c r="AM54" i="49" s="1"/>
  <c r="AZ54" i="49" s="1" a="1"/>
  <c r="AZ54" i="49" s="1"/>
  <c r="BN54" i="49" s="1"/>
  <c r="AC54" i="49"/>
  <c r="AN54" i="49" s="1"/>
  <c r="BA54" i="49" s="1" a="1"/>
  <c r="BA54" i="49" s="1"/>
  <c r="BO54" i="49" s="1"/>
  <c r="U57" i="49"/>
  <c r="AF57" i="49" s="1"/>
  <c r="AS57" i="49" s="1" a="1"/>
  <c r="AS57" i="49" s="1"/>
  <c r="BG57" i="49" s="1"/>
  <c r="V57" i="49"/>
  <c r="AG57" i="49" s="1"/>
  <c r="AT57" i="49" s="1" a="1"/>
  <c r="AT57" i="49" s="1"/>
  <c r="BH57" i="49" s="1"/>
  <c r="W57" i="49"/>
  <c r="AH57" i="49" s="1"/>
  <c r="AU57" i="49" s="1" a="1"/>
  <c r="AU57" i="49" s="1"/>
  <c r="BI57" i="49" s="1"/>
  <c r="X57" i="49"/>
  <c r="AI57" i="49" s="1"/>
  <c r="AV57" i="49" s="1" a="1"/>
  <c r="AV57" i="49" s="1"/>
  <c r="BJ57" i="49" s="1"/>
  <c r="Y57" i="49"/>
  <c r="AJ57" i="49" s="1"/>
  <c r="AW57" i="49" s="1" a="1"/>
  <c r="AW57" i="49" s="1"/>
  <c r="BK57" i="49" s="1"/>
  <c r="Z57" i="49"/>
  <c r="AK57" i="49" s="1"/>
  <c r="AX57" i="49" s="1" a="1"/>
  <c r="AX57" i="49" s="1"/>
  <c r="BL57" i="49" s="1"/>
  <c r="AA57" i="49"/>
  <c r="AL57" i="49" s="1"/>
  <c r="AY57" i="49" s="1" a="1"/>
  <c r="AY57" i="49" s="1"/>
  <c r="BM57" i="49" s="1"/>
  <c r="AB57" i="49"/>
  <c r="AM57" i="49" s="1"/>
  <c r="AZ57" i="49" s="1" a="1"/>
  <c r="AZ57" i="49" s="1"/>
  <c r="BN57" i="49" s="1"/>
  <c r="AC57" i="49"/>
  <c r="AN57" i="49" s="1"/>
  <c r="BA57" i="49" s="1" a="1"/>
  <c r="BA57" i="49" s="1"/>
  <c r="BO57" i="49" s="1"/>
  <c r="U61" i="49"/>
  <c r="AF61" i="49" s="1"/>
  <c r="AS61" i="49" s="1" a="1"/>
  <c r="AS61" i="49" s="1"/>
  <c r="BG61" i="49" s="1"/>
  <c r="V61" i="49"/>
  <c r="AG61" i="49" s="1"/>
  <c r="AT61" i="49" s="1" a="1"/>
  <c r="AT61" i="49" s="1"/>
  <c r="BH61" i="49" s="1"/>
  <c r="W61" i="49"/>
  <c r="AH61" i="49" s="1"/>
  <c r="AU61" i="49" s="1" a="1"/>
  <c r="AU61" i="49" s="1"/>
  <c r="BI61" i="49" s="1"/>
  <c r="X61" i="49"/>
  <c r="AI61" i="49" s="1"/>
  <c r="AV61" i="49" s="1" a="1"/>
  <c r="AV61" i="49" s="1"/>
  <c r="Y61" i="49"/>
  <c r="AJ61" i="49" s="1"/>
  <c r="AW61" i="49" s="1" a="1"/>
  <c r="AW61" i="49" s="1"/>
  <c r="BK61" i="49" s="1"/>
  <c r="Z61" i="49"/>
  <c r="AK61" i="49" s="1"/>
  <c r="AX61" i="49" s="1" a="1"/>
  <c r="AX61" i="49" s="1"/>
  <c r="AA61" i="49"/>
  <c r="AL61" i="49" s="1"/>
  <c r="AY61" i="49" s="1" a="1"/>
  <c r="AY61" i="49" s="1"/>
  <c r="BM61" i="49" s="1"/>
  <c r="AB61" i="49"/>
  <c r="AM61" i="49" s="1"/>
  <c r="AZ61" i="49" s="1" a="1"/>
  <c r="AZ61" i="49" s="1"/>
  <c r="AC61" i="49"/>
  <c r="AN61" i="49" s="1"/>
  <c r="BA61" i="49" s="1" a="1"/>
  <c r="BA61" i="49" s="1"/>
  <c r="U62" i="49"/>
  <c r="AF62" i="49" s="1"/>
  <c r="AS62" i="49" s="1" a="1"/>
  <c r="AS62" i="49" s="1"/>
  <c r="V62" i="49"/>
  <c r="AG62" i="49" s="1"/>
  <c r="AT62" i="49" s="1" a="1"/>
  <c r="AT62" i="49" s="1"/>
  <c r="W62" i="49"/>
  <c r="AH62" i="49" s="1"/>
  <c r="AU62" i="49" s="1" a="1"/>
  <c r="AU62" i="49" s="1"/>
  <c r="X62" i="49"/>
  <c r="AI62" i="49" s="1"/>
  <c r="AV62" i="49" s="1" a="1"/>
  <c r="AV62" i="49" s="1"/>
  <c r="BJ62" i="49" s="1"/>
  <c r="Y62" i="49"/>
  <c r="AJ62" i="49" s="1"/>
  <c r="AW62" i="49" s="1" a="1"/>
  <c r="AW62" i="49" s="1"/>
  <c r="BK62" i="49" s="1"/>
  <c r="Z62" i="49"/>
  <c r="AK62" i="49" s="1"/>
  <c r="AX62" i="49" s="1" a="1"/>
  <c r="AX62" i="49" s="1"/>
  <c r="AA62" i="49"/>
  <c r="AL62" i="49" s="1"/>
  <c r="AY62" i="49" s="1" a="1"/>
  <c r="AY62" i="49" s="1"/>
  <c r="AB62" i="49"/>
  <c r="AM62" i="49" s="1"/>
  <c r="AZ62" i="49" s="1" a="1"/>
  <c r="AZ62" i="49" s="1"/>
  <c r="AC62" i="49"/>
  <c r="AN62" i="49" s="1"/>
  <c r="BA62" i="49" s="1" a="1"/>
  <c r="BA62" i="49" s="1"/>
  <c r="U63" i="49"/>
  <c r="AF63" i="49" s="1"/>
  <c r="AS63" i="49" s="1" a="1"/>
  <c r="AS63" i="49" s="1"/>
  <c r="V63" i="49"/>
  <c r="AG63" i="49" s="1"/>
  <c r="AT63" i="49" s="1" a="1"/>
  <c r="AT63" i="49" s="1"/>
  <c r="W63" i="49"/>
  <c r="AH63" i="49" s="1"/>
  <c r="AU63" i="49" s="1" a="1"/>
  <c r="AU63" i="49" s="1"/>
  <c r="X63" i="49"/>
  <c r="AI63" i="49" s="1"/>
  <c r="AV63" i="49" s="1" a="1"/>
  <c r="AV63" i="49" s="1"/>
  <c r="Y63" i="49"/>
  <c r="AJ63" i="49" s="1"/>
  <c r="AW63" i="49" s="1" a="1"/>
  <c r="AW63" i="49" s="1"/>
  <c r="Z63" i="49"/>
  <c r="AK63" i="49" s="1"/>
  <c r="AX63" i="49" s="1" a="1"/>
  <c r="AX63" i="49" s="1"/>
  <c r="AA63" i="49"/>
  <c r="AL63" i="49" s="1"/>
  <c r="AY63" i="49" s="1" a="1"/>
  <c r="AY63" i="49" s="1"/>
  <c r="AB63" i="49"/>
  <c r="AM63" i="49" s="1"/>
  <c r="AZ63" i="49" s="1" a="1"/>
  <c r="AZ63" i="49" s="1"/>
  <c r="AC63" i="49"/>
  <c r="AN63" i="49" s="1"/>
  <c r="BA63" i="49" s="1" a="1"/>
  <c r="BA63" i="49" s="1"/>
  <c r="U65" i="49"/>
  <c r="AF65" i="49" s="1"/>
  <c r="AS65" i="49" s="1" a="1"/>
  <c r="AS65" i="49" s="1"/>
  <c r="V65" i="49"/>
  <c r="AG65" i="49" s="1"/>
  <c r="AT65" i="49" s="1" a="1"/>
  <c r="AT65" i="49" s="1"/>
  <c r="W65" i="49"/>
  <c r="AH65" i="49" s="1"/>
  <c r="AU65" i="49" s="1" a="1"/>
  <c r="AU65" i="49" s="1"/>
  <c r="BI65" i="49" s="1"/>
  <c r="X65" i="49"/>
  <c r="AI65" i="49" s="1"/>
  <c r="AV65" i="49" s="1" a="1"/>
  <c r="AV65" i="49" s="1"/>
  <c r="Y65" i="49"/>
  <c r="AJ65" i="49" s="1"/>
  <c r="AW65" i="49" s="1" a="1"/>
  <c r="AW65" i="49" s="1"/>
  <c r="BK65" i="49" s="1"/>
  <c r="Z65" i="49"/>
  <c r="AK65" i="49" s="1"/>
  <c r="AX65" i="49" s="1" a="1"/>
  <c r="AX65" i="49" s="1"/>
  <c r="AA65" i="49"/>
  <c r="AL65" i="49" s="1"/>
  <c r="AY65" i="49" s="1" a="1"/>
  <c r="AY65" i="49" s="1"/>
  <c r="BM65" i="49" s="1"/>
  <c r="AB65" i="49"/>
  <c r="AM65" i="49" s="1"/>
  <c r="AZ65" i="49" s="1" a="1"/>
  <c r="AZ65" i="49" s="1"/>
  <c r="BN65" i="49" s="1"/>
  <c r="AC65" i="49"/>
  <c r="AN65" i="49" s="1"/>
  <c r="BA65" i="49" s="1" a="1"/>
  <c r="BA65" i="49" s="1"/>
  <c r="BO65" i="49" s="1"/>
  <c r="U67" i="49"/>
  <c r="AF67" i="49" s="1"/>
  <c r="AS67" i="49" s="1" a="1"/>
  <c r="AS67" i="49" s="1"/>
  <c r="BG67" i="49" s="1"/>
  <c r="V67" i="49"/>
  <c r="AG67" i="49" s="1"/>
  <c r="AT67" i="49" s="1" a="1"/>
  <c r="AT67" i="49" s="1"/>
  <c r="BH67" i="49" s="1"/>
  <c r="W67" i="49"/>
  <c r="AH67" i="49" s="1"/>
  <c r="AU67" i="49" s="1" a="1"/>
  <c r="AU67" i="49" s="1"/>
  <c r="BI67" i="49" s="1"/>
  <c r="X67" i="49"/>
  <c r="AI67" i="49" s="1"/>
  <c r="AV67" i="49" s="1" a="1"/>
  <c r="AV67" i="49" s="1"/>
  <c r="BJ67" i="49" s="1"/>
  <c r="Y67" i="49"/>
  <c r="AJ67" i="49" s="1"/>
  <c r="AW67" i="49" s="1" a="1"/>
  <c r="AW67" i="49" s="1"/>
  <c r="BK67" i="49" s="1"/>
  <c r="Z67" i="49"/>
  <c r="AK67" i="49" s="1"/>
  <c r="AX67" i="49" s="1" a="1"/>
  <c r="AX67" i="49" s="1"/>
  <c r="BL67" i="49" s="1"/>
  <c r="AA67" i="49"/>
  <c r="AL67" i="49" s="1"/>
  <c r="AY67" i="49" s="1" a="1"/>
  <c r="AY67" i="49" s="1"/>
  <c r="BM67" i="49" s="1"/>
  <c r="AB67" i="49"/>
  <c r="AM67" i="49" s="1"/>
  <c r="AZ67" i="49" s="1" a="1"/>
  <c r="AZ67" i="49" s="1"/>
  <c r="BN67" i="49" s="1"/>
  <c r="AC67" i="49"/>
  <c r="AN67" i="49" s="1"/>
  <c r="BA67" i="49" s="1" a="1"/>
  <c r="BA67" i="49" s="1"/>
  <c r="BO67" i="49" s="1"/>
  <c r="U68" i="49"/>
  <c r="AF68" i="49" s="1"/>
  <c r="AS68" i="49" s="1" a="1"/>
  <c r="AS68" i="49" s="1"/>
  <c r="BG68" i="49" s="1"/>
  <c r="V68" i="49"/>
  <c r="AG68" i="49" s="1"/>
  <c r="AT68" i="49" s="1" a="1"/>
  <c r="AT68" i="49" s="1"/>
  <c r="BH68" i="49" s="1"/>
  <c r="W68" i="49"/>
  <c r="AH68" i="49" s="1"/>
  <c r="AU68" i="49" s="1" a="1"/>
  <c r="AU68" i="49" s="1"/>
  <c r="BI68" i="49" s="1"/>
  <c r="X68" i="49"/>
  <c r="AI68" i="49" s="1"/>
  <c r="AV68" i="49" s="1" a="1"/>
  <c r="AV68" i="49" s="1"/>
  <c r="BJ68" i="49" s="1"/>
  <c r="Y68" i="49"/>
  <c r="AJ68" i="49" s="1"/>
  <c r="AW68" i="49" s="1" a="1"/>
  <c r="AW68" i="49" s="1"/>
  <c r="BK68" i="49" s="1"/>
  <c r="Z68" i="49"/>
  <c r="AK68" i="49" s="1"/>
  <c r="AX68" i="49" s="1" a="1"/>
  <c r="AX68" i="49" s="1"/>
  <c r="BL68" i="49" s="1"/>
  <c r="AA68" i="49"/>
  <c r="AL68" i="49" s="1"/>
  <c r="AY68" i="49" s="1" a="1"/>
  <c r="AY68" i="49" s="1"/>
  <c r="BM68" i="49" s="1"/>
  <c r="AB68" i="49"/>
  <c r="AM68" i="49" s="1"/>
  <c r="AZ68" i="49" s="1" a="1"/>
  <c r="AZ68" i="49" s="1"/>
  <c r="BN68" i="49" s="1"/>
  <c r="AC68" i="49"/>
  <c r="AN68" i="49" s="1"/>
  <c r="BA68" i="49" s="1" a="1"/>
  <c r="BA68" i="49" s="1"/>
  <c r="BO68" i="49" s="1"/>
  <c r="U69" i="49"/>
  <c r="AF69" i="49" s="1"/>
  <c r="AS69" i="49" s="1" a="1"/>
  <c r="AS69" i="49" s="1"/>
  <c r="V69" i="49"/>
  <c r="AG69" i="49" s="1"/>
  <c r="AT69" i="49" s="1" a="1"/>
  <c r="AT69" i="49" s="1"/>
  <c r="BH69" i="49" s="1"/>
  <c r="W69" i="49"/>
  <c r="AH69" i="49" s="1"/>
  <c r="AU69" i="49" s="1" a="1"/>
  <c r="AU69" i="49" s="1"/>
  <c r="BI69" i="49" s="1"/>
  <c r="X69" i="49"/>
  <c r="AI69" i="49" s="1"/>
  <c r="AV69" i="49" s="1" a="1"/>
  <c r="AV69" i="49" s="1"/>
  <c r="BJ69" i="49" s="1"/>
  <c r="Y69" i="49"/>
  <c r="AJ69" i="49" s="1"/>
  <c r="AW69" i="49" s="1" a="1"/>
  <c r="AW69" i="49" s="1"/>
  <c r="BK69" i="49" s="1"/>
  <c r="Z69" i="49"/>
  <c r="AK69" i="49" s="1"/>
  <c r="AX69" i="49" s="1" a="1"/>
  <c r="AX69" i="49" s="1"/>
  <c r="BL69" i="49" s="1"/>
  <c r="AA69" i="49"/>
  <c r="AL69" i="49" s="1"/>
  <c r="AY69" i="49" s="1" a="1"/>
  <c r="AY69" i="49" s="1"/>
  <c r="BM69" i="49" s="1"/>
  <c r="AB69" i="49"/>
  <c r="AM69" i="49" s="1"/>
  <c r="AZ69" i="49" s="1" a="1"/>
  <c r="AZ69" i="49" s="1"/>
  <c r="BN69" i="49" s="1"/>
  <c r="AC69" i="49"/>
  <c r="AN69" i="49" s="1"/>
  <c r="BA69" i="49" s="1" a="1"/>
  <c r="BA69" i="49" s="1"/>
  <c r="BO69" i="49" s="1"/>
  <c r="U70" i="49"/>
  <c r="AF70" i="49" s="1"/>
  <c r="AS70" i="49" s="1" a="1"/>
  <c r="AS70" i="49" s="1"/>
  <c r="BG70" i="49" s="1"/>
  <c r="V70" i="49"/>
  <c r="AG70" i="49" s="1"/>
  <c r="AT70" i="49" s="1" a="1"/>
  <c r="AT70" i="49" s="1"/>
  <c r="W70" i="49"/>
  <c r="AH70" i="49" s="1"/>
  <c r="AU70" i="49" s="1" a="1"/>
  <c r="AU70" i="49" s="1"/>
  <c r="X70" i="49"/>
  <c r="AI70" i="49" s="1"/>
  <c r="AV70" i="49" s="1" a="1"/>
  <c r="AV70" i="49" s="1"/>
  <c r="Y70" i="49"/>
  <c r="AJ70" i="49" s="1"/>
  <c r="AW70" i="49" s="1" a="1"/>
  <c r="AW70" i="49" s="1"/>
  <c r="BK70" i="49" s="1"/>
  <c r="Z70" i="49"/>
  <c r="AK70" i="49" s="1"/>
  <c r="AX70" i="49" s="1" a="1"/>
  <c r="AX70" i="49" s="1"/>
  <c r="BL70" i="49" s="1"/>
  <c r="AA70" i="49"/>
  <c r="AL70" i="49" s="1"/>
  <c r="AY70" i="49" s="1" a="1"/>
  <c r="AY70" i="49" s="1"/>
  <c r="BM70" i="49" s="1"/>
  <c r="AB70" i="49"/>
  <c r="AM70" i="49" s="1"/>
  <c r="AZ70" i="49" s="1" a="1"/>
  <c r="AZ70" i="49" s="1"/>
  <c r="BN70" i="49" s="1"/>
  <c r="AC70" i="49"/>
  <c r="AN70" i="49" s="1"/>
  <c r="BA70" i="49" s="1" a="1"/>
  <c r="BA70" i="49" s="1"/>
  <c r="BO70" i="49" s="1"/>
  <c r="U71" i="49"/>
  <c r="AF71" i="49" s="1"/>
  <c r="AS71" i="49" s="1" a="1"/>
  <c r="AS71" i="49" s="1"/>
  <c r="BG71" i="49" s="1"/>
  <c r="V71" i="49"/>
  <c r="AG71" i="49" s="1"/>
  <c r="AT71" i="49" s="1" a="1"/>
  <c r="AT71" i="49" s="1"/>
  <c r="BH71" i="49" s="1"/>
  <c r="W71" i="49"/>
  <c r="AH71" i="49" s="1"/>
  <c r="AU71" i="49" s="1" a="1"/>
  <c r="AU71" i="49" s="1"/>
  <c r="BI71" i="49" s="1"/>
  <c r="X71" i="49"/>
  <c r="AI71" i="49" s="1"/>
  <c r="AV71" i="49" s="1" a="1"/>
  <c r="AV71" i="49" s="1"/>
  <c r="BJ71" i="49" s="1"/>
  <c r="Y71" i="49"/>
  <c r="AJ71" i="49" s="1"/>
  <c r="AW71" i="49" s="1" a="1"/>
  <c r="AW71" i="49" s="1"/>
  <c r="BK71" i="49" s="1"/>
  <c r="Z71" i="49"/>
  <c r="AK71" i="49" s="1"/>
  <c r="AX71" i="49" s="1" a="1"/>
  <c r="AX71" i="49" s="1"/>
  <c r="BL71" i="49" s="1"/>
  <c r="AA71" i="49"/>
  <c r="AL71" i="49" s="1"/>
  <c r="AY71" i="49" s="1" a="1"/>
  <c r="AY71" i="49" s="1"/>
  <c r="BM71" i="49" s="1"/>
  <c r="AB71" i="49"/>
  <c r="AM71" i="49" s="1"/>
  <c r="AZ71" i="49" s="1" a="1"/>
  <c r="AZ71" i="49" s="1"/>
  <c r="BN71" i="49" s="1"/>
  <c r="AC71" i="49"/>
  <c r="AN71" i="49" s="1"/>
  <c r="BA71" i="49" s="1" a="1"/>
  <c r="BA71" i="49" s="1"/>
  <c r="BO71" i="49" s="1"/>
  <c r="U73" i="49"/>
  <c r="AF73" i="49" s="1"/>
  <c r="AS73" i="49" s="1" a="1"/>
  <c r="AS73" i="49" s="1"/>
  <c r="BG73" i="49" s="1"/>
  <c r="V73" i="49"/>
  <c r="AG73" i="49" s="1"/>
  <c r="AT73" i="49" s="1" a="1"/>
  <c r="AT73" i="49" s="1"/>
  <c r="BH73" i="49" s="1"/>
  <c r="W73" i="49"/>
  <c r="AH73" i="49" s="1"/>
  <c r="AU73" i="49" s="1" a="1"/>
  <c r="AU73" i="49" s="1"/>
  <c r="BI73" i="49" s="1"/>
  <c r="X73" i="49"/>
  <c r="AI73" i="49" s="1"/>
  <c r="AV73" i="49" s="1" a="1"/>
  <c r="AV73" i="49" s="1"/>
  <c r="BJ73" i="49" s="1"/>
  <c r="Y73" i="49"/>
  <c r="AJ73" i="49" s="1"/>
  <c r="AW73" i="49" s="1" a="1"/>
  <c r="AW73" i="49" s="1"/>
  <c r="BK73" i="49" s="1"/>
  <c r="Z73" i="49"/>
  <c r="AK73" i="49" s="1"/>
  <c r="AX73" i="49" s="1" a="1"/>
  <c r="AX73" i="49" s="1"/>
  <c r="BL73" i="49" s="1"/>
  <c r="AA73" i="49"/>
  <c r="AL73" i="49" s="1"/>
  <c r="AY73" i="49" s="1" a="1"/>
  <c r="AY73" i="49" s="1"/>
  <c r="BM73" i="49" s="1"/>
  <c r="AB73" i="49"/>
  <c r="AM73" i="49" s="1"/>
  <c r="AZ73" i="49" s="1" a="1"/>
  <c r="AZ73" i="49" s="1"/>
  <c r="BN73" i="49" s="1"/>
  <c r="AC73" i="49"/>
  <c r="AN73" i="49" s="1"/>
  <c r="BA73" i="49" s="1" a="1"/>
  <c r="BA73" i="49" s="1"/>
  <c r="BO73" i="49" s="1"/>
  <c r="U74" i="49"/>
  <c r="AF74" i="49" s="1"/>
  <c r="AS74" i="49" s="1" a="1"/>
  <c r="AS74" i="49" s="1"/>
  <c r="BG74" i="49" s="1"/>
  <c r="V74" i="49"/>
  <c r="AG74" i="49" s="1"/>
  <c r="AT74" i="49" s="1" a="1"/>
  <c r="AT74" i="49" s="1"/>
  <c r="BH74" i="49" s="1"/>
  <c r="W74" i="49"/>
  <c r="AH74" i="49" s="1"/>
  <c r="AU74" i="49" s="1" a="1"/>
  <c r="AU74" i="49" s="1"/>
  <c r="BI74" i="49" s="1"/>
  <c r="X74" i="49"/>
  <c r="AI74" i="49" s="1"/>
  <c r="AV74" i="49" s="1" a="1"/>
  <c r="AV74" i="49" s="1"/>
  <c r="BJ74" i="49" s="1"/>
  <c r="Y74" i="49"/>
  <c r="AJ74" i="49" s="1"/>
  <c r="AW74" i="49" s="1" a="1"/>
  <c r="AW74" i="49" s="1"/>
  <c r="BK74" i="49" s="1"/>
  <c r="Z74" i="49"/>
  <c r="AK74" i="49" s="1"/>
  <c r="AX74" i="49" s="1" a="1"/>
  <c r="AX74" i="49" s="1"/>
  <c r="BL74" i="49" s="1"/>
  <c r="AA74" i="49"/>
  <c r="AL74" i="49" s="1"/>
  <c r="AY74" i="49" s="1" a="1"/>
  <c r="AY74" i="49" s="1"/>
  <c r="BM74" i="49" s="1"/>
  <c r="AB74" i="49"/>
  <c r="AM74" i="49" s="1"/>
  <c r="AZ74" i="49" s="1" a="1"/>
  <c r="AZ74" i="49" s="1"/>
  <c r="BN74" i="49" s="1"/>
  <c r="AC74" i="49"/>
  <c r="AN74" i="49" s="1"/>
  <c r="BA74" i="49" s="1" a="1"/>
  <c r="BA74" i="49" s="1"/>
  <c r="BO74" i="49" s="1"/>
  <c r="U76" i="49"/>
  <c r="AF76" i="49" s="1"/>
  <c r="AS76" i="49" s="1" a="1"/>
  <c r="AS76" i="49" s="1"/>
  <c r="V76" i="49"/>
  <c r="AG76" i="49" s="1"/>
  <c r="AT76" i="49" s="1" a="1"/>
  <c r="AT76" i="49" s="1"/>
  <c r="W76" i="49"/>
  <c r="AH76" i="49" s="1"/>
  <c r="AU76" i="49" s="1" a="1"/>
  <c r="AU76" i="49" s="1"/>
  <c r="X76" i="49"/>
  <c r="AI76" i="49" s="1"/>
  <c r="AV76" i="49" s="1" a="1"/>
  <c r="AV76" i="49" s="1"/>
  <c r="Y76" i="49"/>
  <c r="AJ76" i="49" s="1"/>
  <c r="AW76" i="49" s="1" a="1"/>
  <c r="AW76" i="49" s="1"/>
  <c r="Z76" i="49"/>
  <c r="AK76" i="49" s="1"/>
  <c r="AX76" i="49" s="1" a="1"/>
  <c r="AX76" i="49" s="1"/>
  <c r="AA76" i="49"/>
  <c r="AL76" i="49" s="1"/>
  <c r="AY76" i="49" s="1" a="1"/>
  <c r="AY76" i="49" s="1"/>
  <c r="AB76" i="49"/>
  <c r="AM76" i="49" s="1"/>
  <c r="AZ76" i="49" s="1" a="1"/>
  <c r="AZ76" i="49" s="1"/>
  <c r="AC76" i="49"/>
  <c r="AN76" i="49" s="1"/>
  <c r="BA76" i="49" s="1" a="1"/>
  <c r="BA76" i="49" s="1"/>
  <c r="U77" i="49"/>
  <c r="AF77" i="49" s="1"/>
  <c r="AS77" i="49" s="1" a="1"/>
  <c r="AS77" i="49" s="1"/>
  <c r="V77" i="49"/>
  <c r="AG77" i="49" s="1"/>
  <c r="AT77" i="49" s="1" a="1"/>
  <c r="AT77" i="49" s="1"/>
  <c r="BH77" i="49" s="1"/>
  <c r="W77" i="49"/>
  <c r="AH77" i="49" s="1"/>
  <c r="AU77" i="49" s="1" a="1"/>
  <c r="AU77" i="49" s="1"/>
  <c r="X77" i="49"/>
  <c r="AI77" i="49" s="1"/>
  <c r="AV77" i="49" s="1" a="1"/>
  <c r="AV77" i="49" s="1"/>
  <c r="Y77" i="49"/>
  <c r="AJ77" i="49" s="1"/>
  <c r="AW77" i="49" s="1" a="1"/>
  <c r="AW77" i="49" s="1"/>
  <c r="Z77" i="49"/>
  <c r="AK77" i="49" s="1"/>
  <c r="AX77" i="49" s="1" a="1"/>
  <c r="AX77" i="49" s="1"/>
  <c r="AA77" i="49"/>
  <c r="AL77" i="49" s="1"/>
  <c r="AY77" i="49" s="1" a="1"/>
  <c r="AY77" i="49" s="1"/>
  <c r="AB77" i="49"/>
  <c r="AM77" i="49" s="1"/>
  <c r="AZ77" i="49" s="1" a="1"/>
  <c r="AZ77" i="49" s="1"/>
  <c r="AC77" i="49"/>
  <c r="AN77" i="49" s="1"/>
  <c r="BA77" i="49" s="1" a="1"/>
  <c r="BA77" i="49" s="1"/>
  <c r="U78" i="49"/>
  <c r="AF78" i="49" s="1"/>
  <c r="AS78" i="49" s="1" a="1"/>
  <c r="AS78" i="49" s="1"/>
  <c r="BG78" i="49" s="1"/>
  <c r="V78" i="49"/>
  <c r="AG78" i="49" s="1"/>
  <c r="AT78" i="49" s="1" a="1"/>
  <c r="AT78" i="49" s="1"/>
  <c r="BH78" i="49" s="1"/>
  <c r="W78" i="49"/>
  <c r="AH78" i="49" s="1"/>
  <c r="AU78" i="49" s="1" a="1"/>
  <c r="AU78" i="49" s="1"/>
  <c r="BI78" i="49" s="1"/>
  <c r="X78" i="49"/>
  <c r="AI78" i="49" s="1"/>
  <c r="AV78" i="49" s="1" a="1"/>
  <c r="AV78" i="49" s="1"/>
  <c r="Y78" i="49"/>
  <c r="AJ78" i="49" s="1"/>
  <c r="AW78" i="49" s="1" a="1"/>
  <c r="AW78" i="49" s="1"/>
  <c r="Z78" i="49"/>
  <c r="AK78" i="49" s="1"/>
  <c r="AX78" i="49" s="1" a="1"/>
  <c r="AX78" i="49" s="1"/>
  <c r="AA78" i="49"/>
  <c r="AL78" i="49" s="1"/>
  <c r="AY78" i="49" s="1" a="1"/>
  <c r="AY78" i="49" s="1"/>
  <c r="BM78" i="49" s="1"/>
  <c r="AB78" i="49"/>
  <c r="AM78" i="49" s="1"/>
  <c r="AZ78" i="49" s="1" a="1"/>
  <c r="AZ78" i="49" s="1"/>
  <c r="BN78" i="49" s="1"/>
  <c r="AC78" i="49"/>
  <c r="AN78" i="49" s="1"/>
  <c r="BA78" i="49" s="1" a="1"/>
  <c r="BA78" i="49" s="1"/>
  <c r="U79" i="49"/>
  <c r="AF79" i="49" s="1"/>
  <c r="AS79" i="49" s="1" a="1"/>
  <c r="AS79" i="49" s="1"/>
  <c r="V79" i="49"/>
  <c r="AG79" i="49" s="1"/>
  <c r="AT79" i="49" s="1" a="1"/>
  <c r="AT79" i="49" s="1"/>
  <c r="BH79" i="49" s="1"/>
  <c r="W79" i="49"/>
  <c r="AH79" i="49" s="1"/>
  <c r="AU79" i="49" s="1" a="1"/>
  <c r="AU79" i="49" s="1"/>
  <c r="BI79" i="49" s="1"/>
  <c r="X79" i="49"/>
  <c r="AI79" i="49" s="1"/>
  <c r="AV79" i="49" s="1" a="1"/>
  <c r="AV79" i="49" s="1"/>
  <c r="BJ79" i="49" s="1"/>
  <c r="Y79" i="49"/>
  <c r="AJ79" i="49" s="1"/>
  <c r="AW79" i="49" s="1" a="1"/>
  <c r="AW79" i="49" s="1"/>
  <c r="BK79" i="49" s="1"/>
  <c r="Z79" i="49"/>
  <c r="AK79" i="49" s="1"/>
  <c r="AX79" i="49" s="1" a="1"/>
  <c r="AX79" i="49" s="1"/>
  <c r="BL79" i="49" s="1"/>
  <c r="AA79" i="49"/>
  <c r="AL79" i="49" s="1"/>
  <c r="AY79" i="49" s="1" a="1"/>
  <c r="AY79" i="49" s="1"/>
  <c r="BM79" i="49" s="1"/>
  <c r="AB79" i="49"/>
  <c r="AM79" i="49" s="1"/>
  <c r="AZ79" i="49" s="1" a="1"/>
  <c r="AZ79" i="49" s="1"/>
  <c r="BN79" i="49" s="1"/>
  <c r="AC79" i="49"/>
  <c r="AN79" i="49" s="1"/>
  <c r="BA79" i="49" s="1" a="1"/>
  <c r="BA79" i="49" s="1"/>
  <c r="BO79" i="49" s="1"/>
  <c r="U80" i="49"/>
  <c r="AF80" i="49" s="1"/>
  <c r="AS80" i="49" s="1" a="1"/>
  <c r="AS80" i="49" s="1"/>
  <c r="BG80" i="49" s="1"/>
  <c r="V80" i="49"/>
  <c r="AG80" i="49" s="1"/>
  <c r="AT80" i="49" s="1" a="1"/>
  <c r="AT80" i="49" s="1"/>
  <c r="BH80" i="49" s="1"/>
  <c r="W80" i="49"/>
  <c r="AH80" i="49" s="1"/>
  <c r="AU80" i="49" s="1" a="1"/>
  <c r="AU80" i="49" s="1"/>
  <c r="BI80" i="49" s="1"/>
  <c r="X80" i="49"/>
  <c r="AI80" i="49" s="1"/>
  <c r="AV80" i="49" s="1" a="1"/>
  <c r="AV80" i="49" s="1"/>
  <c r="BJ80" i="49" s="1"/>
  <c r="Y80" i="49"/>
  <c r="AJ80" i="49" s="1"/>
  <c r="AW80" i="49" s="1" a="1"/>
  <c r="AW80" i="49" s="1"/>
  <c r="BK80" i="49" s="1"/>
  <c r="Z80" i="49"/>
  <c r="AK80" i="49" s="1"/>
  <c r="AX80" i="49" s="1" a="1"/>
  <c r="AX80" i="49" s="1"/>
  <c r="BL80" i="49" s="1"/>
  <c r="AA80" i="49"/>
  <c r="AL80" i="49" s="1"/>
  <c r="AY80" i="49" s="1" a="1"/>
  <c r="AY80" i="49" s="1"/>
  <c r="BM80" i="49" s="1"/>
  <c r="AB80" i="49"/>
  <c r="AM80" i="49" s="1"/>
  <c r="AZ80" i="49" s="1" a="1"/>
  <c r="AZ80" i="49" s="1"/>
  <c r="BN80" i="49" s="1"/>
  <c r="AC80" i="49"/>
  <c r="AN80" i="49" s="1"/>
  <c r="BA80" i="49" s="1" a="1"/>
  <c r="BA80" i="49" s="1"/>
  <c r="BO80" i="49" s="1"/>
  <c r="U81" i="49"/>
  <c r="AF81" i="49" s="1"/>
  <c r="AS81" i="49" s="1" a="1"/>
  <c r="AS81" i="49" s="1"/>
  <c r="BG81" i="49" s="1"/>
  <c r="V81" i="49"/>
  <c r="AG81" i="49" s="1"/>
  <c r="AT81" i="49" s="1" a="1"/>
  <c r="AT81" i="49" s="1"/>
  <c r="W81" i="49"/>
  <c r="AH81" i="49" s="1"/>
  <c r="AU81" i="49" s="1" a="1"/>
  <c r="AU81" i="49" s="1"/>
  <c r="X81" i="49"/>
  <c r="AI81" i="49" s="1"/>
  <c r="AV81" i="49" s="1" a="1"/>
  <c r="AV81" i="49" s="1"/>
  <c r="Y81" i="49"/>
  <c r="AJ81" i="49" s="1"/>
  <c r="AW81" i="49" s="1" a="1"/>
  <c r="AW81" i="49" s="1"/>
  <c r="BK81" i="49" s="1"/>
  <c r="Z81" i="49"/>
  <c r="AK81" i="49" s="1"/>
  <c r="AX81" i="49" s="1" a="1"/>
  <c r="AX81" i="49" s="1"/>
  <c r="AA81" i="49"/>
  <c r="AL81" i="49" s="1"/>
  <c r="AY81" i="49" s="1" a="1"/>
  <c r="AY81" i="49" s="1"/>
  <c r="AB81" i="49"/>
  <c r="AM81" i="49" s="1"/>
  <c r="AZ81" i="49" s="1" a="1"/>
  <c r="AZ81" i="49" s="1"/>
  <c r="AC81" i="49"/>
  <c r="AN81" i="49" s="1"/>
  <c r="BA81" i="49" s="1" a="1"/>
  <c r="BA81" i="49" s="1"/>
  <c r="U82" i="49"/>
  <c r="AF82" i="49" s="1"/>
  <c r="AS82" i="49" s="1" a="1"/>
  <c r="AS82" i="49" s="1"/>
  <c r="V82" i="49"/>
  <c r="AG82" i="49" s="1"/>
  <c r="AT82" i="49" s="1" a="1"/>
  <c r="AT82" i="49" s="1"/>
  <c r="W82" i="49"/>
  <c r="AH82" i="49" s="1"/>
  <c r="AU82" i="49" s="1" a="1"/>
  <c r="AU82" i="49" s="1"/>
  <c r="X82" i="49"/>
  <c r="AI82" i="49" s="1"/>
  <c r="AV82" i="49" s="1" a="1"/>
  <c r="AV82" i="49" s="1"/>
  <c r="Y82" i="49"/>
  <c r="AJ82" i="49" s="1"/>
  <c r="AW82" i="49" s="1" a="1"/>
  <c r="AW82" i="49" s="1"/>
  <c r="Z82" i="49"/>
  <c r="AK82" i="49" s="1"/>
  <c r="AX82" i="49" s="1" a="1"/>
  <c r="AX82" i="49" s="1"/>
  <c r="AA82" i="49"/>
  <c r="AL82" i="49" s="1"/>
  <c r="AY82" i="49" s="1" a="1"/>
  <c r="AY82" i="49" s="1"/>
  <c r="AB82" i="49"/>
  <c r="AM82" i="49" s="1"/>
  <c r="AZ82" i="49" s="1" a="1"/>
  <c r="AZ82" i="49" s="1"/>
  <c r="BN82" i="49" s="1"/>
  <c r="AC82" i="49"/>
  <c r="AN82" i="49" s="1"/>
  <c r="BA82" i="49" s="1" a="1"/>
  <c r="BA82" i="49" s="1"/>
  <c r="U87" i="49"/>
  <c r="AF87" i="49" s="1"/>
  <c r="AS87" i="49" s="1" a="1"/>
  <c r="AS87" i="49" s="1"/>
  <c r="BG87" i="49" s="1"/>
  <c r="V87" i="49"/>
  <c r="AG87" i="49" s="1"/>
  <c r="AT87" i="49" s="1" a="1"/>
  <c r="AT87" i="49" s="1"/>
  <c r="BH87" i="49" s="1"/>
  <c r="W87" i="49"/>
  <c r="AH87" i="49" s="1"/>
  <c r="AU87" i="49" s="1" a="1"/>
  <c r="AU87" i="49" s="1"/>
  <c r="BI87" i="49" s="1"/>
  <c r="X87" i="49"/>
  <c r="AI87" i="49" s="1"/>
  <c r="AV87" i="49" s="1" a="1"/>
  <c r="AV87" i="49" s="1"/>
  <c r="BJ87" i="49" s="1"/>
  <c r="Y87" i="49"/>
  <c r="AJ87" i="49" s="1"/>
  <c r="AW87" i="49" s="1" a="1"/>
  <c r="AW87" i="49" s="1"/>
  <c r="BK87" i="49" s="1"/>
  <c r="Z87" i="49"/>
  <c r="AK87" i="49" s="1"/>
  <c r="AX87" i="49" s="1" a="1"/>
  <c r="AX87" i="49" s="1"/>
  <c r="BL87" i="49" s="1"/>
  <c r="AA87" i="49"/>
  <c r="AL87" i="49" s="1"/>
  <c r="AY87" i="49" s="1" a="1"/>
  <c r="AY87" i="49" s="1"/>
  <c r="BM87" i="49" s="1"/>
  <c r="AB87" i="49"/>
  <c r="AM87" i="49" s="1"/>
  <c r="AZ87" i="49" s="1" a="1"/>
  <c r="AZ87" i="49" s="1"/>
  <c r="BN87" i="49" s="1"/>
  <c r="AC87" i="49"/>
  <c r="AN87" i="49" s="1"/>
  <c r="BA87" i="49" s="1" a="1"/>
  <c r="BA87" i="49" s="1"/>
  <c r="BO87" i="49" s="1"/>
  <c r="U89" i="49"/>
  <c r="AF89" i="49" s="1"/>
  <c r="AS89" i="49" s="1" a="1"/>
  <c r="AS89" i="49" s="1"/>
  <c r="BG89" i="49" s="1"/>
  <c r="V89" i="49"/>
  <c r="AG89" i="49" s="1"/>
  <c r="AT89" i="49" s="1" a="1"/>
  <c r="AT89" i="49" s="1"/>
  <c r="BH89" i="49" s="1"/>
  <c r="W89" i="49"/>
  <c r="AH89" i="49" s="1"/>
  <c r="AU89" i="49" s="1" a="1"/>
  <c r="AU89" i="49" s="1"/>
  <c r="BI89" i="49" s="1"/>
  <c r="X89" i="49"/>
  <c r="AI89" i="49" s="1"/>
  <c r="AV89" i="49" s="1" a="1"/>
  <c r="AV89" i="49" s="1"/>
  <c r="BJ89" i="49" s="1"/>
  <c r="Y89" i="49"/>
  <c r="AJ89" i="49" s="1"/>
  <c r="AW89" i="49" s="1" a="1"/>
  <c r="AW89" i="49" s="1"/>
  <c r="BK89" i="49" s="1"/>
  <c r="Z89" i="49"/>
  <c r="AK89" i="49" s="1"/>
  <c r="AX89" i="49" s="1" a="1"/>
  <c r="AX89" i="49" s="1"/>
  <c r="BL89" i="49" s="1"/>
  <c r="AA89" i="49"/>
  <c r="AL89" i="49" s="1"/>
  <c r="AY89" i="49" s="1" a="1"/>
  <c r="AY89" i="49" s="1"/>
  <c r="BM89" i="49" s="1"/>
  <c r="AB89" i="49"/>
  <c r="AM89" i="49" s="1"/>
  <c r="AZ89" i="49" s="1" a="1"/>
  <c r="AZ89" i="49" s="1"/>
  <c r="BN89" i="49" s="1"/>
  <c r="AC89" i="49"/>
  <c r="AN89" i="49" s="1"/>
  <c r="BA89" i="49" s="1" a="1"/>
  <c r="BA89" i="49" s="1"/>
  <c r="BO89" i="49" s="1"/>
  <c r="U93" i="49"/>
  <c r="AF93" i="49" s="1"/>
  <c r="AS93" i="49" s="1" a="1"/>
  <c r="AS93" i="49" s="1"/>
  <c r="BG93" i="49" s="1"/>
  <c r="V93" i="49"/>
  <c r="AG93" i="49" s="1"/>
  <c r="AT93" i="49" s="1" a="1"/>
  <c r="AT93" i="49" s="1"/>
  <c r="BH93" i="49" s="1"/>
  <c r="W93" i="49"/>
  <c r="AH93" i="49" s="1"/>
  <c r="AU93" i="49" s="1" a="1"/>
  <c r="AU93" i="49" s="1"/>
  <c r="BI93" i="49" s="1"/>
  <c r="X93" i="49"/>
  <c r="AI93" i="49" s="1"/>
  <c r="AV93" i="49" s="1" a="1"/>
  <c r="AV93" i="49" s="1"/>
  <c r="BJ93" i="49" s="1"/>
  <c r="Y93" i="49"/>
  <c r="AJ93" i="49" s="1"/>
  <c r="AW93" i="49" s="1" a="1"/>
  <c r="AW93" i="49" s="1"/>
  <c r="BK93" i="49" s="1"/>
  <c r="Z93" i="49"/>
  <c r="AK93" i="49" s="1"/>
  <c r="AX93" i="49" s="1" a="1"/>
  <c r="AX93" i="49" s="1"/>
  <c r="BL93" i="49" s="1"/>
  <c r="AA93" i="49"/>
  <c r="AL93" i="49" s="1"/>
  <c r="AY93" i="49" s="1" a="1"/>
  <c r="AY93" i="49" s="1"/>
  <c r="BM93" i="49" s="1"/>
  <c r="AB93" i="49"/>
  <c r="AM93" i="49" s="1"/>
  <c r="AZ93" i="49" s="1" a="1"/>
  <c r="AZ93" i="49" s="1"/>
  <c r="BN93" i="49" s="1"/>
  <c r="AC93" i="49"/>
  <c r="AN93" i="49" s="1"/>
  <c r="BA93" i="49" s="1" a="1"/>
  <c r="BA93" i="49" s="1"/>
  <c r="BO93" i="49" s="1"/>
  <c r="U95" i="49"/>
  <c r="AF95" i="49" s="1"/>
  <c r="AS95" i="49" s="1" a="1"/>
  <c r="AS95" i="49" s="1"/>
  <c r="BG95" i="49" s="1"/>
  <c r="V95" i="49"/>
  <c r="AG95" i="49" s="1"/>
  <c r="AT95" i="49" s="1" a="1"/>
  <c r="AT95" i="49" s="1"/>
  <c r="BH95" i="49" s="1"/>
  <c r="W95" i="49"/>
  <c r="AH95" i="49" s="1"/>
  <c r="AU95" i="49" s="1" a="1"/>
  <c r="AU95" i="49" s="1"/>
  <c r="BI95" i="49" s="1"/>
  <c r="X95" i="49"/>
  <c r="AI95" i="49" s="1"/>
  <c r="AV95" i="49" s="1" a="1"/>
  <c r="AV95" i="49" s="1"/>
  <c r="BJ95" i="49" s="1"/>
  <c r="Y95" i="49"/>
  <c r="AJ95" i="49" s="1"/>
  <c r="AW95" i="49" s="1" a="1"/>
  <c r="AW95" i="49" s="1"/>
  <c r="BK95" i="49" s="1"/>
  <c r="Z95" i="49"/>
  <c r="AK95" i="49" s="1"/>
  <c r="AX95" i="49" s="1" a="1"/>
  <c r="AX95" i="49" s="1"/>
  <c r="BL95" i="49" s="1"/>
  <c r="AA95" i="49"/>
  <c r="AL95" i="49" s="1"/>
  <c r="AY95" i="49" s="1" a="1"/>
  <c r="AY95" i="49" s="1"/>
  <c r="BM95" i="49" s="1"/>
  <c r="AB95" i="49"/>
  <c r="AM95" i="49" s="1"/>
  <c r="AZ95" i="49" s="1" a="1"/>
  <c r="AZ95" i="49" s="1"/>
  <c r="BN95" i="49" s="1"/>
  <c r="AC95" i="49"/>
  <c r="AN95" i="49" s="1"/>
  <c r="BA95" i="49" s="1" a="1"/>
  <c r="BA95" i="49" s="1"/>
  <c r="BO95" i="49" s="1"/>
  <c r="U97" i="49"/>
  <c r="AF97" i="49" s="1"/>
  <c r="AS97" i="49" s="1" a="1"/>
  <c r="AS97" i="49" s="1"/>
  <c r="V97" i="49"/>
  <c r="AG97" i="49" s="1"/>
  <c r="AT97" i="49" s="1" a="1"/>
  <c r="AT97" i="49" s="1"/>
  <c r="W97" i="49"/>
  <c r="AH97" i="49" s="1"/>
  <c r="AU97" i="49" s="1" a="1"/>
  <c r="AU97" i="49" s="1"/>
  <c r="X97" i="49"/>
  <c r="AI97" i="49" s="1"/>
  <c r="AV97" i="49" s="1" a="1"/>
  <c r="AV97" i="49" s="1"/>
  <c r="BJ97" i="49" s="1"/>
  <c r="Y97" i="49"/>
  <c r="AJ97" i="49" s="1"/>
  <c r="AW97" i="49" s="1" a="1"/>
  <c r="AW97" i="49" s="1"/>
  <c r="Z97" i="49"/>
  <c r="AK97" i="49" s="1"/>
  <c r="AX97" i="49" s="1" a="1"/>
  <c r="AX97" i="49" s="1"/>
  <c r="AA97" i="49"/>
  <c r="AL97" i="49" s="1"/>
  <c r="AY97" i="49" s="1" a="1"/>
  <c r="AY97" i="49" s="1"/>
  <c r="AB97" i="49"/>
  <c r="AM97" i="49" s="1"/>
  <c r="AZ97" i="49" s="1" a="1"/>
  <c r="AZ97" i="49" s="1"/>
  <c r="AC97" i="49"/>
  <c r="AN97" i="49" s="1"/>
  <c r="BA97" i="49" s="1" a="1"/>
  <c r="BA97" i="49" s="1"/>
  <c r="U98" i="49"/>
  <c r="AF98" i="49" s="1"/>
  <c r="AS98" i="49" s="1" a="1"/>
  <c r="AS98" i="49" s="1"/>
  <c r="V98" i="49"/>
  <c r="AG98" i="49" s="1"/>
  <c r="AT98" i="49" s="1" a="1"/>
  <c r="AT98" i="49" s="1"/>
  <c r="W98" i="49"/>
  <c r="AH98" i="49" s="1"/>
  <c r="AU98" i="49" s="1" a="1"/>
  <c r="AU98" i="49" s="1"/>
  <c r="X98" i="49"/>
  <c r="AI98" i="49" s="1"/>
  <c r="AV98" i="49" s="1" a="1"/>
  <c r="AV98" i="49" s="1"/>
  <c r="Y98" i="49"/>
  <c r="AJ98" i="49" s="1"/>
  <c r="AW98" i="49" s="1" a="1"/>
  <c r="AW98" i="49" s="1"/>
  <c r="Z98" i="49"/>
  <c r="AK98" i="49" s="1"/>
  <c r="AX98" i="49" s="1" a="1"/>
  <c r="AX98" i="49" s="1"/>
  <c r="AA98" i="49"/>
  <c r="AL98" i="49" s="1"/>
  <c r="AY98" i="49" s="1" a="1"/>
  <c r="AY98" i="49" s="1"/>
  <c r="AB98" i="49"/>
  <c r="AM98" i="49" s="1"/>
  <c r="AZ98" i="49" s="1" a="1"/>
  <c r="AZ98" i="49" s="1"/>
  <c r="AC98" i="49"/>
  <c r="AN98" i="49" s="1"/>
  <c r="BA98" i="49" s="1" a="1"/>
  <c r="BA98" i="49" s="1"/>
  <c r="U99" i="49"/>
  <c r="AF99" i="49" s="1"/>
  <c r="AS99" i="49" s="1" a="1"/>
  <c r="AS99" i="49" s="1"/>
  <c r="BG99" i="49" s="1"/>
  <c r="V99" i="49"/>
  <c r="AG99" i="49" s="1"/>
  <c r="AT99" i="49" s="1" a="1"/>
  <c r="AT99" i="49" s="1"/>
  <c r="BH99" i="49" s="1"/>
  <c r="W99" i="49"/>
  <c r="AH99" i="49" s="1"/>
  <c r="AU99" i="49" s="1" a="1"/>
  <c r="AU99" i="49" s="1"/>
  <c r="X99" i="49"/>
  <c r="AI99" i="49" s="1"/>
  <c r="AV99" i="49" s="1" a="1"/>
  <c r="AV99" i="49" s="1"/>
  <c r="Y99" i="49"/>
  <c r="AJ99" i="49" s="1"/>
  <c r="AW99" i="49" s="1" a="1"/>
  <c r="AW99" i="49" s="1"/>
  <c r="Z99" i="49"/>
  <c r="AK99" i="49" s="1"/>
  <c r="AX99" i="49" s="1" a="1"/>
  <c r="AX99" i="49" s="1"/>
  <c r="AA99" i="49"/>
  <c r="AL99" i="49" s="1"/>
  <c r="AY99" i="49" s="1" a="1"/>
  <c r="AY99" i="49" s="1"/>
  <c r="AB99" i="49"/>
  <c r="AM99" i="49" s="1"/>
  <c r="AZ99" i="49" s="1" a="1"/>
  <c r="AZ99" i="49" s="1"/>
  <c r="AC99" i="49"/>
  <c r="AN99" i="49" s="1"/>
  <c r="BA99" i="49" s="1" a="1"/>
  <c r="BA99" i="49" s="1"/>
  <c r="U100" i="49"/>
  <c r="AF100" i="49" s="1"/>
  <c r="AS100" i="49" s="1" a="1"/>
  <c r="AS100" i="49" s="1"/>
  <c r="V100" i="49"/>
  <c r="AG100" i="49" s="1"/>
  <c r="AT100" i="49" s="1" a="1"/>
  <c r="AT100" i="49" s="1"/>
  <c r="W100" i="49"/>
  <c r="AH100" i="49" s="1"/>
  <c r="AU100" i="49" s="1" a="1"/>
  <c r="AU100" i="49" s="1"/>
  <c r="X100" i="49"/>
  <c r="AI100" i="49" s="1"/>
  <c r="AV100" i="49" s="1" a="1"/>
  <c r="AV100" i="49" s="1"/>
  <c r="Y100" i="49"/>
  <c r="AJ100" i="49" s="1"/>
  <c r="AW100" i="49" s="1" a="1"/>
  <c r="AW100" i="49" s="1"/>
  <c r="BK100" i="49" s="1"/>
  <c r="Z100" i="49"/>
  <c r="AK100" i="49" s="1"/>
  <c r="AX100" i="49" s="1" a="1"/>
  <c r="AX100" i="49" s="1"/>
  <c r="AA100" i="49"/>
  <c r="AL100" i="49" s="1"/>
  <c r="AY100" i="49" s="1" a="1"/>
  <c r="AY100" i="49" s="1"/>
  <c r="AB100" i="49"/>
  <c r="AM100" i="49" s="1"/>
  <c r="AZ100" i="49" s="1" a="1"/>
  <c r="AZ100" i="49" s="1"/>
  <c r="AC100" i="49"/>
  <c r="AN100" i="49" s="1"/>
  <c r="BA100" i="49" s="1" a="1"/>
  <c r="BA100" i="49" s="1"/>
  <c r="U101" i="49"/>
  <c r="AF101" i="49" s="1"/>
  <c r="AS101" i="49" s="1" a="1"/>
  <c r="AS101" i="49" s="1"/>
  <c r="V101" i="49"/>
  <c r="AG101" i="49" s="1"/>
  <c r="AT101" i="49" s="1" a="1"/>
  <c r="AT101" i="49" s="1"/>
  <c r="W101" i="49"/>
  <c r="AH101" i="49" s="1"/>
  <c r="AU101" i="49" s="1" a="1"/>
  <c r="AU101" i="49" s="1"/>
  <c r="X101" i="49"/>
  <c r="AI101" i="49" s="1"/>
  <c r="AV101" i="49" s="1" a="1"/>
  <c r="AV101" i="49" s="1"/>
  <c r="Y101" i="49"/>
  <c r="AJ101" i="49" s="1"/>
  <c r="AW101" i="49" s="1" a="1"/>
  <c r="AW101" i="49" s="1"/>
  <c r="Z101" i="49"/>
  <c r="AK101" i="49" s="1"/>
  <c r="AX101" i="49" s="1" a="1"/>
  <c r="AX101" i="49" s="1"/>
  <c r="BL101" i="49" s="1"/>
  <c r="AA101" i="49"/>
  <c r="AL101" i="49" s="1"/>
  <c r="AY101" i="49" s="1" a="1"/>
  <c r="AY101" i="49" s="1"/>
  <c r="AB101" i="49"/>
  <c r="AM101" i="49" s="1"/>
  <c r="AZ101" i="49" s="1" a="1"/>
  <c r="AZ101" i="49" s="1"/>
  <c r="AC101" i="49"/>
  <c r="AN101" i="49" s="1"/>
  <c r="BA101" i="49" s="1" a="1"/>
  <c r="BA101" i="49" s="1"/>
  <c r="U102" i="49"/>
  <c r="AF102" i="49" s="1"/>
  <c r="AS102" i="49" s="1" a="1"/>
  <c r="AS102" i="49" s="1"/>
  <c r="BG102" i="49" s="1"/>
  <c r="V102" i="49"/>
  <c r="AG102" i="49" s="1"/>
  <c r="AT102" i="49" s="1" a="1"/>
  <c r="AT102" i="49" s="1"/>
  <c r="BH102" i="49" s="1"/>
  <c r="W102" i="49"/>
  <c r="AH102" i="49" s="1"/>
  <c r="AU102" i="49" s="1" a="1"/>
  <c r="AU102" i="49" s="1"/>
  <c r="BI102" i="49" s="1"/>
  <c r="X102" i="49"/>
  <c r="AI102" i="49" s="1"/>
  <c r="AV102" i="49" s="1" a="1"/>
  <c r="AV102" i="49" s="1"/>
  <c r="BJ102" i="49" s="1"/>
  <c r="Y102" i="49"/>
  <c r="AJ102" i="49" s="1"/>
  <c r="AW102" i="49" s="1" a="1"/>
  <c r="AW102" i="49" s="1"/>
  <c r="BK102" i="49" s="1"/>
  <c r="Z102" i="49"/>
  <c r="AK102" i="49" s="1"/>
  <c r="AX102" i="49" s="1" a="1"/>
  <c r="AX102" i="49" s="1"/>
  <c r="BL102" i="49" s="1"/>
  <c r="AA102" i="49"/>
  <c r="AL102" i="49" s="1"/>
  <c r="AY102" i="49" s="1" a="1"/>
  <c r="AY102" i="49" s="1"/>
  <c r="BM102" i="49" s="1"/>
  <c r="AB102" i="49"/>
  <c r="AM102" i="49" s="1"/>
  <c r="AZ102" i="49" s="1" a="1"/>
  <c r="AZ102" i="49" s="1"/>
  <c r="BN102" i="49" s="1"/>
  <c r="AC102" i="49"/>
  <c r="AN102" i="49" s="1"/>
  <c r="BA102" i="49" s="1" a="1"/>
  <c r="BA102" i="49" s="1"/>
  <c r="BO102" i="49" s="1"/>
  <c r="U103" i="49"/>
  <c r="AF103" i="49" s="1"/>
  <c r="AS103" i="49" s="1" a="1"/>
  <c r="AS103" i="49" s="1"/>
  <c r="BG103" i="49" s="1"/>
  <c r="V103" i="49"/>
  <c r="AG103" i="49" s="1"/>
  <c r="AT103" i="49" s="1" a="1"/>
  <c r="AT103" i="49" s="1"/>
  <c r="BH103" i="49" s="1"/>
  <c r="W103" i="49"/>
  <c r="AH103" i="49" s="1"/>
  <c r="AU103" i="49" s="1" a="1"/>
  <c r="AU103" i="49" s="1"/>
  <c r="BI103" i="49" s="1"/>
  <c r="X103" i="49"/>
  <c r="AI103" i="49" s="1"/>
  <c r="AV103" i="49" s="1" a="1"/>
  <c r="AV103" i="49" s="1"/>
  <c r="BJ103" i="49" s="1"/>
  <c r="Y103" i="49"/>
  <c r="AJ103" i="49" s="1"/>
  <c r="AW103" i="49" s="1" a="1"/>
  <c r="AW103" i="49" s="1"/>
  <c r="BK103" i="49" s="1"/>
  <c r="Z103" i="49"/>
  <c r="AK103" i="49" s="1"/>
  <c r="AX103" i="49" s="1" a="1"/>
  <c r="AX103" i="49" s="1"/>
  <c r="BL103" i="49" s="1"/>
  <c r="AA103" i="49"/>
  <c r="AL103" i="49" s="1"/>
  <c r="AY103" i="49" s="1" a="1"/>
  <c r="AY103" i="49" s="1"/>
  <c r="BM103" i="49" s="1"/>
  <c r="AB103" i="49"/>
  <c r="AM103" i="49" s="1"/>
  <c r="AZ103" i="49" s="1" a="1"/>
  <c r="AZ103" i="49" s="1"/>
  <c r="BN103" i="49" s="1"/>
  <c r="AC103" i="49"/>
  <c r="AN103" i="49" s="1"/>
  <c r="BA103" i="49" s="1" a="1"/>
  <c r="BA103" i="49" s="1"/>
  <c r="BO103" i="49" s="1"/>
  <c r="U104" i="49"/>
  <c r="AF104" i="49" s="1"/>
  <c r="AS104" i="49" s="1" a="1"/>
  <c r="AS104" i="49" s="1"/>
  <c r="V104" i="49"/>
  <c r="AG104" i="49" s="1"/>
  <c r="AT104" i="49" s="1" a="1"/>
  <c r="AT104" i="49" s="1"/>
  <c r="W104" i="49"/>
  <c r="AH104" i="49" s="1"/>
  <c r="AU104" i="49" s="1" a="1"/>
  <c r="AU104" i="49" s="1"/>
  <c r="X104" i="49"/>
  <c r="AI104" i="49" s="1"/>
  <c r="AV104" i="49" s="1" a="1"/>
  <c r="AV104" i="49" s="1"/>
  <c r="Y104" i="49"/>
  <c r="AJ104" i="49" s="1"/>
  <c r="AW104" i="49" s="1" a="1"/>
  <c r="AW104" i="49" s="1"/>
  <c r="Z104" i="49"/>
  <c r="AK104" i="49" s="1"/>
  <c r="AX104" i="49" s="1" a="1"/>
  <c r="AX104" i="49" s="1"/>
  <c r="AA104" i="49"/>
  <c r="AL104" i="49" s="1"/>
  <c r="AY104" i="49" s="1" a="1"/>
  <c r="AY104" i="49" s="1"/>
  <c r="AB104" i="49"/>
  <c r="AM104" i="49" s="1"/>
  <c r="AZ104" i="49" s="1" a="1"/>
  <c r="AZ104" i="49" s="1"/>
  <c r="AC104" i="49"/>
  <c r="AN104" i="49" s="1"/>
  <c r="BA104" i="49" s="1" a="1"/>
  <c r="BA104" i="49" s="1"/>
  <c r="U106" i="49"/>
  <c r="AF106" i="49" s="1"/>
  <c r="AS106" i="49" s="1" a="1"/>
  <c r="AS106" i="49" s="1"/>
  <c r="BG106" i="49" s="1"/>
  <c r="V106" i="49"/>
  <c r="AG106" i="49" s="1"/>
  <c r="AT106" i="49" s="1" a="1"/>
  <c r="AT106" i="49" s="1"/>
  <c r="BH106" i="49" s="1"/>
  <c r="W106" i="49"/>
  <c r="AH106" i="49" s="1"/>
  <c r="AU106" i="49" s="1" a="1"/>
  <c r="AU106" i="49" s="1"/>
  <c r="BI106" i="49" s="1"/>
  <c r="X106" i="49"/>
  <c r="AI106" i="49" s="1"/>
  <c r="AV106" i="49" s="1" a="1"/>
  <c r="AV106" i="49" s="1"/>
  <c r="BJ106" i="49" s="1"/>
  <c r="Y106" i="49"/>
  <c r="AJ106" i="49" s="1"/>
  <c r="AW106" i="49" s="1" a="1"/>
  <c r="AW106" i="49" s="1"/>
  <c r="BK106" i="49" s="1"/>
  <c r="Z106" i="49"/>
  <c r="AK106" i="49" s="1"/>
  <c r="AX106" i="49" s="1" a="1"/>
  <c r="AX106" i="49" s="1"/>
  <c r="BL106" i="49" s="1"/>
  <c r="AA106" i="49"/>
  <c r="AL106" i="49" s="1"/>
  <c r="AY106" i="49" s="1" a="1"/>
  <c r="AY106" i="49" s="1"/>
  <c r="BM106" i="49" s="1"/>
  <c r="AB106" i="49"/>
  <c r="AM106" i="49" s="1"/>
  <c r="AZ106" i="49" s="1" a="1"/>
  <c r="AZ106" i="49" s="1"/>
  <c r="BN106" i="49" s="1"/>
  <c r="AC106" i="49"/>
  <c r="AN106" i="49" s="1"/>
  <c r="BA106" i="49" s="1" a="1"/>
  <c r="BA106" i="49" s="1"/>
  <c r="BO106" i="49" s="1"/>
  <c r="U107" i="49"/>
  <c r="AF107" i="49" s="1"/>
  <c r="AS107" i="49" s="1" a="1"/>
  <c r="AS107" i="49" s="1"/>
  <c r="V107" i="49"/>
  <c r="AG107" i="49" s="1"/>
  <c r="AT107" i="49" s="1" a="1"/>
  <c r="AT107" i="49" s="1"/>
  <c r="W107" i="49"/>
  <c r="AH107" i="49" s="1"/>
  <c r="AU107" i="49" s="1" a="1"/>
  <c r="AU107" i="49" s="1"/>
  <c r="X107" i="49"/>
  <c r="AI107" i="49" s="1"/>
  <c r="AV107" i="49" s="1" a="1"/>
  <c r="AV107" i="49" s="1"/>
  <c r="Y107" i="49"/>
  <c r="AJ107" i="49" s="1"/>
  <c r="AW107" i="49" s="1" a="1"/>
  <c r="AW107" i="49" s="1"/>
  <c r="Z107" i="49"/>
  <c r="AK107" i="49" s="1"/>
  <c r="AX107" i="49" s="1" a="1"/>
  <c r="AX107" i="49" s="1"/>
  <c r="AA107" i="49"/>
  <c r="AL107" i="49" s="1"/>
  <c r="AY107" i="49" s="1" a="1"/>
  <c r="AY107" i="49" s="1"/>
  <c r="AB107" i="49"/>
  <c r="AM107" i="49" s="1"/>
  <c r="AZ107" i="49" s="1" a="1"/>
  <c r="AZ107" i="49" s="1"/>
  <c r="AC107" i="49"/>
  <c r="AN107" i="49" s="1"/>
  <c r="BA107" i="49" s="1" a="1"/>
  <c r="BA107" i="49" s="1"/>
  <c r="U109" i="49"/>
  <c r="AF109" i="49" s="1"/>
  <c r="AS109" i="49" s="1" a="1"/>
  <c r="AS109" i="49" s="1"/>
  <c r="BG109" i="49" s="1"/>
  <c r="V109" i="49"/>
  <c r="AG109" i="49" s="1"/>
  <c r="AT109" i="49" s="1" a="1"/>
  <c r="AT109" i="49" s="1"/>
  <c r="BH109" i="49" s="1"/>
  <c r="W109" i="49"/>
  <c r="AH109" i="49" s="1"/>
  <c r="AU109" i="49" s="1" a="1"/>
  <c r="AU109" i="49" s="1"/>
  <c r="BI109" i="49" s="1"/>
  <c r="X109" i="49"/>
  <c r="AI109" i="49" s="1"/>
  <c r="AV109" i="49" s="1" a="1"/>
  <c r="AV109" i="49" s="1"/>
  <c r="BJ109" i="49" s="1"/>
  <c r="Y109" i="49"/>
  <c r="AJ109" i="49" s="1"/>
  <c r="AW109" i="49" s="1" a="1"/>
  <c r="AW109" i="49" s="1"/>
  <c r="BK109" i="49" s="1"/>
  <c r="Z109" i="49"/>
  <c r="AK109" i="49" s="1"/>
  <c r="AX109" i="49" s="1" a="1"/>
  <c r="AX109" i="49" s="1"/>
  <c r="BL109" i="49" s="1"/>
  <c r="AA109" i="49"/>
  <c r="AL109" i="49" s="1"/>
  <c r="AY109" i="49" s="1" a="1"/>
  <c r="AY109" i="49" s="1"/>
  <c r="BM109" i="49" s="1"/>
  <c r="AB109" i="49"/>
  <c r="AM109" i="49" s="1"/>
  <c r="AZ109" i="49" s="1" a="1"/>
  <c r="AZ109" i="49" s="1"/>
  <c r="BN109" i="49" s="1"/>
  <c r="AC109" i="49"/>
  <c r="AN109" i="49" s="1"/>
  <c r="BA109" i="49" s="1" a="1"/>
  <c r="BA109" i="49" s="1"/>
  <c r="BO109" i="49" s="1"/>
  <c r="U112" i="49"/>
  <c r="AF112" i="49" s="1"/>
  <c r="AS112" i="49" s="1" a="1"/>
  <c r="AS112" i="49" s="1"/>
  <c r="BG112" i="49" s="1"/>
  <c r="V112" i="49"/>
  <c r="AG112" i="49" s="1"/>
  <c r="AT112" i="49" s="1" a="1"/>
  <c r="AT112" i="49" s="1"/>
  <c r="W112" i="49"/>
  <c r="AH112" i="49" s="1"/>
  <c r="AU112" i="49" s="1" a="1"/>
  <c r="AU112" i="49" s="1"/>
  <c r="BI112" i="49" s="1"/>
  <c r="X112" i="49"/>
  <c r="AI112" i="49" s="1"/>
  <c r="AV112" i="49" s="1" a="1"/>
  <c r="AV112" i="49" s="1"/>
  <c r="BJ112" i="49" s="1"/>
  <c r="Y112" i="49"/>
  <c r="AJ112" i="49" s="1"/>
  <c r="AW112" i="49" s="1" a="1"/>
  <c r="AW112" i="49" s="1"/>
  <c r="BK112" i="49" s="1"/>
  <c r="Z112" i="49"/>
  <c r="AK112" i="49" s="1"/>
  <c r="AX112" i="49" s="1" a="1"/>
  <c r="AX112" i="49" s="1"/>
  <c r="BL112" i="49" s="1"/>
  <c r="AA112" i="49"/>
  <c r="AL112" i="49" s="1"/>
  <c r="AY112" i="49" s="1" a="1"/>
  <c r="AY112" i="49" s="1"/>
  <c r="BM112" i="49" s="1"/>
  <c r="AB112" i="49"/>
  <c r="AM112" i="49" s="1"/>
  <c r="AZ112" i="49" s="1" a="1"/>
  <c r="AZ112" i="49" s="1"/>
  <c r="BN112" i="49" s="1"/>
  <c r="AC112" i="49"/>
  <c r="AN112" i="49" s="1"/>
  <c r="BA112" i="49" s="1" a="1"/>
  <c r="BA112" i="49" s="1"/>
  <c r="BO112" i="49" s="1"/>
  <c r="U113" i="49"/>
  <c r="AF113" i="49" s="1"/>
  <c r="AS113" i="49" s="1" a="1"/>
  <c r="AS113" i="49" s="1"/>
  <c r="V113" i="49"/>
  <c r="AG113" i="49" s="1"/>
  <c r="AT113" i="49" s="1" a="1"/>
  <c r="AT113" i="49" s="1"/>
  <c r="W113" i="49"/>
  <c r="AH113" i="49" s="1"/>
  <c r="AU113" i="49" s="1" a="1"/>
  <c r="AU113" i="49" s="1"/>
  <c r="X113" i="49"/>
  <c r="AI113" i="49" s="1"/>
  <c r="AV113" i="49" s="1" a="1"/>
  <c r="AV113" i="49" s="1"/>
  <c r="Y113" i="49"/>
  <c r="AJ113" i="49" s="1"/>
  <c r="AW113" i="49" s="1" a="1"/>
  <c r="AW113" i="49" s="1"/>
  <c r="Z113" i="49"/>
  <c r="AK113" i="49" s="1"/>
  <c r="AX113" i="49" s="1" a="1"/>
  <c r="AX113" i="49" s="1"/>
  <c r="AA113" i="49"/>
  <c r="AL113" i="49" s="1"/>
  <c r="AY113" i="49" s="1" a="1"/>
  <c r="AY113" i="49" s="1"/>
  <c r="BM113" i="49" s="1"/>
  <c r="AB113" i="49"/>
  <c r="AM113" i="49" s="1"/>
  <c r="AZ113" i="49" s="1" a="1"/>
  <c r="AZ113" i="49" s="1"/>
  <c r="BN113" i="49" s="1"/>
  <c r="AC113" i="49"/>
  <c r="AN113" i="49" s="1"/>
  <c r="BA113" i="49" s="1" a="1"/>
  <c r="BA113" i="49" s="1"/>
  <c r="U114" i="49"/>
  <c r="AF114" i="49" s="1"/>
  <c r="AS114" i="49" s="1" a="1"/>
  <c r="AS114" i="49" s="1"/>
  <c r="V114" i="49"/>
  <c r="AG114" i="49" s="1"/>
  <c r="AT114" i="49" s="1" a="1"/>
  <c r="AT114" i="49" s="1"/>
  <c r="W114" i="49"/>
  <c r="AH114" i="49" s="1"/>
  <c r="AU114" i="49" s="1" a="1"/>
  <c r="AU114" i="49" s="1"/>
  <c r="X114" i="49"/>
  <c r="AI114" i="49" s="1"/>
  <c r="AV114" i="49" s="1" a="1"/>
  <c r="AV114" i="49" s="1"/>
  <c r="Y114" i="49"/>
  <c r="AJ114" i="49" s="1"/>
  <c r="AW114" i="49" s="1" a="1"/>
  <c r="AW114" i="49" s="1"/>
  <c r="Z114" i="49"/>
  <c r="AK114" i="49" s="1"/>
  <c r="AX114" i="49" s="1" a="1"/>
  <c r="AX114" i="49" s="1"/>
  <c r="AA114" i="49"/>
  <c r="AL114" i="49" s="1"/>
  <c r="AY114" i="49" s="1" a="1"/>
  <c r="AY114" i="49" s="1"/>
  <c r="AB114" i="49"/>
  <c r="AM114" i="49" s="1"/>
  <c r="AZ114" i="49" s="1" a="1"/>
  <c r="AZ114" i="49" s="1"/>
  <c r="AC114" i="49"/>
  <c r="AN114" i="49" s="1"/>
  <c r="BA114" i="49" s="1" a="1"/>
  <c r="BA114" i="49" s="1"/>
  <c r="U115" i="49"/>
  <c r="AF115" i="49" s="1"/>
  <c r="AS115" i="49" s="1" a="1"/>
  <c r="AS115" i="49" s="1"/>
  <c r="V115" i="49"/>
  <c r="AG115" i="49" s="1"/>
  <c r="AT115" i="49" s="1" a="1"/>
  <c r="AT115" i="49" s="1"/>
  <c r="W115" i="49"/>
  <c r="AH115" i="49" s="1"/>
  <c r="AU115" i="49" s="1" a="1"/>
  <c r="AU115" i="49" s="1"/>
  <c r="X115" i="49"/>
  <c r="AI115" i="49" s="1"/>
  <c r="AV115" i="49" s="1" a="1"/>
  <c r="AV115" i="49" s="1"/>
  <c r="Y115" i="49"/>
  <c r="AJ115" i="49" s="1"/>
  <c r="AW115" i="49" s="1" a="1"/>
  <c r="AW115" i="49" s="1"/>
  <c r="Z115" i="49"/>
  <c r="AK115" i="49" s="1"/>
  <c r="AX115" i="49" s="1" a="1"/>
  <c r="AX115" i="49" s="1"/>
  <c r="AA115" i="49"/>
  <c r="AL115" i="49" s="1"/>
  <c r="AY115" i="49" s="1" a="1"/>
  <c r="AY115" i="49" s="1"/>
  <c r="AB115" i="49"/>
  <c r="AM115" i="49" s="1"/>
  <c r="AZ115" i="49" s="1" a="1"/>
  <c r="AZ115" i="49" s="1"/>
  <c r="AC115" i="49"/>
  <c r="AN115" i="49" s="1"/>
  <c r="BA115" i="49" s="1" a="1"/>
  <c r="BA115" i="49" s="1"/>
  <c r="U117" i="49"/>
  <c r="AF117" i="49" s="1"/>
  <c r="AS117" i="49" s="1" a="1"/>
  <c r="AS117" i="49" s="1"/>
  <c r="V117" i="49"/>
  <c r="AG117" i="49" s="1"/>
  <c r="AT117" i="49" s="1" a="1"/>
  <c r="AT117" i="49" s="1"/>
  <c r="BH117" i="49" s="1"/>
  <c r="W117" i="49"/>
  <c r="AH117" i="49" s="1"/>
  <c r="AU117" i="49" s="1" a="1"/>
  <c r="AU117" i="49" s="1"/>
  <c r="X117" i="49"/>
  <c r="AI117" i="49" s="1"/>
  <c r="AV117" i="49" s="1" a="1"/>
  <c r="AV117" i="49" s="1"/>
  <c r="BJ117" i="49" s="1"/>
  <c r="Y117" i="49"/>
  <c r="AJ117" i="49" s="1"/>
  <c r="AW117" i="49" s="1" a="1"/>
  <c r="AW117" i="49" s="1"/>
  <c r="BK117" i="49" s="1"/>
  <c r="Z117" i="49"/>
  <c r="AK117" i="49" s="1"/>
  <c r="AX117" i="49" s="1" a="1"/>
  <c r="AX117" i="49" s="1"/>
  <c r="BL117" i="49" s="1"/>
  <c r="AA117" i="49"/>
  <c r="AL117" i="49" s="1"/>
  <c r="AY117" i="49" s="1" a="1"/>
  <c r="AY117" i="49" s="1"/>
  <c r="BM117" i="49" s="1"/>
  <c r="AB117" i="49"/>
  <c r="AM117" i="49" s="1"/>
  <c r="AZ117" i="49" s="1" a="1"/>
  <c r="AZ117" i="49" s="1"/>
  <c r="BN117" i="49" s="1"/>
  <c r="AC117" i="49"/>
  <c r="AN117" i="49" s="1"/>
  <c r="BA117" i="49" s="1" a="1"/>
  <c r="BA117" i="49" s="1"/>
  <c r="U118" i="49"/>
  <c r="AF118" i="49" s="1"/>
  <c r="AS118" i="49" s="1" a="1"/>
  <c r="AS118" i="49" s="1"/>
  <c r="V118" i="49"/>
  <c r="AG118" i="49" s="1"/>
  <c r="AT118" i="49" s="1" a="1"/>
  <c r="AT118" i="49" s="1"/>
  <c r="W118" i="49"/>
  <c r="AH118" i="49" s="1"/>
  <c r="AU118" i="49" s="1" a="1"/>
  <c r="AU118" i="49" s="1"/>
  <c r="X118" i="49"/>
  <c r="AI118" i="49" s="1"/>
  <c r="AV118" i="49" s="1" a="1"/>
  <c r="AV118" i="49" s="1"/>
  <c r="Y118" i="49"/>
  <c r="AJ118" i="49" s="1"/>
  <c r="AW118" i="49" s="1" a="1"/>
  <c r="AW118" i="49" s="1"/>
  <c r="Z118" i="49"/>
  <c r="AK118" i="49" s="1"/>
  <c r="AX118" i="49" s="1" a="1"/>
  <c r="AX118" i="49" s="1"/>
  <c r="AA118" i="49"/>
  <c r="AL118" i="49" s="1"/>
  <c r="AY118" i="49" s="1" a="1"/>
  <c r="AY118" i="49" s="1"/>
  <c r="AB118" i="49"/>
  <c r="AM118" i="49" s="1"/>
  <c r="AZ118" i="49" s="1" a="1"/>
  <c r="AZ118" i="49" s="1"/>
  <c r="AC118" i="49"/>
  <c r="AN118" i="49" s="1"/>
  <c r="BA118" i="49" s="1" a="1"/>
  <c r="BA118" i="49" s="1"/>
  <c r="U119" i="49"/>
  <c r="AF119" i="49" s="1"/>
  <c r="AS119" i="49" s="1" a="1"/>
  <c r="AS119" i="49" s="1"/>
  <c r="BG119" i="49" s="1"/>
  <c r="V119" i="49"/>
  <c r="AG119" i="49" s="1"/>
  <c r="AT119" i="49" s="1" a="1"/>
  <c r="AT119" i="49" s="1"/>
  <c r="BH119" i="49" s="1"/>
  <c r="W119" i="49"/>
  <c r="AH119" i="49" s="1"/>
  <c r="AU119" i="49" s="1" a="1"/>
  <c r="AU119" i="49" s="1"/>
  <c r="BI119" i="49" s="1"/>
  <c r="X119" i="49"/>
  <c r="AI119" i="49" s="1"/>
  <c r="AV119" i="49" s="1" a="1"/>
  <c r="AV119" i="49" s="1"/>
  <c r="BJ119" i="49" s="1"/>
  <c r="Y119" i="49"/>
  <c r="AJ119" i="49" s="1"/>
  <c r="AW119" i="49" s="1" a="1"/>
  <c r="AW119" i="49" s="1"/>
  <c r="BK119" i="49" s="1"/>
  <c r="Z119" i="49"/>
  <c r="AK119" i="49" s="1"/>
  <c r="AX119" i="49" s="1" a="1"/>
  <c r="AX119" i="49" s="1"/>
  <c r="BL119" i="49" s="1"/>
  <c r="AA119" i="49"/>
  <c r="AL119" i="49" s="1"/>
  <c r="AY119" i="49" s="1" a="1"/>
  <c r="AY119" i="49" s="1"/>
  <c r="BM119" i="49" s="1"/>
  <c r="AB119" i="49"/>
  <c r="AM119" i="49" s="1"/>
  <c r="AZ119" i="49" s="1" a="1"/>
  <c r="AZ119" i="49" s="1"/>
  <c r="BN119" i="49" s="1"/>
  <c r="AC119" i="49"/>
  <c r="AN119" i="49" s="1"/>
  <c r="BA119" i="49" s="1" a="1"/>
  <c r="BA119" i="49" s="1"/>
  <c r="BO119" i="49" s="1"/>
  <c r="U120" i="49"/>
  <c r="AF120" i="49" s="1"/>
  <c r="AS120" i="49" s="1" a="1"/>
  <c r="AS120" i="49" s="1"/>
  <c r="BG120" i="49" s="1"/>
  <c r="V120" i="49"/>
  <c r="AG120" i="49" s="1"/>
  <c r="AT120" i="49" s="1" a="1"/>
  <c r="AT120" i="49" s="1"/>
  <c r="BH120" i="49" s="1"/>
  <c r="W120" i="49"/>
  <c r="AH120" i="49" s="1"/>
  <c r="AU120" i="49" s="1" a="1"/>
  <c r="AU120" i="49" s="1"/>
  <c r="BI120" i="49" s="1"/>
  <c r="X120" i="49"/>
  <c r="AI120" i="49" s="1"/>
  <c r="AV120" i="49" s="1" a="1"/>
  <c r="AV120" i="49" s="1"/>
  <c r="BJ120" i="49" s="1"/>
  <c r="Y120" i="49"/>
  <c r="AJ120" i="49" s="1"/>
  <c r="AW120" i="49" s="1" a="1"/>
  <c r="AW120" i="49" s="1"/>
  <c r="BK120" i="49" s="1"/>
  <c r="Z120" i="49"/>
  <c r="AK120" i="49" s="1"/>
  <c r="AX120" i="49" s="1" a="1"/>
  <c r="AX120" i="49" s="1"/>
  <c r="BL120" i="49" s="1"/>
  <c r="AA120" i="49"/>
  <c r="AL120" i="49" s="1"/>
  <c r="AY120" i="49" s="1" a="1"/>
  <c r="AY120" i="49" s="1"/>
  <c r="BM120" i="49" s="1"/>
  <c r="AB120" i="49"/>
  <c r="AM120" i="49" s="1"/>
  <c r="AZ120" i="49" s="1" a="1"/>
  <c r="AZ120" i="49" s="1"/>
  <c r="BN120" i="49" s="1"/>
  <c r="AC120" i="49"/>
  <c r="AN120" i="49" s="1"/>
  <c r="BA120" i="49" s="1" a="1"/>
  <c r="BA120" i="49" s="1"/>
  <c r="BO120" i="49" s="1"/>
  <c r="U123" i="49"/>
  <c r="AF123" i="49" s="1"/>
  <c r="AS123" i="49" s="1" a="1"/>
  <c r="AS123" i="49" s="1"/>
  <c r="V123" i="49"/>
  <c r="AG123" i="49" s="1"/>
  <c r="AT123" i="49" s="1" a="1"/>
  <c r="AT123" i="49" s="1"/>
  <c r="W123" i="49"/>
  <c r="AH123" i="49" s="1"/>
  <c r="AU123" i="49" s="1" a="1"/>
  <c r="AU123" i="49" s="1"/>
  <c r="X123" i="49"/>
  <c r="AI123" i="49" s="1"/>
  <c r="AV123" i="49" s="1" a="1"/>
  <c r="AV123" i="49" s="1"/>
  <c r="Y123" i="49"/>
  <c r="AJ123" i="49" s="1"/>
  <c r="AW123" i="49" s="1" a="1"/>
  <c r="AW123" i="49" s="1"/>
  <c r="Z123" i="49"/>
  <c r="AK123" i="49" s="1"/>
  <c r="AX123" i="49" s="1" a="1"/>
  <c r="AX123" i="49" s="1"/>
  <c r="AA123" i="49"/>
  <c r="AL123" i="49" s="1"/>
  <c r="AY123" i="49" s="1" a="1"/>
  <c r="AY123" i="49" s="1"/>
  <c r="AB123" i="49"/>
  <c r="AM123" i="49" s="1"/>
  <c r="AZ123" i="49" s="1" a="1"/>
  <c r="AZ123" i="49" s="1"/>
  <c r="BN123" i="49" s="1"/>
  <c r="AC123" i="49"/>
  <c r="AN123" i="49" s="1"/>
  <c r="BA123" i="49" s="1" a="1"/>
  <c r="BA123" i="49" s="1"/>
  <c r="U126" i="49"/>
  <c r="AF126" i="49" s="1"/>
  <c r="AS126" i="49" s="1" a="1"/>
  <c r="AS126" i="49" s="1"/>
  <c r="V126" i="49"/>
  <c r="AG126" i="49" s="1"/>
  <c r="AT126" i="49" s="1" a="1"/>
  <c r="AT126" i="49" s="1"/>
  <c r="W126" i="49"/>
  <c r="AH126" i="49" s="1"/>
  <c r="AU126" i="49" s="1" a="1"/>
  <c r="AU126" i="49" s="1"/>
  <c r="X126" i="49"/>
  <c r="AI126" i="49" s="1"/>
  <c r="AV126" i="49" s="1" a="1"/>
  <c r="AV126" i="49" s="1"/>
  <c r="Y126" i="49"/>
  <c r="AJ126" i="49" s="1"/>
  <c r="AW126" i="49" s="1" a="1"/>
  <c r="AW126" i="49" s="1"/>
  <c r="Z126" i="49"/>
  <c r="AK126" i="49" s="1"/>
  <c r="AX126" i="49" s="1" a="1"/>
  <c r="AX126" i="49" s="1"/>
  <c r="AA126" i="49"/>
  <c r="AL126" i="49" s="1"/>
  <c r="AY126" i="49" s="1" a="1"/>
  <c r="AY126" i="49" s="1"/>
  <c r="AB126" i="49"/>
  <c r="AM126" i="49" s="1"/>
  <c r="AZ126" i="49" s="1" a="1"/>
  <c r="AZ126" i="49" s="1"/>
  <c r="AC126" i="49"/>
  <c r="AN126" i="49" s="1"/>
  <c r="BA126" i="49" s="1" a="1"/>
  <c r="BA126" i="49" s="1"/>
  <c r="U129" i="49"/>
  <c r="AF129" i="49" s="1"/>
  <c r="AS129" i="49" s="1" a="1"/>
  <c r="AS129" i="49" s="1"/>
  <c r="BG129" i="49" s="1"/>
  <c r="V129" i="49"/>
  <c r="AG129" i="49" s="1"/>
  <c r="AT129" i="49" s="1" a="1"/>
  <c r="AT129" i="49" s="1"/>
  <c r="BH129" i="49" s="1"/>
  <c r="W129" i="49"/>
  <c r="AH129" i="49" s="1"/>
  <c r="AU129" i="49" s="1" a="1"/>
  <c r="AU129" i="49" s="1"/>
  <c r="BI129" i="49" s="1"/>
  <c r="X129" i="49"/>
  <c r="AI129" i="49" s="1"/>
  <c r="AV129" i="49" s="1" a="1"/>
  <c r="AV129" i="49" s="1"/>
  <c r="BJ129" i="49" s="1"/>
  <c r="Y129" i="49"/>
  <c r="AJ129" i="49" s="1"/>
  <c r="AW129" i="49" s="1" a="1"/>
  <c r="AW129" i="49" s="1"/>
  <c r="BK129" i="49" s="1"/>
  <c r="Z129" i="49"/>
  <c r="AK129" i="49" s="1"/>
  <c r="AX129" i="49" s="1" a="1"/>
  <c r="AX129" i="49" s="1"/>
  <c r="BL129" i="49" s="1"/>
  <c r="AA129" i="49"/>
  <c r="AL129" i="49" s="1"/>
  <c r="AY129" i="49" s="1" a="1"/>
  <c r="AY129" i="49" s="1"/>
  <c r="BM129" i="49" s="1"/>
  <c r="AB129" i="49"/>
  <c r="AM129" i="49" s="1"/>
  <c r="AZ129" i="49" s="1" a="1"/>
  <c r="AZ129" i="49" s="1"/>
  <c r="BN129" i="49" s="1"/>
  <c r="AC129" i="49"/>
  <c r="AN129" i="49" s="1"/>
  <c r="BA129" i="49" s="1" a="1"/>
  <c r="BA129" i="49" s="1"/>
  <c r="BO129" i="49" s="1"/>
  <c r="U131" i="49"/>
  <c r="AF131" i="49" s="1"/>
  <c r="AS131" i="49" s="1" a="1"/>
  <c r="AS131" i="49" s="1"/>
  <c r="BG131" i="49" s="1"/>
  <c r="V131" i="49"/>
  <c r="AG131" i="49" s="1"/>
  <c r="AT131" i="49" s="1" a="1"/>
  <c r="AT131" i="49" s="1"/>
  <c r="BH131" i="49" s="1"/>
  <c r="W131" i="49"/>
  <c r="AH131" i="49" s="1"/>
  <c r="AU131" i="49" s="1" a="1"/>
  <c r="AU131" i="49" s="1"/>
  <c r="BI131" i="49" s="1"/>
  <c r="X131" i="49"/>
  <c r="AI131" i="49" s="1"/>
  <c r="AV131" i="49" s="1" a="1"/>
  <c r="AV131" i="49" s="1"/>
  <c r="BJ131" i="49" s="1"/>
  <c r="Y131" i="49"/>
  <c r="AJ131" i="49" s="1"/>
  <c r="AW131" i="49" s="1" a="1"/>
  <c r="AW131" i="49" s="1"/>
  <c r="BK131" i="49" s="1"/>
  <c r="Z131" i="49"/>
  <c r="AK131" i="49" s="1"/>
  <c r="AX131" i="49" s="1" a="1"/>
  <c r="AX131" i="49" s="1"/>
  <c r="BL131" i="49" s="1"/>
  <c r="AA131" i="49"/>
  <c r="AL131" i="49" s="1"/>
  <c r="AY131" i="49" s="1" a="1"/>
  <c r="AY131" i="49" s="1"/>
  <c r="BM131" i="49" s="1"/>
  <c r="AB131" i="49"/>
  <c r="AM131" i="49" s="1"/>
  <c r="AZ131" i="49" s="1" a="1"/>
  <c r="AZ131" i="49" s="1"/>
  <c r="BN131" i="49" s="1"/>
  <c r="AC131" i="49"/>
  <c r="AN131" i="49" s="1"/>
  <c r="BA131" i="49" s="1" a="1"/>
  <c r="BA131" i="49" s="1"/>
  <c r="BO131" i="49" s="1"/>
  <c r="U132" i="49"/>
  <c r="AF132" i="49" s="1"/>
  <c r="AS132" i="49" s="1" a="1"/>
  <c r="AS132" i="49" s="1"/>
  <c r="V132" i="49"/>
  <c r="AG132" i="49" s="1"/>
  <c r="AT132" i="49" s="1" a="1"/>
  <c r="AT132" i="49" s="1"/>
  <c r="W132" i="49"/>
  <c r="AH132" i="49" s="1"/>
  <c r="AU132" i="49" s="1" a="1"/>
  <c r="AU132" i="49" s="1"/>
  <c r="X132" i="49"/>
  <c r="AI132" i="49" s="1"/>
  <c r="AV132" i="49" s="1" a="1"/>
  <c r="AV132" i="49" s="1"/>
  <c r="BJ132" i="49" s="1"/>
  <c r="Y132" i="49"/>
  <c r="AJ132" i="49" s="1"/>
  <c r="AW132" i="49" s="1" a="1"/>
  <c r="AW132" i="49" s="1"/>
  <c r="BK132" i="49" s="1"/>
  <c r="Z132" i="49"/>
  <c r="AK132" i="49" s="1"/>
  <c r="AX132" i="49" s="1" a="1"/>
  <c r="AX132" i="49" s="1"/>
  <c r="AA132" i="49"/>
  <c r="AL132" i="49" s="1"/>
  <c r="AY132" i="49" s="1" a="1"/>
  <c r="AY132" i="49" s="1"/>
  <c r="AB132" i="49"/>
  <c r="AM132" i="49" s="1"/>
  <c r="AZ132" i="49" s="1" a="1"/>
  <c r="AZ132" i="49" s="1"/>
  <c r="AC132" i="49"/>
  <c r="AN132" i="49" s="1"/>
  <c r="BA132" i="49" s="1" a="1"/>
  <c r="BA132" i="49" s="1"/>
  <c r="U133" i="49"/>
  <c r="AF133" i="49" s="1"/>
  <c r="AS133" i="49" s="1" a="1"/>
  <c r="AS133" i="49" s="1"/>
  <c r="V133" i="49"/>
  <c r="AG133" i="49" s="1"/>
  <c r="AT133" i="49" s="1" a="1"/>
  <c r="AT133" i="49" s="1"/>
  <c r="W133" i="49"/>
  <c r="AH133" i="49" s="1"/>
  <c r="AU133" i="49" s="1" a="1"/>
  <c r="AU133" i="49" s="1"/>
  <c r="X133" i="49"/>
  <c r="AI133" i="49" s="1"/>
  <c r="AV133" i="49" s="1" a="1"/>
  <c r="AV133" i="49" s="1"/>
  <c r="Y133" i="49"/>
  <c r="AJ133" i="49" s="1"/>
  <c r="AW133" i="49" s="1" a="1"/>
  <c r="AW133" i="49" s="1"/>
  <c r="Z133" i="49"/>
  <c r="AK133" i="49" s="1"/>
  <c r="AX133" i="49" s="1" a="1"/>
  <c r="AX133" i="49" s="1"/>
  <c r="AA133" i="49"/>
  <c r="AL133" i="49" s="1"/>
  <c r="AY133" i="49" s="1" a="1"/>
  <c r="AY133" i="49" s="1"/>
  <c r="AB133" i="49"/>
  <c r="AM133" i="49" s="1"/>
  <c r="AZ133" i="49" s="1" a="1"/>
  <c r="AZ133" i="49" s="1"/>
  <c r="BN133" i="49" s="1"/>
  <c r="AC133" i="49"/>
  <c r="AN133" i="49" s="1"/>
  <c r="BA133" i="49" s="1" a="1"/>
  <c r="BA133" i="49" s="1"/>
  <c r="U134" i="49"/>
  <c r="AF134" i="49" s="1"/>
  <c r="AS134" i="49" s="1" a="1"/>
  <c r="AS134" i="49" s="1"/>
  <c r="BG134" i="49" s="1"/>
  <c r="V134" i="49"/>
  <c r="AG134" i="49" s="1"/>
  <c r="AT134" i="49" s="1" a="1"/>
  <c r="AT134" i="49" s="1"/>
  <c r="BH134" i="49" s="1"/>
  <c r="W134" i="49"/>
  <c r="AH134" i="49" s="1"/>
  <c r="AU134" i="49" s="1" a="1"/>
  <c r="AU134" i="49" s="1"/>
  <c r="BI134" i="49" s="1"/>
  <c r="X134" i="49"/>
  <c r="AI134" i="49" s="1"/>
  <c r="AV134" i="49" s="1" a="1"/>
  <c r="AV134" i="49" s="1"/>
  <c r="BJ134" i="49" s="1"/>
  <c r="Y134" i="49"/>
  <c r="AJ134" i="49" s="1"/>
  <c r="AW134" i="49" s="1" a="1"/>
  <c r="AW134" i="49" s="1"/>
  <c r="BK134" i="49" s="1"/>
  <c r="Z134" i="49"/>
  <c r="AK134" i="49" s="1"/>
  <c r="AX134" i="49" s="1" a="1"/>
  <c r="AX134" i="49" s="1"/>
  <c r="BL134" i="49" s="1"/>
  <c r="AA134" i="49"/>
  <c r="AL134" i="49" s="1"/>
  <c r="AY134" i="49" s="1" a="1"/>
  <c r="AY134" i="49" s="1"/>
  <c r="BM134" i="49" s="1"/>
  <c r="AB134" i="49"/>
  <c r="AM134" i="49" s="1"/>
  <c r="AZ134" i="49" s="1" a="1"/>
  <c r="AZ134" i="49" s="1"/>
  <c r="BN134" i="49" s="1"/>
  <c r="AC134" i="49"/>
  <c r="AN134" i="49" s="1"/>
  <c r="BA134" i="49" s="1" a="1"/>
  <c r="BA134" i="49" s="1"/>
  <c r="BO134" i="49" s="1"/>
  <c r="U135" i="49"/>
  <c r="AF135" i="49" s="1"/>
  <c r="AS135" i="49" s="1" a="1"/>
  <c r="AS135" i="49" s="1"/>
  <c r="BG135" i="49" s="1"/>
  <c r="V135" i="49"/>
  <c r="AG135" i="49" s="1"/>
  <c r="AT135" i="49" s="1" a="1"/>
  <c r="AT135" i="49" s="1"/>
  <c r="BH135" i="49" s="1"/>
  <c r="W135" i="49"/>
  <c r="AH135" i="49" s="1"/>
  <c r="AU135" i="49" s="1" a="1"/>
  <c r="AU135" i="49" s="1"/>
  <c r="X135" i="49"/>
  <c r="AI135" i="49" s="1"/>
  <c r="AV135" i="49" s="1" a="1"/>
  <c r="AV135" i="49" s="1"/>
  <c r="BJ135" i="49" s="1"/>
  <c r="Y135" i="49"/>
  <c r="AJ135" i="49" s="1"/>
  <c r="AW135" i="49" s="1" a="1"/>
  <c r="AW135" i="49" s="1"/>
  <c r="BK135" i="49" s="1"/>
  <c r="Z135" i="49"/>
  <c r="AK135" i="49" s="1"/>
  <c r="AX135" i="49" s="1" a="1"/>
  <c r="AX135" i="49" s="1"/>
  <c r="BL135" i="49" s="1"/>
  <c r="AA135" i="49"/>
  <c r="AL135" i="49" s="1"/>
  <c r="AY135" i="49" s="1" a="1"/>
  <c r="AY135" i="49" s="1"/>
  <c r="BM135" i="49" s="1"/>
  <c r="AB135" i="49"/>
  <c r="AM135" i="49" s="1"/>
  <c r="AZ135" i="49" s="1" a="1"/>
  <c r="AZ135" i="49" s="1"/>
  <c r="BN135" i="49" s="1"/>
  <c r="AC135" i="49"/>
  <c r="AN135" i="49" s="1"/>
  <c r="BA135" i="49" s="1" a="1"/>
  <c r="BA135" i="49" s="1"/>
  <c r="BO135" i="49" s="1"/>
  <c r="U136" i="49"/>
  <c r="AF136" i="49" s="1"/>
  <c r="AS136" i="49" s="1" a="1"/>
  <c r="AS136" i="49" s="1"/>
  <c r="V136" i="49"/>
  <c r="AG136" i="49" s="1"/>
  <c r="AT136" i="49" s="1" a="1"/>
  <c r="AT136" i="49" s="1"/>
  <c r="W136" i="49"/>
  <c r="AH136" i="49" s="1"/>
  <c r="AU136" i="49" s="1" a="1"/>
  <c r="AU136" i="49" s="1"/>
  <c r="X136" i="49"/>
  <c r="AI136" i="49" s="1"/>
  <c r="AV136" i="49" s="1" a="1"/>
  <c r="AV136" i="49" s="1"/>
  <c r="Y136" i="49"/>
  <c r="AJ136" i="49" s="1"/>
  <c r="AW136" i="49" s="1" a="1"/>
  <c r="AW136" i="49" s="1"/>
  <c r="Z136" i="49"/>
  <c r="AK136" i="49" s="1"/>
  <c r="AX136" i="49" s="1" a="1"/>
  <c r="AX136" i="49" s="1"/>
  <c r="AA136" i="49"/>
  <c r="AL136" i="49" s="1"/>
  <c r="AY136" i="49" s="1" a="1"/>
  <c r="AY136" i="49" s="1"/>
  <c r="AB136" i="49"/>
  <c r="AM136" i="49" s="1"/>
  <c r="AZ136" i="49" s="1" a="1"/>
  <c r="AZ136" i="49" s="1"/>
  <c r="AC136" i="49"/>
  <c r="AN136" i="49" s="1"/>
  <c r="BA136" i="49" s="1" a="1"/>
  <c r="BA136" i="49" s="1"/>
  <c r="U137" i="49"/>
  <c r="AF137" i="49" s="1"/>
  <c r="AS137" i="49" s="1" a="1"/>
  <c r="AS137" i="49" s="1"/>
  <c r="BG137" i="49" s="1"/>
  <c r="V137" i="49"/>
  <c r="AG137" i="49" s="1"/>
  <c r="AT137" i="49" s="1" a="1"/>
  <c r="AT137" i="49" s="1"/>
  <c r="BH137" i="49" s="1"/>
  <c r="W137" i="49"/>
  <c r="AH137" i="49" s="1"/>
  <c r="AU137" i="49" s="1" a="1"/>
  <c r="AU137" i="49" s="1"/>
  <c r="X137" i="49"/>
  <c r="AI137" i="49" s="1"/>
  <c r="AV137" i="49" s="1" a="1"/>
  <c r="AV137" i="49" s="1"/>
  <c r="Y137" i="49"/>
  <c r="AJ137" i="49" s="1"/>
  <c r="AW137" i="49" s="1" a="1"/>
  <c r="AW137" i="49" s="1"/>
  <c r="BK137" i="49" s="1"/>
  <c r="Z137" i="49"/>
  <c r="AK137" i="49" s="1"/>
  <c r="AX137" i="49" s="1" a="1"/>
  <c r="AX137" i="49" s="1"/>
  <c r="AA137" i="49"/>
  <c r="AL137" i="49" s="1"/>
  <c r="AY137" i="49" s="1" a="1"/>
  <c r="AY137" i="49" s="1"/>
  <c r="AB137" i="49"/>
  <c r="AM137" i="49" s="1"/>
  <c r="AZ137" i="49" s="1" a="1"/>
  <c r="AZ137" i="49" s="1"/>
  <c r="AC137" i="49"/>
  <c r="AN137" i="49" s="1"/>
  <c r="BA137" i="49" s="1" a="1"/>
  <c r="BA137" i="49" s="1"/>
  <c r="U138" i="49"/>
  <c r="AF138" i="49" s="1"/>
  <c r="AS138" i="49" s="1" a="1"/>
  <c r="AS138" i="49" s="1"/>
  <c r="BG138" i="49" s="1"/>
  <c r="V138" i="49"/>
  <c r="AG138" i="49" s="1"/>
  <c r="AT138" i="49" s="1" a="1"/>
  <c r="AT138" i="49" s="1"/>
  <c r="BH138" i="49" s="1"/>
  <c r="W138" i="49"/>
  <c r="AH138" i="49" s="1"/>
  <c r="AU138" i="49" s="1" a="1"/>
  <c r="AU138" i="49" s="1"/>
  <c r="BI138" i="49" s="1"/>
  <c r="X138" i="49"/>
  <c r="AI138" i="49" s="1"/>
  <c r="AV138" i="49" s="1" a="1"/>
  <c r="AV138" i="49" s="1"/>
  <c r="BJ138" i="49" s="1"/>
  <c r="Y138" i="49"/>
  <c r="AJ138" i="49" s="1"/>
  <c r="AW138" i="49" s="1" a="1"/>
  <c r="AW138" i="49" s="1"/>
  <c r="BK138" i="49" s="1"/>
  <c r="Z138" i="49"/>
  <c r="AK138" i="49" s="1"/>
  <c r="AX138" i="49" s="1" a="1"/>
  <c r="AX138" i="49" s="1"/>
  <c r="BL138" i="49" s="1"/>
  <c r="AA138" i="49"/>
  <c r="AL138" i="49" s="1"/>
  <c r="AY138" i="49" s="1" a="1"/>
  <c r="AY138" i="49" s="1"/>
  <c r="BM138" i="49" s="1"/>
  <c r="AB138" i="49"/>
  <c r="AM138" i="49" s="1"/>
  <c r="AZ138" i="49" s="1" a="1"/>
  <c r="AZ138" i="49" s="1"/>
  <c r="BN138" i="49" s="1"/>
  <c r="AC138" i="49"/>
  <c r="AN138" i="49" s="1"/>
  <c r="BA138" i="49" s="1" a="1"/>
  <c r="BA138" i="49" s="1"/>
  <c r="BO138" i="49" s="1"/>
  <c r="U139" i="49"/>
  <c r="AF139" i="49" s="1"/>
  <c r="AS139" i="49" s="1" a="1"/>
  <c r="AS139" i="49" s="1"/>
  <c r="BG139" i="49" s="1"/>
  <c r="V139" i="49"/>
  <c r="AG139" i="49" s="1"/>
  <c r="AT139" i="49" s="1" a="1"/>
  <c r="AT139" i="49" s="1"/>
  <c r="BH139" i="49" s="1"/>
  <c r="W139" i="49"/>
  <c r="AH139" i="49" s="1"/>
  <c r="AU139" i="49" s="1" a="1"/>
  <c r="AU139" i="49" s="1"/>
  <c r="BI139" i="49" s="1"/>
  <c r="X139" i="49"/>
  <c r="AI139" i="49" s="1"/>
  <c r="AV139" i="49" s="1" a="1"/>
  <c r="AV139" i="49" s="1"/>
  <c r="BJ139" i="49" s="1"/>
  <c r="Y139" i="49"/>
  <c r="AJ139" i="49" s="1"/>
  <c r="AW139" i="49" s="1" a="1"/>
  <c r="AW139" i="49" s="1"/>
  <c r="BK139" i="49" s="1"/>
  <c r="Z139" i="49"/>
  <c r="AK139" i="49" s="1"/>
  <c r="AX139" i="49" s="1" a="1"/>
  <c r="AX139" i="49" s="1"/>
  <c r="BL139" i="49" s="1"/>
  <c r="AA139" i="49"/>
  <c r="AL139" i="49" s="1"/>
  <c r="AY139" i="49" s="1" a="1"/>
  <c r="AY139" i="49" s="1"/>
  <c r="BM139" i="49" s="1"/>
  <c r="AB139" i="49"/>
  <c r="AM139" i="49" s="1"/>
  <c r="AZ139" i="49" s="1" a="1"/>
  <c r="AZ139" i="49" s="1"/>
  <c r="BN139" i="49" s="1"/>
  <c r="AC139" i="49"/>
  <c r="AN139" i="49" s="1"/>
  <c r="BA139" i="49" s="1" a="1"/>
  <c r="BA139" i="49" s="1"/>
  <c r="BO139" i="49" s="1"/>
  <c r="U141" i="49"/>
  <c r="AF141" i="49" s="1"/>
  <c r="AS141" i="49" s="1" a="1"/>
  <c r="AS141" i="49" s="1"/>
  <c r="BG141" i="49" s="1"/>
  <c r="V141" i="49"/>
  <c r="AG141" i="49" s="1"/>
  <c r="AT141" i="49" s="1" a="1"/>
  <c r="AT141" i="49" s="1"/>
  <c r="BH141" i="49" s="1"/>
  <c r="W141" i="49"/>
  <c r="AH141" i="49" s="1"/>
  <c r="AU141" i="49" s="1" a="1"/>
  <c r="AU141" i="49" s="1"/>
  <c r="BI141" i="49" s="1"/>
  <c r="X141" i="49"/>
  <c r="AI141" i="49" s="1"/>
  <c r="AV141" i="49" s="1" a="1"/>
  <c r="AV141" i="49" s="1"/>
  <c r="BJ141" i="49" s="1"/>
  <c r="Y141" i="49"/>
  <c r="AJ141" i="49" s="1"/>
  <c r="AW141" i="49" s="1" a="1"/>
  <c r="AW141" i="49" s="1"/>
  <c r="BK141" i="49" s="1"/>
  <c r="Z141" i="49"/>
  <c r="AK141" i="49" s="1"/>
  <c r="AX141" i="49" s="1" a="1"/>
  <c r="AX141" i="49" s="1"/>
  <c r="BL141" i="49" s="1"/>
  <c r="AA141" i="49"/>
  <c r="AL141" i="49" s="1"/>
  <c r="AY141" i="49" s="1" a="1"/>
  <c r="AY141" i="49" s="1"/>
  <c r="BM141" i="49" s="1"/>
  <c r="AB141" i="49"/>
  <c r="AM141" i="49" s="1"/>
  <c r="AZ141" i="49" s="1" a="1"/>
  <c r="AZ141" i="49" s="1"/>
  <c r="BN141" i="49" s="1"/>
  <c r="AC141" i="49"/>
  <c r="AN141" i="49" s="1"/>
  <c r="BA141" i="49" s="1" a="1"/>
  <c r="BA141" i="49" s="1"/>
  <c r="BO141" i="49" s="1"/>
  <c r="U142" i="49"/>
  <c r="AF142" i="49" s="1"/>
  <c r="AS142" i="49" s="1" a="1"/>
  <c r="AS142" i="49" s="1"/>
  <c r="BG142" i="49" s="1"/>
  <c r="V142" i="49"/>
  <c r="AG142" i="49" s="1"/>
  <c r="AT142" i="49" s="1" a="1"/>
  <c r="AT142" i="49" s="1"/>
  <c r="BH142" i="49" s="1"/>
  <c r="W142" i="49"/>
  <c r="AH142" i="49" s="1"/>
  <c r="AU142" i="49" s="1" a="1"/>
  <c r="AU142" i="49" s="1"/>
  <c r="BI142" i="49" s="1"/>
  <c r="X142" i="49"/>
  <c r="AI142" i="49" s="1"/>
  <c r="AV142" i="49" s="1" a="1"/>
  <c r="AV142" i="49" s="1"/>
  <c r="BJ142" i="49" s="1"/>
  <c r="Y142" i="49"/>
  <c r="AJ142" i="49" s="1"/>
  <c r="AW142" i="49" s="1" a="1"/>
  <c r="AW142" i="49" s="1"/>
  <c r="BK142" i="49" s="1"/>
  <c r="Z142" i="49"/>
  <c r="AK142" i="49" s="1"/>
  <c r="AX142" i="49" s="1" a="1"/>
  <c r="AX142" i="49" s="1"/>
  <c r="BL142" i="49" s="1"/>
  <c r="AA142" i="49"/>
  <c r="AL142" i="49" s="1"/>
  <c r="AY142" i="49" s="1" a="1"/>
  <c r="AY142" i="49" s="1"/>
  <c r="BM142" i="49" s="1"/>
  <c r="AB142" i="49"/>
  <c r="AM142" i="49" s="1"/>
  <c r="AZ142" i="49" s="1" a="1"/>
  <c r="AZ142" i="49" s="1"/>
  <c r="BN142" i="49" s="1"/>
  <c r="AC142" i="49"/>
  <c r="AN142" i="49" s="1"/>
  <c r="BA142" i="49" s="1" a="1"/>
  <c r="BA142" i="49" s="1"/>
  <c r="BO142" i="49" s="1"/>
  <c r="U144" i="49"/>
  <c r="AF144" i="49" s="1"/>
  <c r="AS144" i="49" s="1" a="1"/>
  <c r="AS144" i="49" s="1"/>
  <c r="V144" i="49"/>
  <c r="AG144" i="49" s="1"/>
  <c r="AT144" i="49" s="1" a="1"/>
  <c r="AT144" i="49" s="1"/>
  <c r="W144" i="49"/>
  <c r="AH144" i="49" s="1"/>
  <c r="AU144" i="49" s="1" a="1"/>
  <c r="AU144" i="49" s="1"/>
  <c r="X144" i="49"/>
  <c r="AI144" i="49" s="1"/>
  <c r="AV144" i="49" s="1" a="1"/>
  <c r="AV144" i="49" s="1"/>
  <c r="Y144" i="49"/>
  <c r="AJ144" i="49" s="1"/>
  <c r="AW144" i="49" s="1" a="1"/>
  <c r="AW144" i="49" s="1"/>
  <c r="Z144" i="49"/>
  <c r="AK144" i="49" s="1"/>
  <c r="AX144" i="49" s="1" a="1"/>
  <c r="AX144" i="49" s="1"/>
  <c r="AA144" i="49"/>
  <c r="AL144" i="49" s="1"/>
  <c r="AY144" i="49" s="1" a="1"/>
  <c r="AY144" i="49" s="1"/>
  <c r="AB144" i="49"/>
  <c r="AM144" i="49" s="1"/>
  <c r="AZ144" i="49" s="1" a="1"/>
  <c r="AZ144" i="49" s="1"/>
  <c r="AC144" i="49"/>
  <c r="AN144" i="49" s="1"/>
  <c r="BA144" i="49" s="1" a="1"/>
  <c r="BA144" i="49" s="1"/>
  <c r="U146" i="49"/>
  <c r="AF146" i="49" s="1"/>
  <c r="AS146" i="49" s="1" a="1"/>
  <c r="AS146" i="49" s="1"/>
  <c r="V146" i="49"/>
  <c r="AG146" i="49" s="1"/>
  <c r="AT146" i="49" s="1" a="1"/>
  <c r="AT146" i="49" s="1"/>
  <c r="W146" i="49"/>
  <c r="AH146" i="49" s="1"/>
  <c r="AU146" i="49" s="1" a="1"/>
  <c r="AU146" i="49" s="1"/>
  <c r="X146" i="49"/>
  <c r="AI146" i="49" s="1"/>
  <c r="AV146" i="49" s="1" a="1"/>
  <c r="AV146" i="49" s="1"/>
  <c r="Y146" i="49"/>
  <c r="AJ146" i="49" s="1"/>
  <c r="AW146" i="49" s="1" a="1"/>
  <c r="AW146" i="49" s="1"/>
  <c r="Z146" i="49"/>
  <c r="AK146" i="49" s="1"/>
  <c r="AX146" i="49" s="1" a="1"/>
  <c r="AX146" i="49" s="1"/>
  <c r="AA146" i="49"/>
  <c r="AL146" i="49" s="1"/>
  <c r="AY146" i="49" s="1" a="1"/>
  <c r="AY146" i="49" s="1"/>
  <c r="AB146" i="49"/>
  <c r="AM146" i="49" s="1"/>
  <c r="AZ146" i="49" s="1" a="1"/>
  <c r="AZ146" i="49" s="1"/>
  <c r="AC146" i="49"/>
  <c r="AN146" i="49" s="1"/>
  <c r="BA146" i="49" s="1" a="1"/>
  <c r="BA146" i="49" s="1"/>
  <c r="U147" i="49"/>
  <c r="AF147" i="49" s="1"/>
  <c r="AS147" i="49" s="1" a="1"/>
  <c r="AS147" i="49" s="1"/>
  <c r="BG147" i="49" s="1"/>
  <c r="V147" i="49"/>
  <c r="AG147" i="49" s="1"/>
  <c r="AT147" i="49" s="1" a="1"/>
  <c r="AT147" i="49" s="1"/>
  <c r="BH147" i="49" s="1"/>
  <c r="W147" i="49"/>
  <c r="AH147" i="49" s="1"/>
  <c r="AU147" i="49" s="1" a="1"/>
  <c r="AU147" i="49" s="1"/>
  <c r="BI147" i="49" s="1"/>
  <c r="X147" i="49"/>
  <c r="AI147" i="49" s="1"/>
  <c r="AV147" i="49" s="1" a="1"/>
  <c r="AV147" i="49" s="1"/>
  <c r="BJ147" i="49" s="1"/>
  <c r="Y147" i="49"/>
  <c r="AJ147" i="49" s="1"/>
  <c r="AW147" i="49" s="1" a="1"/>
  <c r="AW147" i="49" s="1"/>
  <c r="BK147" i="49" s="1"/>
  <c r="Z147" i="49"/>
  <c r="AK147" i="49" s="1"/>
  <c r="AX147" i="49" s="1" a="1"/>
  <c r="AX147" i="49" s="1"/>
  <c r="BL147" i="49" s="1"/>
  <c r="AA147" i="49"/>
  <c r="AL147" i="49" s="1"/>
  <c r="AY147" i="49" s="1" a="1"/>
  <c r="AY147" i="49" s="1"/>
  <c r="BM147" i="49" s="1"/>
  <c r="AB147" i="49"/>
  <c r="AM147" i="49" s="1"/>
  <c r="AZ147" i="49" s="1" a="1"/>
  <c r="AZ147" i="49" s="1"/>
  <c r="BN147" i="49" s="1"/>
  <c r="AC147" i="49"/>
  <c r="AN147" i="49" s="1"/>
  <c r="BA147" i="49" s="1" a="1"/>
  <c r="BA147" i="49" s="1"/>
  <c r="BO147" i="49" s="1"/>
  <c r="U150" i="49"/>
  <c r="AF150" i="49" s="1"/>
  <c r="AS150" i="49" s="1" a="1"/>
  <c r="AS150" i="49" s="1"/>
  <c r="BG150" i="49" s="1"/>
  <c r="V150" i="49"/>
  <c r="AG150" i="49" s="1"/>
  <c r="AT150" i="49" s="1" a="1"/>
  <c r="AT150" i="49" s="1"/>
  <c r="BH150" i="49" s="1"/>
  <c r="W150" i="49"/>
  <c r="AH150" i="49" s="1"/>
  <c r="AU150" i="49" s="1" a="1"/>
  <c r="AU150" i="49" s="1"/>
  <c r="BI150" i="49" s="1"/>
  <c r="X150" i="49"/>
  <c r="AI150" i="49" s="1"/>
  <c r="AV150" i="49" s="1" a="1"/>
  <c r="AV150" i="49" s="1"/>
  <c r="BJ150" i="49" s="1"/>
  <c r="Y150" i="49"/>
  <c r="AJ150" i="49" s="1"/>
  <c r="AW150" i="49" s="1" a="1"/>
  <c r="AW150" i="49" s="1"/>
  <c r="BK150" i="49" s="1"/>
  <c r="Z150" i="49"/>
  <c r="AK150" i="49" s="1"/>
  <c r="AX150" i="49" s="1" a="1"/>
  <c r="AX150" i="49" s="1"/>
  <c r="BL150" i="49" s="1"/>
  <c r="AA150" i="49"/>
  <c r="AL150" i="49" s="1"/>
  <c r="AY150" i="49" s="1" a="1"/>
  <c r="AY150" i="49" s="1"/>
  <c r="BM150" i="49" s="1"/>
  <c r="AB150" i="49"/>
  <c r="AM150" i="49" s="1"/>
  <c r="AZ150" i="49" s="1" a="1"/>
  <c r="AZ150" i="49" s="1"/>
  <c r="BN150" i="49" s="1"/>
  <c r="AC150" i="49"/>
  <c r="AN150" i="49" s="1"/>
  <c r="BA150" i="49" s="1" a="1"/>
  <c r="BA150" i="49" s="1"/>
  <c r="BO150" i="49" s="1"/>
  <c r="U152" i="49"/>
  <c r="AF152" i="49" s="1"/>
  <c r="AS152" i="49" s="1" a="1"/>
  <c r="AS152" i="49" s="1"/>
  <c r="V152" i="49"/>
  <c r="AG152" i="49" s="1"/>
  <c r="AT152" i="49" s="1" a="1"/>
  <c r="AT152" i="49" s="1"/>
  <c r="BH152" i="49" s="1"/>
  <c r="W152" i="49"/>
  <c r="AH152" i="49" s="1"/>
  <c r="AU152" i="49" s="1" a="1"/>
  <c r="AU152" i="49" s="1"/>
  <c r="X152" i="49"/>
  <c r="AI152" i="49" s="1"/>
  <c r="AV152" i="49" s="1" a="1"/>
  <c r="AV152" i="49" s="1"/>
  <c r="BJ152" i="49" s="1"/>
  <c r="Y152" i="49"/>
  <c r="AJ152" i="49" s="1"/>
  <c r="AW152" i="49" s="1" a="1"/>
  <c r="AW152" i="49" s="1"/>
  <c r="Z152" i="49"/>
  <c r="AK152" i="49" s="1"/>
  <c r="AX152" i="49" s="1" a="1"/>
  <c r="AX152" i="49" s="1"/>
  <c r="AA152" i="49"/>
  <c r="AL152" i="49" s="1"/>
  <c r="AY152" i="49" s="1" a="1"/>
  <c r="AY152" i="49" s="1"/>
  <c r="AB152" i="49"/>
  <c r="AM152" i="49" s="1"/>
  <c r="AZ152" i="49" s="1" a="1"/>
  <c r="AZ152" i="49" s="1"/>
  <c r="AC152" i="49"/>
  <c r="AN152" i="49" s="1"/>
  <c r="BA152" i="49" s="1" a="1"/>
  <c r="BA152" i="49" s="1"/>
  <c r="U153" i="49"/>
  <c r="AF153" i="49" s="1"/>
  <c r="AS153" i="49" s="1" a="1"/>
  <c r="AS153" i="49" s="1"/>
  <c r="BG153" i="49" s="1"/>
  <c r="V153" i="49"/>
  <c r="AG153" i="49" s="1"/>
  <c r="AT153" i="49" s="1" a="1"/>
  <c r="AT153" i="49" s="1"/>
  <c r="BH153" i="49" s="1"/>
  <c r="W153" i="49"/>
  <c r="AH153" i="49" s="1"/>
  <c r="AU153" i="49" s="1" a="1"/>
  <c r="AU153" i="49" s="1"/>
  <c r="BI153" i="49" s="1"/>
  <c r="X153" i="49"/>
  <c r="AI153" i="49" s="1"/>
  <c r="AV153" i="49" s="1" a="1"/>
  <c r="AV153" i="49" s="1"/>
  <c r="BJ153" i="49" s="1"/>
  <c r="Y153" i="49"/>
  <c r="AJ153" i="49" s="1"/>
  <c r="AW153" i="49" s="1" a="1"/>
  <c r="AW153" i="49" s="1"/>
  <c r="BK153" i="49" s="1"/>
  <c r="Z153" i="49"/>
  <c r="AK153" i="49" s="1"/>
  <c r="AX153" i="49" s="1" a="1"/>
  <c r="AX153" i="49" s="1"/>
  <c r="BL153" i="49" s="1"/>
  <c r="AA153" i="49"/>
  <c r="AL153" i="49" s="1"/>
  <c r="AY153" i="49" s="1" a="1"/>
  <c r="AY153" i="49" s="1"/>
  <c r="BM153" i="49" s="1"/>
  <c r="AB153" i="49"/>
  <c r="AM153" i="49" s="1"/>
  <c r="AZ153" i="49" s="1" a="1"/>
  <c r="AZ153" i="49" s="1"/>
  <c r="BN153" i="49" s="1"/>
  <c r="AC153" i="49"/>
  <c r="AN153" i="49" s="1"/>
  <c r="BA153" i="49" s="1" a="1"/>
  <c r="BA153" i="49" s="1"/>
  <c r="BO153" i="49" s="1"/>
  <c r="U154" i="49"/>
  <c r="AF154" i="49" s="1"/>
  <c r="AS154" i="49" s="1" a="1"/>
  <c r="AS154" i="49" s="1"/>
  <c r="BG154" i="49" s="1"/>
  <c r="V154" i="49"/>
  <c r="AG154" i="49" s="1"/>
  <c r="AT154" i="49" s="1" a="1"/>
  <c r="AT154" i="49" s="1"/>
  <c r="BH154" i="49" s="1"/>
  <c r="W154" i="49"/>
  <c r="AH154" i="49" s="1"/>
  <c r="AU154" i="49" s="1" a="1"/>
  <c r="AU154" i="49" s="1"/>
  <c r="BI154" i="49" s="1"/>
  <c r="X154" i="49"/>
  <c r="AI154" i="49" s="1"/>
  <c r="AV154" i="49" s="1" a="1"/>
  <c r="AV154" i="49" s="1"/>
  <c r="BJ154" i="49" s="1"/>
  <c r="Y154" i="49"/>
  <c r="AJ154" i="49" s="1"/>
  <c r="AW154" i="49" s="1" a="1"/>
  <c r="AW154" i="49" s="1"/>
  <c r="BK154" i="49" s="1"/>
  <c r="Z154" i="49"/>
  <c r="AK154" i="49" s="1"/>
  <c r="AX154" i="49" s="1" a="1"/>
  <c r="AX154" i="49" s="1"/>
  <c r="BL154" i="49" s="1"/>
  <c r="AA154" i="49"/>
  <c r="AL154" i="49" s="1"/>
  <c r="AY154" i="49" s="1" a="1"/>
  <c r="AY154" i="49" s="1"/>
  <c r="BM154" i="49" s="1"/>
  <c r="AB154" i="49"/>
  <c r="AM154" i="49" s="1"/>
  <c r="AZ154" i="49" s="1" a="1"/>
  <c r="AZ154" i="49" s="1"/>
  <c r="BN154" i="49" s="1"/>
  <c r="AC154" i="49"/>
  <c r="AN154" i="49" s="1"/>
  <c r="BA154" i="49" s="1" a="1"/>
  <c r="BA154" i="49" s="1"/>
  <c r="BO154" i="49" s="1"/>
  <c r="U156" i="49"/>
  <c r="AF156" i="49" s="1"/>
  <c r="AS156" i="49" s="1" a="1"/>
  <c r="AS156" i="49" s="1"/>
  <c r="BG156" i="49" s="1"/>
  <c r="V156" i="49"/>
  <c r="AG156" i="49" s="1"/>
  <c r="AT156" i="49" s="1" a="1"/>
  <c r="AT156" i="49" s="1"/>
  <c r="BH156" i="49" s="1"/>
  <c r="W156" i="49"/>
  <c r="AH156" i="49" s="1"/>
  <c r="AU156" i="49" s="1" a="1"/>
  <c r="AU156" i="49" s="1"/>
  <c r="BI156" i="49" s="1"/>
  <c r="X156" i="49"/>
  <c r="AI156" i="49" s="1"/>
  <c r="AV156" i="49" s="1" a="1"/>
  <c r="AV156" i="49" s="1"/>
  <c r="Y156" i="49"/>
  <c r="AJ156" i="49" s="1"/>
  <c r="AW156" i="49" s="1" a="1"/>
  <c r="AW156" i="49" s="1"/>
  <c r="Z156" i="49"/>
  <c r="AK156" i="49" s="1"/>
  <c r="AX156" i="49" s="1" a="1"/>
  <c r="AX156" i="49" s="1"/>
  <c r="AA156" i="49"/>
  <c r="AL156" i="49" s="1"/>
  <c r="AY156" i="49" s="1" a="1"/>
  <c r="AY156" i="49" s="1"/>
  <c r="BM156" i="49" s="1"/>
  <c r="AB156" i="49"/>
  <c r="AM156" i="49" s="1"/>
  <c r="AZ156" i="49" s="1" a="1"/>
  <c r="AZ156" i="49" s="1"/>
  <c r="BN156" i="49" s="1"/>
  <c r="AC156" i="49"/>
  <c r="AN156" i="49" s="1"/>
  <c r="BA156" i="49" s="1" a="1"/>
  <c r="BA156" i="49" s="1"/>
  <c r="BO156" i="49" s="1"/>
  <c r="U157" i="49"/>
  <c r="AF157" i="49" s="1"/>
  <c r="AS157" i="49" s="1" a="1"/>
  <c r="AS157" i="49" s="1"/>
  <c r="V157" i="49"/>
  <c r="AG157" i="49" s="1"/>
  <c r="AT157" i="49" s="1" a="1"/>
  <c r="AT157" i="49" s="1"/>
  <c r="BH157" i="49" s="1"/>
  <c r="W157" i="49"/>
  <c r="AH157" i="49" s="1"/>
  <c r="AU157" i="49" s="1" a="1"/>
  <c r="AU157" i="49" s="1"/>
  <c r="BI157" i="49" s="1"/>
  <c r="X157" i="49"/>
  <c r="AI157" i="49" s="1"/>
  <c r="AV157" i="49" s="1" a="1"/>
  <c r="AV157" i="49" s="1"/>
  <c r="BJ157" i="49" s="1"/>
  <c r="Y157" i="49"/>
  <c r="AJ157" i="49" s="1"/>
  <c r="AW157" i="49" s="1" a="1"/>
  <c r="AW157" i="49" s="1"/>
  <c r="BK157" i="49" s="1"/>
  <c r="Z157" i="49"/>
  <c r="AK157" i="49" s="1"/>
  <c r="AX157" i="49" s="1" a="1"/>
  <c r="AX157" i="49" s="1"/>
  <c r="AA157" i="49"/>
  <c r="AL157" i="49" s="1"/>
  <c r="AY157" i="49" s="1" a="1"/>
  <c r="AY157" i="49" s="1"/>
  <c r="AB157" i="49"/>
  <c r="AM157" i="49" s="1"/>
  <c r="AZ157" i="49" s="1" a="1"/>
  <c r="AZ157" i="49" s="1"/>
  <c r="AC157" i="49"/>
  <c r="AN157" i="49" s="1"/>
  <c r="BA157" i="49" s="1" a="1"/>
  <c r="BA157" i="49" s="1"/>
  <c r="U158" i="49"/>
  <c r="AF158" i="49" s="1"/>
  <c r="AS158" i="49" s="1" a="1"/>
  <c r="AS158" i="49" s="1"/>
  <c r="BG158" i="49" s="1"/>
  <c r="V158" i="49"/>
  <c r="AG158" i="49" s="1"/>
  <c r="AT158" i="49" s="1" a="1"/>
  <c r="AT158" i="49" s="1"/>
  <c r="BH158" i="49" s="1"/>
  <c r="W158" i="49"/>
  <c r="AH158" i="49" s="1"/>
  <c r="AU158" i="49" s="1" a="1"/>
  <c r="AU158" i="49" s="1"/>
  <c r="BI158" i="49" s="1"/>
  <c r="X158" i="49"/>
  <c r="AI158" i="49" s="1"/>
  <c r="AV158" i="49" s="1" a="1"/>
  <c r="AV158" i="49" s="1"/>
  <c r="BJ158" i="49" s="1"/>
  <c r="Y158" i="49"/>
  <c r="AJ158" i="49" s="1"/>
  <c r="AW158" i="49" s="1" a="1"/>
  <c r="AW158" i="49" s="1"/>
  <c r="BK158" i="49" s="1"/>
  <c r="Z158" i="49"/>
  <c r="AK158" i="49" s="1"/>
  <c r="AX158" i="49" s="1" a="1"/>
  <c r="AX158" i="49" s="1"/>
  <c r="BL158" i="49" s="1"/>
  <c r="AA158" i="49"/>
  <c r="AL158" i="49" s="1"/>
  <c r="AY158" i="49" s="1" a="1"/>
  <c r="AY158" i="49" s="1"/>
  <c r="BM158" i="49" s="1"/>
  <c r="AB158" i="49"/>
  <c r="AM158" i="49" s="1"/>
  <c r="AZ158" i="49" s="1" a="1"/>
  <c r="AZ158" i="49" s="1"/>
  <c r="BN158" i="49" s="1"/>
  <c r="AC158" i="49"/>
  <c r="AN158" i="49" s="1"/>
  <c r="BA158" i="49" s="1" a="1"/>
  <c r="BA158" i="49" s="1"/>
  <c r="BO158" i="49" s="1"/>
  <c r="U159" i="49"/>
  <c r="AF159" i="49" s="1"/>
  <c r="AS159" i="49" s="1" a="1"/>
  <c r="AS159" i="49" s="1"/>
  <c r="V159" i="49"/>
  <c r="AG159" i="49" s="1"/>
  <c r="AT159" i="49" s="1" a="1"/>
  <c r="AT159" i="49" s="1"/>
  <c r="BH159" i="49" s="1"/>
  <c r="W159" i="49"/>
  <c r="AH159" i="49" s="1"/>
  <c r="AU159" i="49" s="1" a="1"/>
  <c r="AU159" i="49" s="1"/>
  <c r="X159" i="49"/>
  <c r="AI159" i="49" s="1"/>
  <c r="AV159" i="49" s="1" a="1"/>
  <c r="AV159" i="49" s="1"/>
  <c r="BJ159" i="49" s="1"/>
  <c r="Y159" i="49"/>
  <c r="AJ159" i="49" s="1"/>
  <c r="AW159" i="49" s="1" a="1"/>
  <c r="AW159" i="49" s="1"/>
  <c r="BK159" i="49" s="1"/>
  <c r="Z159" i="49"/>
  <c r="AK159" i="49" s="1"/>
  <c r="AX159" i="49" s="1" a="1"/>
  <c r="AX159" i="49" s="1"/>
  <c r="BL159" i="49" s="1"/>
  <c r="AA159" i="49"/>
  <c r="AL159" i="49" s="1"/>
  <c r="AY159" i="49" s="1" a="1"/>
  <c r="AY159" i="49" s="1"/>
  <c r="BM159" i="49" s="1"/>
  <c r="AB159" i="49"/>
  <c r="AM159" i="49" s="1"/>
  <c r="AZ159" i="49" s="1" a="1"/>
  <c r="AZ159" i="49" s="1"/>
  <c r="BN159" i="49" s="1"/>
  <c r="AC159" i="49"/>
  <c r="AN159" i="49" s="1"/>
  <c r="BA159" i="49" s="1" a="1"/>
  <c r="BA159" i="49" s="1"/>
  <c r="BO159" i="49" s="1"/>
  <c r="U160" i="49"/>
  <c r="AF160" i="49" s="1"/>
  <c r="AS160" i="49" s="1" a="1"/>
  <c r="AS160" i="49" s="1"/>
  <c r="BG160" i="49" s="1"/>
  <c r="V160" i="49"/>
  <c r="AG160" i="49" s="1"/>
  <c r="AT160" i="49" s="1" a="1"/>
  <c r="AT160" i="49" s="1"/>
  <c r="BH160" i="49" s="1"/>
  <c r="W160" i="49"/>
  <c r="AH160" i="49" s="1"/>
  <c r="AU160" i="49" s="1" a="1"/>
  <c r="AU160" i="49" s="1"/>
  <c r="BI160" i="49" s="1"/>
  <c r="X160" i="49"/>
  <c r="AI160" i="49" s="1"/>
  <c r="AV160" i="49" s="1" a="1"/>
  <c r="AV160" i="49" s="1"/>
  <c r="BJ160" i="49" s="1"/>
  <c r="Y160" i="49"/>
  <c r="AJ160" i="49" s="1"/>
  <c r="AW160" i="49" s="1" a="1"/>
  <c r="AW160" i="49" s="1"/>
  <c r="BK160" i="49" s="1"/>
  <c r="Z160" i="49"/>
  <c r="AK160" i="49" s="1"/>
  <c r="AX160" i="49" s="1" a="1"/>
  <c r="AX160" i="49" s="1"/>
  <c r="BL160" i="49" s="1"/>
  <c r="AA160" i="49"/>
  <c r="AL160" i="49" s="1"/>
  <c r="AY160" i="49" s="1" a="1"/>
  <c r="AY160" i="49" s="1"/>
  <c r="BM160" i="49" s="1"/>
  <c r="AB160" i="49"/>
  <c r="AM160" i="49" s="1"/>
  <c r="AZ160" i="49" s="1" a="1"/>
  <c r="AZ160" i="49" s="1"/>
  <c r="BN160" i="49" s="1"/>
  <c r="AC160" i="49"/>
  <c r="AN160" i="49" s="1"/>
  <c r="BA160" i="49" s="1" a="1"/>
  <c r="BA160" i="49" s="1"/>
  <c r="BO160" i="49" s="1"/>
  <c r="U162" i="49"/>
  <c r="AF162" i="49" s="1"/>
  <c r="AS162" i="49" s="1" a="1"/>
  <c r="AS162" i="49" s="1"/>
  <c r="V162" i="49"/>
  <c r="AG162" i="49" s="1"/>
  <c r="AT162" i="49" s="1" a="1"/>
  <c r="AT162" i="49" s="1"/>
  <c r="W162" i="49"/>
  <c r="AH162" i="49" s="1"/>
  <c r="AU162" i="49" s="1" a="1"/>
  <c r="AU162" i="49" s="1"/>
  <c r="X162" i="49"/>
  <c r="AI162" i="49" s="1"/>
  <c r="AV162" i="49" s="1" a="1"/>
  <c r="AV162" i="49" s="1"/>
  <c r="Y162" i="49"/>
  <c r="AJ162" i="49" s="1"/>
  <c r="AW162" i="49" s="1" a="1"/>
  <c r="AW162" i="49" s="1"/>
  <c r="Z162" i="49"/>
  <c r="AK162" i="49" s="1"/>
  <c r="AX162" i="49" s="1" a="1"/>
  <c r="AX162" i="49" s="1"/>
  <c r="AA162" i="49"/>
  <c r="AL162" i="49" s="1"/>
  <c r="AY162" i="49" s="1" a="1"/>
  <c r="AY162" i="49" s="1"/>
  <c r="AB162" i="49"/>
  <c r="AM162" i="49" s="1"/>
  <c r="AZ162" i="49" s="1" a="1"/>
  <c r="AZ162" i="49" s="1"/>
  <c r="AC162" i="49"/>
  <c r="AN162" i="49" s="1"/>
  <c r="BA162" i="49" s="1" a="1"/>
  <c r="BA162" i="49" s="1"/>
  <c r="U163" i="49"/>
  <c r="AF163" i="49" s="1"/>
  <c r="AS163" i="49" s="1" a="1"/>
  <c r="AS163" i="49" s="1"/>
  <c r="V163" i="49"/>
  <c r="AG163" i="49" s="1"/>
  <c r="AT163" i="49" s="1" a="1"/>
  <c r="AT163" i="49" s="1"/>
  <c r="BH163" i="49" s="1"/>
  <c r="W163" i="49"/>
  <c r="AH163" i="49" s="1"/>
  <c r="AU163" i="49" s="1" a="1"/>
  <c r="AU163" i="49" s="1"/>
  <c r="X163" i="49"/>
  <c r="AI163" i="49" s="1"/>
  <c r="AV163" i="49" s="1" a="1"/>
  <c r="AV163" i="49" s="1"/>
  <c r="Y163" i="49"/>
  <c r="AJ163" i="49" s="1"/>
  <c r="AW163" i="49" s="1" a="1"/>
  <c r="AW163" i="49" s="1"/>
  <c r="Z163" i="49"/>
  <c r="AK163" i="49" s="1"/>
  <c r="AX163" i="49" s="1" a="1"/>
  <c r="AX163" i="49" s="1"/>
  <c r="AA163" i="49"/>
  <c r="AL163" i="49" s="1"/>
  <c r="AY163" i="49" s="1" a="1"/>
  <c r="AY163" i="49" s="1"/>
  <c r="AB163" i="49"/>
  <c r="AM163" i="49" s="1"/>
  <c r="AZ163" i="49" s="1" a="1"/>
  <c r="AZ163" i="49" s="1"/>
  <c r="AC163" i="49"/>
  <c r="AN163" i="49" s="1"/>
  <c r="BA163" i="49" s="1" a="1"/>
  <c r="BA163" i="49" s="1"/>
  <c r="U164" i="49"/>
  <c r="AF164" i="49" s="1"/>
  <c r="AS164" i="49" s="1" a="1"/>
  <c r="AS164" i="49" s="1"/>
  <c r="BG164" i="49" s="1"/>
  <c r="V164" i="49"/>
  <c r="AG164" i="49" s="1"/>
  <c r="AT164" i="49" s="1" a="1"/>
  <c r="AT164" i="49" s="1"/>
  <c r="BH164" i="49" s="1"/>
  <c r="W164" i="49"/>
  <c r="AH164" i="49" s="1"/>
  <c r="AU164" i="49" s="1" a="1"/>
  <c r="AU164" i="49" s="1"/>
  <c r="BI164" i="49" s="1"/>
  <c r="X164" i="49"/>
  <c r="AI164" i="49" s="1"/>
  <c r="AV164" i="49" s="1" a="1"/>
  <c r="AV164" i="49" s="1"/>
  <c r="BJ164" i="49" s="1"/>
  <c r="Y164" i="49"/>
  <c r="AJ164" i="49" s="1"/>
  <c r="AW164" i="49" s="1" a="1"/>
  <c r="AW164" i="49" s="1"/>
  <c r="BK164" i="49" s="1"/>
  <c r="Z164" i="49"/>
  <c r="AK164" i="49" s="1"/>
  <c r="AX164" i="49" s="1" a="1"/>
  <c r="AX164" i="49" s="1"/>
  <c r="BL164" i="49" s="1"/>
  <c r="AA164" i="49"/>
  <c r="AL164" i="49" s="1"/>
  <c r="AY164" i="49" s="1" a="1"/>
  <c r="AY164" i="49" s="1"/>
  <c r="BM164" i="49" s="1"/>
  <c r="AB164" i="49"/>
  <c r="AM164" i="49" s="1"/>
  <c r="AZ164" i="49" s="1" a="1"/>
  <c r="AZ164" i="49" s="1"/>
  <c r="BN164" i="49" s="1"/>
  <c r="AC164" i="49"/>
  <c r="AN164" i="49" s="1"/>
  <c r="BA164" i="49" s="1" a="1"/>
  <c r="BA164" i="49" s="1"/>
  <c r="BO164" i="49" s="1"/>
  <c r="U165" i="49"/>
  <c r="AF165" i="49" s="1"/>
  <c r="AS165" i="49" s="1" a="1"/>
  <c r="AS165" i="49" s="1"/>
  <c r="BG165" i="49" s="1"/>
  <c r="V165" i="49"/>
  <c r="AG165" i="49" s="1"/>
  <c r="AT165" i="49" s="1" a="1"/>
  <c r="AT165" i="49" s="1"/>
  <c r="BH165" i="49" s="1"/>
  <c r="W165" i="49"/>
  <c r="AH165" i="49" s="1"/>
  <c r="AU165" i="49" s="1" a="1"/>
  <c r="AU165" i="49" s="1"/>
  <c r="X165" i="49"/>
  <c r="AI165" i="49" s="1"/>
  <c r="AV165" i="49" s="1" a="1"/>
  <c r="AV165" i="49" s="1"/>
  <c r="BJ165" i="49" s="1"/>
  <c r="Y165" i="49"/>
  <c r="AJ165" i="49" s="1"/>
  <c r="AW165" i="49" s="1" a="1"/>
  <c r="AW165" i="49" s="1"/>
  <c r="BK165" i="49" s="1"/>
  <c r="Z165" i="49"/>
  <c r="AK165" i="49" s="1"/>
  <c r="AX165" i="49" s="1" a="1"/>
  <c r="AX165" i="49" s="1"/>
  <c r="BL165" i="49" s="1"/>
  <c r="AA165" i="49"/>
  <c r="AL165" i="49" s="1"/>
  <c r="AY165" i="49" s="1" a="1"/>
  <c r="AY165" i="49" s="1"/>
  <c r="BM165" i="49" s="1"/>
  <c r="AB165" i="49"/>
  <c r="AM165" i="49" s="1"/>
  <c r="AZ165" i="49" s="1" a="1"/>
  <c r="AZ165" i="49" s="1"/>
  <c r="AC165" i="49"/>
  <c r="AN165" i="49" s="1"/>
  <c r="BA165" i="49" s="1" a="1"/>
  <c r="BA165" i="49" s="1"/>
  <c r="BO165" i="49" s="1"/>
  <c r="U166" i="49"/>
  <c r="AF166" i="49" s="1"/>
  <c r="AS166" i="49" s="1" a="1"/>
  <c r="AS166" i="49" s="1"/>
  <c r="BG166" i="49" s="1"/>
  <c r="V166" i="49"/>
  <c r="AG166" i="49" s="1"/>
  <c r="AT166" i="49" s="1" a="1"/>
  <c r="AT166" i="49" s="1"/>
  <c r="BH166" i="49" s="1"/>
  <c r="W166" i="49"/>
  <c r="AH166" i="49" s="1"/>
  <c r="AU166" i="49" s="1" a="1"/>
  <c r="AU166" i="49" s="1"/>
  <c r="BI166" i="49" s="1"/>
  <c r="X166" i="49"/>
  <c r="AI166" i="49" s="1"/>
  <c r="AV166" i="49" s="1" a="1"/>
  <c r="AV166" i="49" s="1"/>
  <c r="BJ166" i="49" s="1"/>
  <c r="Y166" i="49"/>
  <c r="AJ166" i="49" s="1"/>
  <c r="AW166" i="49" s="1" a="1"/>
  <c r="AW166" i="49" s="1"/>
  <c r="BK166" i="49" s="1"/>
  <c r="Z166" i="49"/>
  <c r="AK166" i="49" s="1"/>
  <c r="AX166" i="49" s="1" a="1"/>
  <c r="AX166" i="49" s="1"/>
  <c r="BL166" i="49" s="1"/>
  <c r="AA166" i="49"/>
  <c r="AL166" i="49" s="1"/>
  <c r="AY166" i="49" s="1" a="1"/>
  <c r="AY166" i="49" s="1"/>
  <c r="BM166" i="49" s="1"/>
  <c r="AB166" i="49"/>
  <c r="AM166" i="49" s="1"/>
  <c r="AZ166" i="49" s="1" a="1"/>
  <c r="AZ166" i="49" s="1"/>
  <c r="BN166" i="49" s="1"/>
  <c r="AC166" i="49"/>
  <c r="AN166" i="49" s="1"/>
  <c r="BA166" i="49" s="1" a="1"/>
  <c r="BA166" i="49" s="1"/>
  <c r="BO166" i="49" s="1"/>
  <c r="U167" i="49"/>
  <c r="AF167" i="49" s="1"/>
  <c r="AS167" i="49" s="1" a="1"/>
  <c r="AS167" i="49" s="1"/>
  <c r="BG167" i="49" s="1"/>
  <c r="V167" i="49"/>
  <c r="AG167" i="49" s="1"/>
  <c r="AT167" i="49" s="1" a="1"/>
  <c r="AT167" i="49" s="1"/>
  <c r="BH167" i="49" s="1"/>
  <c r="W167" i="49"/>
  <c r="AH167" i="49" s="1"/>
  <c r="AU167" i="49" s="1" a="1"/>
  <c r="AU167" i="49" s="1"/>
  <c r="BI167" i="49" s="1"/>
  <c r="X167" i="49"/>
  <c r="AI167" i="49" s="1"/>
  <c r="AV167" i="49" s="1" a="1"/>
  <c r="AV167" i="49" s="1"/>
  <c r="BJ167" i="49" s="1"/>
  <c r="Y167" i="49"/>
  <c r="AJ167" i="49" s="1"/>
  <c r="AW167" i="49" s="1" a="1"/>
  <c r="AW167" i="49" s="1"/>
  <c r="BK167" i="49" s="1"/>
  <c r="Z167" i="49"/>
  <c r="AK167" i="49" s="1"/>
  <c r="AX167" i="49" s="1" a="1"/>
  <c r="AX167" i="49" s="1"/>
  <c r="BL167" i="49" s="1"/>
  <c r="AA167" i="49"/>
  <c r="AL167" i="49" s="1"/>
  <c r="AY167" i="49" s="1" a="1"/>
  <c r="AY167" i="49" s="1"/>
  <c r="BM167" i="49" s="1"/>
  <c r="AB167" i="49"/>
  <c r="AM167" i="49" s="1"/>
  <c r="AZ167" i="49" s="1" a="1"/>
  <c r="AZ167" i="49" s="1"/>
  <c r="BN167" i="49" s="1"/>
  <c r="AC167" i="49"/>
  <c r="AN167" i="49" s="1"/>
  <c r="BA167" i="49" s="1" a="1"/>
  <c r="BA167" i="49" s="1"/>
  <c r="BO167" i="49" s="1"/>
  <c r="U168" i="49"/>
  <c r="AF168" i="49" s="1"/>
  <c r="AS168" i="49" s="1" a="1"/>
  <c r="AS168" i="49" s="1"/>
  <c r="V168" i="49"/>
  <c r="AG168" i="49" s="1"/>
  <c r="AT168" i="49" s="1" a="1"/>
  <c r="AT168" i="49" s="1"/>
  <c r="W168" i="49"/>
  <c r="AH168" i="49" s="1"/>
  <c r="AU168" i="49" s="1" a="1"/>
  <c r="AU168" i="49" s="1"/>
  <c r="X168" i="49"/>
  <c r="AI168" i="49" s="1"/>
  <c r="AV168" i="49" s="1" a="1"/>
  <c r="AV168" i="49" s="1"/>
  <c r="Y168" i="49"/>
  <c r="AJ168" i="49" s="1"/>
  <c r="AW168" i="49" s="1" a="1"/>
  <c r="AW168" i="49" s="1"/>
  <c r="Z168" i="49"/>
  <c r="AK168" i="49" s="1"/>
  <c r="AX168" i="49" s="1" a="1"/>
  <c r="AX168" i="49" s="1"/>
  <c r="AA168" i="49"/>
  <c r="AL168" i="49" s="1"/>
  <c r="AY168" i="49" s="1" a="1"/>
  <c r="AY168" i="49" s="1"/>
  <c r="AB168" i="49"/>
  <c r="AM168" i="49" s="1"/>
  <c r="AZ168" i="49" s="1" a="1"/>
  <c r="AZ168" i="49" s="1"/>
  <c r="AC168" i="49"/>
  <c r="AN168" i="49" s="1"/>
  <c r="BA168" i="49" s="1" a="1"/>
  <c r="BA168" i="49" s="1"/>
  <c r="U169" i="49"/>
  <c r="AF169" i="49" s="1"/>
  <c r="AS169" i="49" s="1" a="1"/>
  <c r="AS169" i="49" s="1"/>
  <c r="V169" i="49"/>
  <c r="AG169" i="49" s="1"/>
  <c r="AT169" i="49" s="1" a="1"/>
  <c r="AT169" i="49" s="1"/>
  <c r="W169" i="49"/>
  <c r="AH169" i="49" s="1"/>
  <c r="AU169" i="49" s="1" a="1"/>
  <c r="AU169" i="49" s="1"/>
  <c r="X169" i="49"/>
  <c r="AI169" i="49" s="1"/>
  <c r="AV169" i="49" s="1" a="1"/>
  <c r="AV169" i="49" s="1"/>
  <c r="Y169" i="49"/>
  <c r="AJ169" i="49" s="1"/>
  <c r="AW169" i="49" s="1" a="1"/>
  <c r="AW169" i="49" s="1"/>
  <c r="Z169" i="49"/>
  <c r="AK169" i="49" s="1"/>
  <c r="AX169" i="49" s="1" a="1"/>
  <c r="AX169" i="49" s="1"/>
  <c r="AA169" i="49"/>
  <c r="AL169" i="49" s="1"/>
  <c r="AY169" i="49" s="1" a="1"/>
  <c r="AY169" i="49" s="1"/>
  <c r="BM169" i="49" s="1"/>
  <c r="AB169" i="49"/>
  <c r="AM169" i="49" s="1"/>
  <c r="AZ169" i="49" s="1" a="1"/>
  <c r="AZ169" i="49" s="1"/>
  <c r="BN169" i="49" s="1"/>
  <c r="AC169" i="49"/>
  <c r="AN169" i="49" s="1"/>
  <c r="BA169" i="49" s="1" a="1"/>
  <c r="BA169" i="49" s="1"/>
  <c r="U171" i="49"/>
  <c r="AF171" i="49" s="1"/>
  <c r="AS171" i="49" s="1" a="1"/>
  <c r="AS171" i="49" s="1"/>
  <c r="BG171" i="49" s="1"/>
  <c r="V171" i="49"/>
  <c r="AG171" i="49" s="1"/>
  <c r="AT171" i="49" s="1" a="1"/>
  <c r="AT171" i="49" s="1"/>
  <c r="BH171" i="49" s="1"/>
  <c r="W171" i="49"/>
  <c r="AH171" i="49" s="1"/>
  <c r="AU171" i="49" s="1" a="1"/>
  <c r="AU171" i="49" s="1"/>
  <c r="BI171" i="49" s="1"/>
  <c r="X171" i="49"/>
  <c r="AI171" i="49" s="1"/>
  <c r="AV171" i="49" s="1" a="1"/>
  <c r="AV171" i="49" s="1"/>
  <c r="BJ171" i="49" s="1"/>
  <c r="Y171" i="49"/>
  <c r="AJ171" i="49" s="1"/>
  <c r="AW171" i="49" s="1" a="1"/>
  <c r="AW171" i="49" s="1"/>
  <c r="BK171" i="49" s="1"/>
  <c r="Z171" i="49"/>
  <c r="AK171" i="49" s="1"/>
  <c r="AX171" i="49" s="1" a="1"/>
  <c r="AX171" i="49" s="1"/>
  <c r="BL171" i="49" s="1"/>
  <c r="AA171" i="49"/>
  <c r="AL171" i="49" s="1"/>
  <c r="AY171" i="49" s="1" a="1"/>
  <c r="AY171" i="49" s="1"/>
  <c r="BM171" i="49" s="1"/>
  <c r="AB171" i="49"/>
  <c r="AM171" i="49" s="1"/>
  <c r="AZ171" i="49" s="1" a="1"/>
  <c r="AZ171" i="49" s="1"/>
  <c r="BN171" i="49" s="1"/>
  <c r="AC171" i="49"/>
  <c r="AN171" i="49" s="1"/>
  <c r="BA171" i="49" s="1" a="1"/>
  <c r="BA171" i="49" s="1"/>
  <c r="BO171" i="49" s="1"/>
  <c r="U172" i="49"/>
  <c r="AF172" i="49" s="1"/>
  <c r="AS172" i="49" s="1" a="1"/>
  <c r="AS172" i="49" s="1"/>
  <c r="BG172" i="49" s="1"/>
  <c r="V172" i="49"/>
  <c r="AG172" i="49" s="1"/>
  <c r="AT172" i="49" s="1" a="1"/>
  <c r="AT172" i="49" s="1"/>
  <c r="W172" i="49"/>
  <c r="AH172" i="49" s="1"/>
  <c r="AU172" i="49" s="1" a="1"/>
  <c r="AU172" i="49" s="1"/>
  <c r="BI172" i="49" s="1"/>
  <c r="X172" i="49"/>
  <c r="AI172" i="49" s="1"/>
  <c r="AV172" i="49" s="1" a="1"/>
  <c r="AV172" i="49" s="1"/>
  <c r="BJ172" i="49" s="1"/>
  <c r="Y172" i="49"/>
  <c r="AJ172" i="49" s="1"/>
  <c r="AW172" i="49" s="1" a="1"/>
  <c r="AW172" i="49" s="1"/>
  <c r="BK172" i="49" s="1"/>
  <c r="Z172" i="49"/>
  <c r="AK172" i="49" s="1"/>
  <c r="AX172" i="49" s="1" a="1"/>
  <c r="AX172" i="49" s="1"/>
  <c r="BL172" i="49" s="1"/>
  <c r="AA172" i="49"/>
  <c r="AL172" i="49" s="1"/>
  <c r="AY172" i="49" s="1" a="1"/>
  <c r="AY172" i="49" s="1"/>
  <c r="BM172" i="49" s="1"/>
  <c r="AB172" i="49"/>
  <c r="AM172" i="49" s="1"/>
  <c r="AZ172" i="49" s="1" a="1"/>
  <c r="AZ172" i="49" s="1"/>
  <c r="BN172" i="49" s="1"/>
  <c r="AC172" i="49"/>
  <c r="AN172" i="49" s="1"/>
  <c r="BA172" i="49" s="1" a="1"/>
  <c r="BA172" i="49" s="1"/>
  <c r="U173" i="49"/>
  <c r="AF173" i="49" s="1"/>
  <c r="AS173" i="49" s="1" a="1"/>
  <c r="AS173" i="49" s="1"/>
  <c r="V173" i="49"/>
  <c r="AG173" i="49" s="1"/>
  <c r="AT173" i="49" s="1" a="1"/>
  <c r="AT173" i="49" s="1"/>
  <c r="W173" i="49"/>
  <c r="AH173" i="49" s="1"/>
  <c r="AU173" i="49" s="1" a="1"/>
  <c r="AU173" i="49" s="1"/>
  <c r="X173" i="49"/>
  <c r="AI173" i="49" s="1"/>
  <c r="AV173" i="49" s="1" a="1"/>
  <c r="AV173" i="49" s="1"/>
  <c r="Y173" i="49"/>
  <c r="AJ173" i="49" s="1"/>
  <c r="AW173" i="49" s="1" a="1"/>
  <c r="AW173" i="49" s="1"/>
  <c r="Z173" i="49"/>
  <c r="AK173" i="49" s="1"/>
  <c r="AX173" i="49" s="1" a="1"/>
  <c r="AX173" i="49" s="1"/>
  <c r="AA173" i="49"/>
  <c r="AL173" i="49" s="1"/>
  <c r="AY173" i="49" s="1" a="1"/>
  <c r="AY173" i="49" s="1"/>
  <c r="BM173" i="49" s="1"/>
  <c r="AB173" i="49"/>
  <c r="AM173" i="49" s="1"/>
  <c r="AZ173" i="49" s="1" a="1"/>
  <c r="AZ173" i="49" s="1"/>
  <c r="BN173" i="49" s="1"/>
  <c r="AC173" i="49"/>
  <c r="AN173" i="49" s="1"/>
  <c r="BA173" i="49" s="1" a="1"/>
  <c r="BA173" i="49" s="1"/>
  <c r="BO173" i="49" s="1"/>
  <c r="U175" i="49"/>
  <c r="AF175" i="49" s="1"/>
  <c r="AS175" i="49" s="1" a="1"/>
  <c r="AS175" i="49" s="1"/>
  <c r="BG175" i="49" s="1"/>
  <c r="V175" i="49"/>
  <c r="AG175" i="49" s="1"/>
  <c r="AT175" i="49" s="1" a="1"/>
  <c r="AT175" i="49" s="1"/>
  <c r="BH175" i="49" s="1"/>
  <c r="W175" i="49"/>
  <c r="AH175" i="49" s="1"/>
  <c r="AU175" i="49" s="1" a="1"/>
  <c r="AU175" i="49" s="1"/>
  <c r="BI175" i="49" s="1"/>
  <c r="X175" i="49"/>
  <c r="AI175" i="49" s="1"/>
  <c r="AV175" i="49" s="1" a="1"/>
  <c r="AV175" i="49" s="1"/>
  <c r="BJ175" i="49" s="1"/>
  <c r="Y175" i="49"/>
  <c r="AJ175" i="49" s="1"/>
  <c r="AW175" i="49" s="1" a="1"/>
  <c r="AW175" i="49" s="1"/>
  <c r="BK175" i="49" s="1"/>
  <c r="Z175" i="49"/>
  <c r="AK175" i="49" s="1"/>
  <c r="AX175" i="49" s="1" a="1"/>
  <c r="AX175" i="49" s="1"/>
  <c r="BL175" i="49" s="1"/>
  <c r="AA175" i="49"/>
  <c r="AL175" i="49" s="1"/>
  <c r="AY175" i="49" s="1" a="1"/>
  <c r="AY175" i="49" s="1"/>
  <c r="BM175" i="49" s="1"/>
  <c r="AB175" i="49"/>
  <c r="AM175" i="49" s="1"/>
  <c r="AZ175" i="49" s="1" a="1"/>
  <c r="AZ175" i="49" s="1"/>
  <c r="BN175" i="49" s="1"/>
  <c r="AC175" i="49"/>
  <c r="AN175" i="49" s="1"/>
  <c r="BA175" i="49" s="1" a="1"/>
  <c r="BA175" i="49" s="1"/>
  <c r="BO175" i="49" s="1"/>
  <c r="U176" i="49"/>
  <c r="AF176" i="49" s="1"/>
  <c r="AS176" i="49" s="1" a="1"/>
  <c r="AS176" i="49" s="1"/>
  <c r="V176" i="49"/>
  <c r="AG176" i="49" s="1"/>
  <c r="AT176" i="49" s="1" a="1"/>
  <c r="AT176" i="49" s="1"/>
  <c r="W176" i="49"/>
  <c r="AH176" i="49" s="1"/>
  <c r="AU176" i="49" s="1" a="1"/>
  <c r="AU176" i="49" s="1"/>
  <c r="X176" i="49"/>
  <c r="AI176" i="49" s="1"/>
  <c r="AV176" i="49" s="1" a="1"/>
  <c r="AV176" i="49" s="1"/>
  <c r="Y176" i="49"/>
  <c r="AJ176" i="49" s="1"/>
  <c r="AW176" i="49" s="1" a="1"/>
  <c r="AW176" i="49" s="1"/>
  <c r="Z176" i="49"/>
  <c r="AK176" i="49" s="1"/>
  <c r="AX176" i="49" s="1" a="1"/>
  <c r="AX176" i="49" s="1"/>
  <c r="AA176" i="49"/>
  <c r="AL176" i="49" s="1"/>
  <c r="AY176" i="49" s="1" a="1"/>
  <c r="AY176" i="49" s="1"/>
  <c r="AB176" i="49"/>
  <c r="AM176" i="49" s="1"/>
  <c r="AZ176" i="49" s="1" a="1"/>
  <c r="AZ176" i="49" s="1"/>
  <c r="AC176" i="49"/>
  <c r="AN176" i="49" s="1"/>
  <c r="BA176" i="49" s="1" a="1"/>
  <c r="BA176" i="49" s="1"/>
  <c r="U177" i="49"/>
  <c r="AF177" i="49" s="1"/>
  <c r="AS177" i="49" s="1" a="1"/>
  <c r="AS177" i="49" s="1"/>
  <c r="V177" i="49"/>
  <c r="AG177" i="49" s="1"/>
  <c r="AT177" i="49" s="1" a="1"/>
  <c r="AT177" i="49" s="1"/>
  <c r="W177" i="49"/>
  <c r="AH177" i="49" s="1"/>
  <c r="AU177" i="49" s="1" a="1"/>
  <c r="AU177" i="49" s="1"/>
  <c r="X177" i="49"/>
  <c r="AI177" i="49" s="1"/>
  <c r="AV177" i="49" s="1" a="1"/>
  <c r="AV177" i="49" s="1"/>
  <c r="Y177" i="49"/>
  <c r="AJ177" i="49" s="1"/>
  <c r="AW177" i="49" s="1" a="1"/>
  <c r="AW177" i="49" s="1"/>
  <c r="Z177" i="49"/>
  <c r="AK177" i="49" s="1"/>
  <c r="AX177" i="49" s="1" a="1"/>
  <c r="AX177" i="49" s="1"/>
  <c r="AA177" i="49"/>
  <c r="AL177" i="49" s="1"/>
  <c r="AY177" i="49" s="1" a="1"/>
  <c r="AY177" i="49" s="1"/>
  <c r="AB177" i="49"/>
  <c r="AM177" i="49" s="1"/>
  <c r="AZ177" i="49" s="1" a="1"/>
  <c r="AZ177" i="49" s="1"/>
  <c r="AC177" i="49"/>
  <c r="AN177" i="49" s="1"/>
  <c r="BA177" i="49" s="1" a="1"/>
  <c r="BA177" i="49" s="1"/>
  <c r="U178" i="49"/>
  <c r="AF178" i="49" s="1"/>
  <c r="AS178" i="49" s="1" a="1"/>
  <c r="AS178" i="49" s="1"/>
  <c r="BG178" i="49" s="1"/>
  <c r="V178" i="49"/>
  <c r="AG178" i="49" s="1"/>
  <c r="AT178" i="49" s="1" a="1"/>
  <c r="AT178" i="49" s="1"/>
  <c r="BH178" i="49" s="1"/>
  <c r="W178" i="49"/>
  <c r="AH178" i="49" s="1"/>
  <c r="AU178" i="49" s="1" a="1"/>
  <c r="AU178" i="49" s="1"/>
  <c r="BI178" i="49" s="1"/>
  <c r="X178" i="49"/>
  <c r="AI178" i="49" s="1"/>
  <c r="AV178" i="49" s="1" a="1"/>
  <c r="AV178" i="49" s="1"/>
  <c r="BJ178" i="49" s="1"/>
  <c r="Y178" i="49"/>
  <c r="AJ178" i="49" s="1"/>
  <c r="AW178" i="49" s="1" a="1"/>
  <c r="AW178" i="49" s="1"/>
  <c r="BK178" i="49" s="1"/>
  <c r="Z178" i="49"/>
  <c r="AK178" i="49" s="1"/>
  <c r="AX178" i="49" s="1" a="1"/>
  <c r="AX178" i="49" s="1"/>
  <c r="BL178" i="49" s="1"/>
  <c r="AA178" i="49"/>
  <c r="AL178" i="49" s="1"/>
  <c r="AY178" i="49" s="1" a="1"/>
  <c r="AY178" i="49" s="1"/>
  <c r="BM178" i="49" s="1"/>
  <c r="AB178" i="49"/>
  <c r="AM178" i="49" s="1"/>
  <c r="AZ178" i="49" s="1" a="1"/>
  <c r="AZ178" i="49" s="1"/>
  <c r="BN178" i="49" s="1"/>
  <c r="AC178" i="49"/>
  <c r="AN178" i="49" s="1"/>
  <c r="BA178" i="49" s="1" a="1"/>
  <c r="BA178" i="49" s="1"/>
  <c r="BO178" i="49" s="1"/>
  <c r="U179" i="49"/>
  <c r="AF179" i="49" s="1"/>
  <c r="AS179" i="49" s="1" a="1"/>
  <c r="AS179" i="49" s="1"/>
  <c r="BG179" i="49" s="1"/>
  <c r="V179" i="49"/>
  <c r="AG179" i="49" s="1"/>
  <c r="AT179" i="49" s="1" a="1"/>
  <c r="AT179" i="49" s="1"/>
  <c r="BH179" i="49" s="1"/>
  <c r="W179" i="49"/>
  <c r="AH179" i="49" s="1"/>
  <c r="AU179" i="49" s="1" a="1"/>
  <c r="AU179" i="49" s="1"/>
  <c r="BI179" i="49" s="1"/>
  <c r="X179" i="49"/>
  <c r="AI179" i="49" s="1"/>
  <c r="AV179" i="49" s="1" a="1"/>
  <c r="AV179" i="49" s="1"/>
  <c r="BJ179" i="49" s="1"/>
  <c r="Y179" i="49"/>
  <c r="AJ179" i="49" s="1"/>
  <c r="AW179" i="49" s="1" a="1"/>
  <c r="AW179" i="49" s="1"/>
  <c r="BK179" i="49" s="1"/>
  <c r="Z179" i="49"/>
  <c r="AK179" i="49" s="1"/>
  <c r="AX179" i="49" s="1" a="1"/>
  <c r="AX179" i="49" s="1"/>
  <c r="BL179" i="49" s="1"/>
  <c r="AA179" i="49"/>
  <c r="AL179" i="49" s="1"/>
  <c r="AY179" i="49" s="1" a="1"/>
  <c r="AY179" i="49" s="1"/>
  <c r="BM179" i="49" s="1"/>
  <c r="AB179" i="49"/>
  <c r="AM179" i="49" s="1"/>
  <c r="AZ179" i="49" s="1" a="1"/>
  <c r="AZ179" i="49" s="1"/>
  <c r="BN179" i="49" s="1"/>
  <c r="AC179" i="49"/>
  <c r="AN179" i="49" s="1"/>
  <c r="BA179" i="49" s="1" a="1"/>
  <c r="BA179" i="49" s="1"/>
  <c r="BO179" i="49" s="1"/>
  <c r="U181" i="49"/>
  <c r="AF181" i="49" s="1"/>
  <c r="AS181" i="49" s="1" a="1"/>
  <c r="AS181" i="49" s="1"/>
  <c r="V181" i="49"/>
  <c r="AG181" i="49" s="1"/>
  <c r="AT181" i="49" s="1" a="1"/>
  <c r="AT181" i="49" s="1"/>
  <c r="BH181" i="49" s="1"/>
  <c r="W181" i="49"/>
  <c r="AH181" i="49" s="1"/>
  <c r="AU181" i="49" s="1" a="1"/>
  <c r="AU181" i="49" s="1"/>
  <c r="BI181" i="49" s="1"/>
  <c r="X181" i="49"/>
  <c r="AI181" i="49" s="1"/>
  <c r="AV181" i="49" s="1" a="1"/>
  <c r="AV181" i="49" s="1"/>
  <c r="BJ181" i="49" s="1"/>
  <c r="Y181" i="49"/>
  <c r="AJ181" i="49" s="1"/>
  <c r="AW181" i="49" s="1" a="1"/>
  <c r="AW181" i="49" s="1"/>
  <c r="BK181" i="49" s="1"/>
  <c r="Z181" i="49"/>
  <c r="AK181" i="49" s="1"/>
  <c r="AX181" i="49" s="1" a="1"/>
  <c r="AX181" i="49" s="1"/>
  <c r="BL181" i="49" s="1"/>
  <c r="AA181" i="49"/>
  <c r="AL181" i="49" s="1"/>
  <c r="AY181" i="49" s="1" a="1"/>
  <c r="AY181" i="49" s="1"/>
  <c r="BM181" i="49" s="1"/>
  <c r="AB181" i="49"/>
  <c r="AM181" i="49" s="1"/>
  <c r="AZ181" i="49" s="1" a="1"/>
  <c r="AZ181" i="49" s="1"/>
  <c r="AC181" i="49"/>
  <c r="AN181" i="49" s="1"/>
  <c r="BA181" i="49" s="1" a="1"/>
  <c r="BA181" i="49" s="1"/>
  <c r="BO181" i="49" s="1"/>
  <c r="U182" i="49"/>
  <c r="AF182" i="49" s="1"/>
  <c r="AS182" i="49" s="1" a="1"/>
  <c r="AS182" i="49" s="1"/>
  <c r="BG182" i="49" s="1"/>
  <c r="V182" i="49"/>
  <c r="AG182" i="49" s="1"/>
  <c r="AT182" i="49" s="1" a="1"/>
  <c r="AT182" i="49" s="1"/>
  <c r="BH182" i="49" s="1"/>
  <c r="W182" i="49"/>
  <c r="AH182" i="49" s="1"/>
  <c r="AU182" i="49" s="1" a="1"/>
  <c r="AU182" i="49" s="1"/>
  <c r="BI182" i="49" s="1"/>
  <c r="X182" i="49"/>
  <c r="AI182" i="49" s="1"/>
  <c r="AV182" i="49" s="1" a="1"/>
  <c r="AV182" i="49" s="1"/>
  <c r="BJ182" i="49" s="1"/>
  <c r="Y182" i="49"/>
  <c r="AJ182" i="49" s="1"/>
  <c r="AW182" i="49" s="1" a="1"/>
  <c r="AW182" i="49" s="1"/>
  <c r="BK182" i="49" s="1"/>
  <c r="Z182" i="49"/>
  <c r="AK182" i="49" s="1"/>
  <c r="AX182" i="49" s="1" a="1"/>
  <c r="AX182" i="49" s="1"/>
  <c r="BL182" i="49" s="1"/>
  <c r="AA182" i="49"/>
  <c r="AL182" i="49" s="1"/>
  <c r="AY182" i="49" s="1" a="1"/>
  <c r="AY182" i="49" s="1"/>
  <c r="BM182" i="49" s="1"/>
  <c r="AB182" i="49"/>
  <c r="AM182" i="49" s="1"/>
  <c r="AZ182" i="49" s="1" a="1"/>
  <c r="AZ182" i="49" s="1"/>
  <c r="BN182" i="49" s="1"/>
  <c r="AC182" i="49"/>
  <c r="AN182" i="49" s="1"/>
  <c r="BA182" i="49" s="1" a="1"/>
  <c r="BA182" i="49" s="1"/>
  <c r="BO182" i="49" s="1"/>
  <c r="U183" i="49"/>
  <c r="AF183" i="49" s="1"/>
  <c r="AS183" i="49" s="1" a="1"/>
  <c r="AS183" i="49" s="1"/>
  <c r="BG183" i="49" s="1"/>
  <c r="V183" i="49"/>
  <c r="AG183" i="49" s="1"/>
  <c r="AT183" i="49" s="1" a="1"/>
  <c r="AT183" i="49" s="1"/>
  <c r="BH183" i="49" s="1"/>
  <c r="W183" i="49"/>
  <c r="AH183" i="49" s="1"/>
  <c r="AU183" i="49" s="1" a="1"/>
  <c r="AU183" i="49" s="1"/>
  <c r="BI183" i="49" s="1"/>
  <c r="X183" i="49"/>
  <c r="AI183" i="49" s="1"/>
  <c r="AV183" i="49" s="1" a="1"/>
  <c r="AV183" i="49" s="1"/>
  <c r="BJ183" i="49" s="1"/>
  <c r="Y183" i="49"/>
  <c r="AJ183" i="49" s="1"/>
  <c r="AW183" i="49" s="1" a="1"/>
  <c r="AW183" i="49" s="1"/>
  <c r="BK183" i="49" s="1"/>
  <c r="Z183" i="49"/>
  <c r="AK183" i="49" s="1"/>
  <c r="AX183" i="49" s="1" a="1"/>
  <c r="AX183" i="49" s="1"/>
  <c r="BL183" i="49" s="1"/>
  <c r="AA183" i="49"/>
  <c r="AL183" i="49" s="1"/>
  <c r="AY183" i="49" s="1" a="1"/>
  <c r="AY183" i="49" s="1"/>
  <c r="BM183" i="49" s="1"/>
  <c r="AB183" i="49"/>
  <c r="AM183" i="49" s="1"/>
  <c r="AZ183" i="49" s="1" a="1"/>
  <c r="AZ183" i="49" s="1"/>
  <c r="BN183" i="49" s="1"/>
  <c r="AC183" i="49"/>
  <c r="AN183" i="49" s="1"/>
  <c r="BA183" i="49" s="1" a="1"/>
  <c r="BA183" i="49" s="1"/>
  <c r="BO183" i="49" s="1"/>
  <c r="U185" i="49"/>
  <c r="AF185" i="49" s="1"/>
  <c r="AS185" i="49" s="1" a="1"/>
  <c r="AS185" i="49" s="1"/>
  <c r="BG185" i="49" s="1"/>
  <c r="V185" i="49"/>
  <c r="AG185" i="49" s="1"/>
  <c r="AT185" i="49" s="1" a="1"/>
  <c r="AT185" i="49" s="1"/>
  <c r="BH185" i="49" s="1"/>
  <c r="W185" i="49"/>
  <c r="AH185" i="49" s="1"/>
  <c r="AU185" i="49" s="1" a="1"/>
  <c r="AU185" i="49" s="1"/>
  <c r="BI185" i="49" s="1"/>
  <c r="X185" i="49"/>
  <c r="AI185" i="49" s="1"/>
  <c r="AV185" i="49" s="1" a="1"/>
  <c r="AV185" i="49" s="1"/>
  <c r="BJ185" i="49" s="1"/>
  <c r="Y185" i="49"/>
  <c r="AJ185" i="49" s="1"/>
  <c r="AW185" i="49" s="1" a="1"/>
  <c r="AW185" i="49" s="1"/>
  <c r="BK185" i="49" s="1"/>
  <c r="Z185" i="49"/>
  <c r="AK185" i="49" s="1"/>
  <c r="AX185" i="49" s="1" a="1"/>
  <c r="AX185" i="49" s="1"/>
  <c r="BL185" i="49" s="1"/>
  <c r="AA185" i="49"/>
  <c r="AL185" i="49" s="1"/>
  <c r="AY185" i="49" s="1" a="1"/>
  <c r="AY185" i="49" s="1"/>
  <c r="BM185" i="49" s="1"/>
  <c r="AB185" i="49"/>
  <c r="AM185" i="49" s="1"/>
  <c r="AZ185" i="49" s="1" a="1"/>
  <c r="AZ185" i="49" s="1"/>
  <c r="BN185" i="49" s="1"/>
  <c r="AC185" i="49"/>
  <c r="AN185" i="49" s="1"/>
  <c r="BA185" i="49" s="1" a="1"/>
  <c r="BA185" i="49" s="1"/>
  <c r="BO185" i="49" s="1"/>
  <c r="U186" i="49"/>
  <c r="AF186" i="49" s="1"/>
  <c r="AS186" i="49" s="1" a="1"/>
  <c r="AS186" i="49" s="1"/>
  <c r="BG186" i="49" s="1"/>
  <c r="V186" i="49"/>
  <c r="AG186" i="49" s="1"/>
  <c r="AT186" i="49" s="1" a="1"/>
  <c r="AT186" i="49" s="1"/>
  <c r="BH186" i="49" s="1"/>
  <c r="W186" i="49"/>
  <c r="AH186" i="49" s="1"/>
  <c r="AU186" i="49" s="1" a="1"/>
  <c r="AU186" i="49" s="1"/>
  <c r="BI186" i="49" s="1"/>
  <c r="X186" i="49"/>
  <c r="AI186" i="49" s="1"/>
  <c r="AV186" i="49" s="1" a="1"/>
  <c r="AV186" i="49" s="1"/>
  <c r="BJ186" i="49" s="1"/>
  <c r="Y186" i="49"/>
  <c r="AJ186" i="49" s="1"/>
  <c r="AW186" i="49" s="1" a="1"/>
  <c r="AW186" i="49" s="1"/>
  <c r="BK186" i="49" s="1"/>
  <c r="Z186" i="49"/>
  <c r="AK186" i="49" s="1"/>
  <c r="AX186" i="49" s="1" a="1"/>
  <c r="AX186" i="49" s="1"/>
  <c r="BL186" i="49" s="1"/>
  <c r="AA186" i="49"/>
  <c r="AL186" i="49" s="1"/>
  <c r="AY186" i="49" s="1" a="1"/>
  <c r="AY186" i="49" s="1"/>
  <c r="BM186" i="49" s="1"/>
  <c r="AB186" i="49"/>
  <c r="AM186" i="49" s="1"/>
  <c r="AZ186" i="49" s="1" a="1"/>
  <c r="AZ186" i="49" s="1"/>
  <c r="BN186" i="49" s="1"/>
  <c r="AC186" i="49"/>
  <c r="AN186" i="49" s="1"/>
  <c r="BA186" i="49" s="1" a="1"/>
  <c r="BA186" i="49" s="1"/>
  <c r="BO186" i="49" s="1"/>
  <c r="U187" i="49"/>
  <c r="AF187" i="49" s="1"/>
  <c r="AS187" i="49" s="1" a="1"/>
  <c r="AS187" i="49" s="1"/>
  <c r="V187" i="49"/>
  <c r="AG187" i="49" s="1"/>
  <c r="AT187" i="49" s="1" a="1"/>
  <c r="AT187" i="49" s="1"/>
  <c r="BH187" i="49" s="1"/>
  <c r="W187" i="49"/>
  <c r="AH187" i="49" s="1"/>
  <c r="AU187" i="49" s="1" a="1"/>
  <c r="AU187" i="49" s="1"/>
  <c r="BI187" i="49" s="1"/>
  <c r="X187" i="49"/>
  <c r="AI187" i="49" s="1"/>
  <c r="AV187" i="49" s="1" a="1"/>
  <c r="AV187" i="49" s="1"/>
  <c r="BJ187" i="49" s="1"/>
  <c r="Y187" i="49"/>
  <c r="AJ187" i="49" s="1"/>
  <c r="AW187" i="49" s="1" a="1"/>
  <c r="AW187" i="49" s="1"/>
  <c r="Z187" i="49"/>
  <c r="AK187" i="49" s="1"/>
  <c r="AX187" i="49" s="1" a="1"/>
  <c r="AX187" i="49" s="1"/>
  <c r="AA187" i="49"/>
  <c r="AL187" i="49" s="1"/>
  <c r="AY187" i="49" s="1" a="1"/>
  <c r="AY187" i="49" s="1"/>
  <c r="AB187" i="49"/>
  <c r="AM187" i="49" s="1"/>
  <c r="AZ187" i="49" s="1" a="1"/>
  <c r="AZ187" i="49" s="1"/>
  <c r="BN187" i="49" s="1"/>
  <c r="AC187" i="49"/>
  <c r="AN187" i="49" s="1"/>
  <c r="BA187" i="49" s="1" a="1"/>
  <c r="BA187" i="49" s="1"/>
  <c r="U188" i="49"/>
  <c r="AF188" i="49" s="1"/>
  <c r="AS188" i="49" s="1" a="1"/>
  <c r="AS188" i="49" s="1"/>
  <c r="BG188" i="49" s="1"/>
  <c r="V188" i="49"/>
  <c r="AG188" i="49" s="1"/>
  <c r="AT188" i="49" s="1" a="1"/>
  <c r="AT188" i="49" s="1"/>
  <c r="BH188" i="49" s="1"/>
  <c r="W188" i="49"/>
  <c r="AH188" i="49" s="1"/>
  <c r="AU188" i="49" s="1" a="1"/>
  <c r="AU188" i="49" s="1"/>
  <c r="BI188" i="49" s="1"/>
  <c r="X188" i="49"/>
  <c r="AI188" i="49" s="1"/>
  <c r="AV188" i="49" s="1" a="1"/>
  <c r="AV188" i="49" s="1"/>
  <c r="BJ188" i="49" s="1"/>
  <c r="Y188" i="49"/>
  <c r="AJ188" i="49" s="1"/>
  <c r="AW188" i="49" s="1" a="1"/>
  <c r="AW188" i="49" s="1"/>
  <c r="BK188" i="49" s="1"/>
  <c r="Z188" i="49"/>
  <c r="AK188" i="49" s="1"/>
  <c r="AX188" i="49" s="1" a="1"/>
  <c r="AX188" i="49" s="1"/>
  <c r="BL188" i="49" s="1"/>
  <c r="AA188" i="49"/>
  <c r="AL188" i="49" s="1"/>
  <c r="AY188" i="49" s="1" a="1"/>
  <c r="AY188" i="49" s="1"/>
  <c r="BM188" i="49" s="1"/>
  <c r="AB188" i="49"/>
  <c r="AM188" i="49" s="1"/>
  <c r="AZ188" i="49" s="1" a="1"/>
  <c r="AZ188" i="49" s="1"/>
  <c r="BN188" i="49" s="1"/>
  <c r="AC188" i="49"/>
  <c r="AN188" i="49" s="1"/>
  <c r="BA188" i="49" s="1" a="1"/>
  <c r="BA188" i="49" s="1"/>
  <c r="BO188" i="49" s="1"/>
  <c r="U189" i="49"/>
  <c r="AF189" i="49" s="1"/>
  <c r="AS189" i="49" s="1" a="1"/>
  <c r="AS189" i="49" s="1"/>
  <c r="BG189" i="49" s="1"/>
  <c r="V189" i="49"/>
  <c r="AG189" i="49" s="1"/>
  <c r="AT189" i="49" s="1" a="1"/>
  <c r="AT189" i="49" s="1"/>
  <c r="BH189" i="49" s="1"/>
  <c r="W189" i="49"/>
  <c r="AH189" i="49" s="1"/>
  <c r="AU189" i="49" s="1" a="1"/>
  <c r="AU189" i="49" s="1"/>
  <c r="BI189" i="49" s="1"/>
  <c r="X189" i="49"/>
  <c r="AI189" i="49" s="1"/>
  <c r="AV189" i="49" s="1" a="1"/>
  <c r="AV189" i="49" s="1"/>
  <c r="BJ189" i="49" s="1"/>
  <c r="Y189" i="49"/>
  <c r="AJ189" i="49" s="1"/>
  <c r="AW189" i="49" s="1" a="1"/>
  <c r="AW189" i="49" s="1"/>
  <c r="BK189" i="49" s="1"/>
  <c r="Z189" i="49"/>
  <c r="AK189" i="49" s="1"/>
  <c r="AX189" i="49" s="1" a="1"/>
  <c r="AX189" i="49" s="1"/>
  <c r="BL189" i="49" s="1"/>
  <c r="AA189" i="49"/>
  <c r="AL189" i="49" s="1"/>
  <c r="AY189" i="49" s="1" a="1"/>
  <c r="AY189" i="49" s="1"/>
  <c r="BM189" i="49" s="1"/>
  <c r="AB189" i="49"/>
  <c r="AM189" i="49" s="1"/>
  <c r="AZ189" i="49" s="1" a="1"/>
  <c r="AZ189" i="49" s="1"/>
  <c r="BN189" i="49" s="1"/>
  <c r="AC189" i="49"/>
  <c r="AN189" i="49" s="1"/>
  <c r="BA189" i="49" s="1" a="1"/>
  <c r="BA189" i="49" s="1"/>
  <c r="BO189" i="49" s="1"/>
  <c r="U190" i="49"/>
  <c r="AF190" i="49" s="1"/>
  <c r="AS190" i="49" s="1" a="1"/>
  <c r="AS190" i="49" s="1"/>
  <c r="V190" i="49"/>
  <c r="AG190" i="49" s="1"/>
  <c r="AT190" i="49" s="1" a="1"/>
  <c r="AT190" i="49" s="1"/>
  <c r="W190" i="49"/>
  <c r="AH190" i="49" s="1"/>
  <c r="AU190" i="49" s="1" a="1"/>
  <c r="AU190" i="49" s="1"/>
  <c r="X190" i="49"/>
  <c r="AI190" i="49" s="1"/>
  <c r="AV190" i="49" s="1" a="1"/>
  <c r="AV190" i="49" s="1"/>
  <c r="Y190" i="49"/>
  <c r="AJ190" i="49" s="1"/>
  <c r="AW190" i="49" s="1" a="1"/>
  <c r="AW190" i="49" s="1"/>
  <c r="Z190" i="49"/>
  <c r="AK190" i="49" s="1"/>
  <c r="AX190" i="49" s="1" a="1"/>
  <c r="AX190" i="49" s="1"/>
  <c r="AA190" i="49"/>
  <c r="AL190" i="49" s="1"/>
  <c r="AY190" i="49" s="1" a="1"/>
  <c r="AY190" i="49" s="1"/>
  <c r="AB190" i="49"/>
  <c r="AM190" i="49" s="1"/>
  <c r="AZ190" i="49" s="1" a="1"/>
  <c r="AZ190" i="49" s="1"/>
  <c r="AC190" i="49"/>
  <c r="AN190" i="49" s="1"/>
  <c r="BA190" i="49" s="1" a="1"/>
  <c r="BA190" i="49" s="1"/>
  <c r="U192" i="49"/>
  <c r="AF192" i="49" s="1"/>
  <c r="AS192" i="49" s="1" a="1"/>
  <c r="AS192" i="49" s="1"/>
  <c r="V192" i="49"/>
  <c r="AG192" i="49" s="1"/>
  <c r="AT192" i="49" s="1" a="1"/>
  <c r="AT192" i="49" s="1"/>
  <c r="BH192" i="49" s="1"/>
  <c r="W192" i="49"/>
  <c r="AH192" i="49" s="1"/>
  <c r="AU192" i="49" s="1" a="1"/>
  <c r="AU192" i="49" s="1"/>
  <c r="X192" i="49"/>
  <c r="AI192" i="49" s="1"/>
  <c r="AV192" i="49" s="1" a="1"/>
  <c r="AV192" i="49" s="1"/>
  <c r="Y192" i="49"/>
  <c r="AJ192" i="49" s="1"/>
  <c r="AW192" i="49" s="1" a="1"/>
  <c r="AW192" i="49" s="1"/>
  <c r="Z192" i="49"/>
  <c r="AK192" i="49" s="1"/>
  <c r="AX192" i="49" s="1" a="1"/>
  <c r="AX192" i="49" s="1"/>
  <c r="AA192" i="49"/>
  <c r="AL192" i="49" s="1"/>
  <c r="AY192" i="49" s="1" a="1"/>
  <c r="AY192" i="49" s="1"/>
  <c r="AB192" i="49"/>
  <c r="AM192" i="49" s="1"/>
  <c r="AZ192" i="49" s="1" a="1"/>
  <c r="AZ192" i="49" s="1"/>
  <c r="AC192" i="49"/>
  <c r="AN192" i="49" s="1"/>
  <c r="BA192" i="49" s="1" a="1"/>
  <c r="BA192" i="49" s="1"/>
  <c r="U193" i="49"/>
  <c r="AF193" i="49" s="1"/>
  <c r="AS193" i="49" s="1" a="1"/>
  <c r="AS193" i="49" s="1"/>
  <c r="BG193" i="49" s="1"/>
  <c r="V193" i="49"/>
  <c r="AG193" i="49" s="1"/>
  <c r="AT193" i="49" s="1" a="1"/>
  <c r="AT193" i="49" s="1"/>
  <c r="BH193" i="49" s="1"/>
  <c r="W193" i="49"/>
  <c r="AH193" i="49" s="1"/>
  <c r="AU193" i="49" s="1" a="1"/>
  <c r="AU193" i="49" s="1"/>
  <c r="BI193" i="49" s="1"/>
  <c r="X193" i="49"/>
  <c r="AI193" i="49" s="1"/>
  <c r="AV193" i="49" s="1" a="1"/>
  <c r="AV193" i="49" s="1"/>
  <c r="BJ193" i="49" s="1"/>
  <c r="Y193" i="49"/>
  <c r="AJ193" i="49" s="1"/>
  <c r="AW193" i="49" s="1" a="1"/>
  <c r="AW193" i="49" s="1"/>
  <c r="BK193" i="49" s="1"/>
  <c r="Z193" i="49"/>
  <c r="AK193" i="49" s="1"/>
  <c r="AX193" i="49" s="1" a="1"/>
  <c r="AX193" i="49" s="1"/>
  <c r="BL193" i="49" s="1"/>
  <c r="AA193" i="49"/>
  <c r="AL193" i="49" s="1"/>
  <c r="AY193" i="49" s="1" a="1"/>
  <c r="AY193" i="49" s="1"/>
  <c r="BM193" i="49" s="1"/>
  <c r="AB193" i="49"/>
  <c r="AM193" i="49" s="1"/>
  <c r="AZ193" i="49" s="1" a="1"/>
  <c r="AZ193" i="49" s="1"/>
  <c r="BN193" i="49" s="1"/>
  <c r="AC193" i="49"/>
  <c r="AN193" i="49" s="1"/>
  <c r="BA193" i="49" s="1" a="1"/>
  <c r="BA193" i="49" s="1"/>
  <c r="BO193" i="49" s="1"/>
  <c r="U194" i="49"/>
  <c r="AF194" i="49" s="1"/>
  <c r="AS194" i="49" s="1" a="1"/>
  <c r="AS194" i="49" s="1"/>
  <c r="BG194" i="49" s="1"/>
  <c r="V194" i="49"/>
  <c r="AG194" i="49" s="1"/>
  <c r="AT194" i="49" s="1" a="1"/>
  <c r="AT194" i="49" s="1"/>
  <c r="BH194" i="49" s="1"/>
  <c r="W194" i="49"/>
  <c r="AH194" i="49" s="1"/>
  <c r="AU194" i="49" s="1" a="1"/>
  <c r="AU194" i="49" s="1"/>
  <c r="BI194" i="49" s="1"/>
  <c r="X194" i="49"/>
  <c r="AI194" i="49" s="1"/>
  <c r="AV194" i="49" s="1" a="1"/>
  <c r="AV194" i="49" s="1"/>
  <c r="BJ194" i="49" s="1"/>
  <c r="Y194" i="49"/>
  <c r="AJ194" i="49" s="1"/>
  <c r="AW194" i="49" s="1" a="1"/>
  <c r="AW194" i="49" s="1"/>
  <c r="BK194" i="49" s="1"/>
  <c r="Z194" i="49"/>
  <c r="AK194" i="49" s="1"/>
  <c r="AX194" i="49" s="1" a="1"/>
  <c r="AX194" i="49" s="1"/>
  <c r="BL194" i="49" s="1"/>
  <c r="AA194" i="49"/>
  <c r="AL194" i="49" s="1"/>
  <c r="AY194" i="49" s="1" a="1"/>
  <c r="AY194" i="49" s="1"/>
  <c r="BM194" i="49" s="1"/>
  <c r="AB194" i="49"/>
  <c r="AM194" i="49" s="1"/>
  <c r="AZ194" i="49" s="1" a="1"/>
  <c r="AZ194" i="49" s="1"/>
  <c r="BN194" i="49" s="1"/>
  <c r="AC194" i="49"/>
  <c r="AN194" i="49" s="1"/>
  <c r="BA194" i="49" s="1" a="1"/>
  <c r="BA194" i="49" s="1"/>
  <c r="BO194" i="49" s="1"/>
  <c r="U195" i="49"/>
  <c r="AF195" i="49" s="1"/>
  <c r="AS195" i="49" s="1" a="1"/>
  <c r="AS195" i="49" s="1"/>
  <c r="V195" i="49"/>
  <c r="AG195" i="49" s="1"/>
  <c r="AT195" i="49" s="1" a="1"/>
  <c r="AT195" i="49" s="1"/>
  <c r="W195" i="49"/>
  <c r="AH195" i="49" s="1"/>
  <c r="AU195" i="49" s="1" a="1"/>
  <c r="AU195" i="49" s="1"/>
  <c r="X195" i="49"/>
  <c r="AI195" i="49" s="1"/>
  <c r="AV195" i="49" s="1" a="1"/>
  <c r="AV195" i="49" s="1"/>
  <c r="Y195" i="49"/>
  <c r="AJ195" i="49" s="1"/>
  <c r="AW195" i="49" s="1" a="1"/>
  <c r="AW195" i="49" s="1"/>
  <c r="Z195" i="49"/>
  <c r="AK195" i="49" s="1"/>
  <c r="AX195" i="49" s="1" a="1"/>
  <c r="AX195" i="49" s="1"/>
  <c r="AA195" i="49"/>
  <c r="AL195" i="49" s="1"/>
  <c r="AY195" i="49" s="1" a="1"/>
  <c r="AY195" i="49" s="1"/>
  <c r="AB195" i="49"/>
  <c r="AM195" i="49" s="1"/>
  <c r="AZ195" i="49" s="1" a="1"/>
  <c r="AZ195" i="49" s="1"/>
  <c r="AC195" i="49"/>
  <c r="AN195" i="49" s="1"/>
  <c r="BA195" i="49" s="1" a="1"/>
  <c r="BA195" i="49" s="1"/>
  <c r="U199" i="49"/>
  <c r="AF199" i="49" s="1"/>
  <c r="AS199" i="49" s="1" a="1"/>
  <c r="AS199" i="49" s="1"/>
  <c r="BG199" i="49" s="1"/>
  <c r="V199" i="49"/>
  <c r="AG199" i="49" s="1"/>
  <c r="AT199" i="49" s="1" a="1"/>
  <c r="AT199" i="49" s="1"/>
  <c r="BH199" i="49" s="1"/>
  <c r="W199" i="49"/>
  <c r="AH199" i="49" s="1"/>
  <c r="AU199" i="49" s="1" a="1"/>
  <c r="AU199" i="49" s="1"/>
  <c r="BI199" i="49" s="1"/>
  <c r="X199" i="49"/>
  <c r="AI199" i="49" s="1"/>
  <c r="AV199" i="49" s="1" a="1"/>
  <c r="AV199" i="49" s="1"/>
  <c r="BJ199" i="49" s="1"/>
  <c r="Y199" i="49"/>
  <c r="AJ199" i="49" s="1"/>
  <c r="AW199" i="49" s="1" a="1"/>
  <c r="AW199" i="49" s="1"/>
  <c r="BK199" i="49" s="1"/>
  <c r="Z199" i="49"/>
  <c r="AK199" i="49" s="1"/>
  <c r="AX199" i="49" s="1" a="1"/>
  <c r="AX199" i="49" s="1"/>
  <c r="BL199" i="49" s="1"/>
  <c r="AA199" i="49"/>
  <c r="AL199" i="49" s="1"/>
  <c r="AY199" i="49" s="1" a="1"/>
  <c r="AY199" i="49" s="1"/>
  <c r="BM199" i="49" s="1"/>
  <c r="AB199" i="49"/>
  <c r="AM199" i="49" s="1"/>
  <c r="AZ199" i="49" s="1" a="1"/>
  <c r="AZ199" i="49" s="1"/>
  <c r="BN199" i="49" s="1"/>
  <c r="AC199" i="49"/>
  <c r="AN199" i="49" s="1"/>
  <c r="BA199" i="49" s="1" a="1"/>
  <c r="BA199" i="49" s="1"/>
  <c r="BO199" i="49" s="1"/>
  <c r="U200" i="49"/>
  <c r="AF200" i="49" s="1"/>
  <c r="AS200" i="49" s="1" a="1"/>
  <c r="AS200" i="49" s="1"/>
  <c r="BG200" i="49" s="1"/>
  <c r="V200" i="49"/>
  <c r="AG200" i="49" s="1"/>
  <c r="AT200" i="49" s="1" a="1"/>
  <c r="AT200" i="49" s="1"/>
  <c r="BH200" i="49" s="1"/>
  <c r="W200" i="49"/>
  <c r="AH200" i="49" s="1"/>
  <c r="AU200" i="49" s="1" a="1"/>
  <c r="AU200" i="49" s="1"/>
  <c r="X200" i="49"/>
  <c r="AI200" i="49" s="1"/>
  <c r="AV200" i="49" s="1" a="1"/>
  <c r="AV200" i="49" s="1"/>
  <c r="Y200" i="49"/>
  <c r="AJ200" i="49" s="1"/>
  <c r="AW200" i="49" s="1" a="1"/>
  <c r="AW200" i="49" s="1"/>
  <c r="Z200" i="49"/>
  <c r="AK200" i="49" s="1"/>
  <c r="AX200" i="49" s="1" a="1"/>
  <c r="AX200" i="49" s="1"/>
  <c r="BL200" i="49" s="1"/>
  <c r="AA200" i="49"/>
  <c r="AL200" i="49" s="1"/>
  <c r="AY200" i="49" s="1" a="1"/>
  <c r="AY200" i="49" s="1"/>
  <c r="BM200" i="49" s="1"/>
  <c r="AB200" i="49"/>
  <c r="AM200" i="49" s="1"/>
  <c r="AZ200" i="49" s="1" a="1"/>
  <c r="AZ200" i="49" s="1"/>
  <c r="BN200" i="49" s="1"/>
  <c r="AC200" i="49"/>
  <c r="AN200" i="49" s="1"/>
  <c r="BA200" i="49" s="1" a="1"/>
  <c r="BA200" i="49" s="1"/>
  <c r="BO200" i="49" s="1"/>
  <c r="U202" i="49"/>
  <c r="AF202" i="49" s="1"/>
  <c r="AS202" i="49" s="1" a="1"/>
  <c r="AS202" i="49" s="1"/>
  <c r="V202" i="49"/>
  <c r="AG202" i="49" s="1"/>
  <c r="AT202" i="49" s="1" a="1"/>
  <c r="AT202" i="49" s="1"/>
  <c r="W202" i="49"/>
  <c r="AH202" i="49" s="1"/>
  <c r="AU202" i="49" s="1" a="1"/>
  <c r="AU202" i="49" s="1"/>
  <c r="X202" i="49"/>
  <c r="AI202" i="49" s="1"/>
  <c r="AV202" i="49" s="1" a="1"/>
  <c r="AV202" i="49" s="1"/>
  <c r="Y202" i="49"/>
  <c r="AJ202" i="49" s="1"/>
  <c r="AW202" i="49" s="1" a="1"/>
  <c r="AW202" i="49" s="1"/>
  <c r="Z202" i="49"/>
  <c r="AK202" i="49" s="1"/>
  <c r="AX202" i="49" s="1" a="1"/>
  <c r="AX202" i="49" s="1"/>
  <c r="AA202" i="49"/>
  <c r="AL202" i="49" s="1"/>
  <c r="AY202" i="49" s="1" a="1"/>
  <c r="AY202" i="49" s="1"/>
  <c r="AB202" i="49"/>
  <c r="AM202" i="49" s="1"/>
  <c r="AZ202" i="49" s="1" a="1"/>
  <c r="AZ202" i="49" s="1"/>
  <c r="AC202" i="49"/>
  <c r="AN202" i="49" s="1"/>
  <c r="BA202" i="49" s="1" a="1"/>
  <c r="BA202" i="49" s="1"/>
  <c r="U204" i="49"/>
  <c r="AF204" i="49" s="1"/>
  <c r="AS204" i="49" s="1" a="1"/>
  <c r="AS204" i="49" s="1"/>
  <c r="V204" i="49"/>
  <c r="AG204" i="49" s="1"/>
  <c r="AT204" i="49" s="1" a="1"/>
  <c r="AT204" i="49" s="1"/>
  <c r="W204" i="49"/>
  <c r="AH204" i="49" s="1"/>
  <c r="AU204" i="49" s="1" a="1"/>
  <c r="AU204" i="49" s="1"/>
  <c r="X204" i="49"/>
  <c r="AI204" i="49" s="1"/>
  <c r="AV204" i="49" s="1" a="1"/>
  <c r="AV204" i="49" s="1"/>
  <c r="Y204" i="49"/>
  <c r="AJ204" i="49" s="1"/>
  <c r="AW204" i="49" s="1" a="1"/>
  <c r="AW204" i="49" s="1"/>
  <c r="Z204" i="49"/>
  <c r="AK204" i="49" s="1"/>
  <c r="AX204" i="49" s="1" a="1"/>
  <c r="AX204" i="49" s="1"/>
  <c r="AA204" i="49"/>
  <c r="AL204" i="49" s="1"/>
  <c r="AY204" i="49" s="1" a="1"/>
  <c r="AY204" i="49" s="1"/>
  <c r="AB204" i="49"/>
  <c r="AM204" i="49" s="1"/>
  <c r="AZ204" i="49" s="1" a="1"/>
  <c r="AZ204" i="49" s="1"/>
  <c r="AC204" i="49"/>
  <c r="AN204" i="49" s="1"/>
  <c r="BA204" i="49" s="1" a="1"/>
  <c r="BA204" i="49" s="1"/>
  <c r="U205" i="49"/>
  <c r="AF205" i="49" s="1"/>
  <c r="AS205" i="49" s="1" a="1"/>
  <c r="AS205" i="49" s="1"/>
  <c r="BG205" i="49" s="1"/>
  <c r="V205" i="49"/>
  <c r="AG205" i="49" s="1"/>
  <c r="AT205" i="49" s="1" a="1"/>
  <c r="AT205" i="49" s="1"/>
  <c r="BH205" i="49" s="1"/>
  <c r="W205" i="49"/>
  <c r="AH205" i="49" s="1"/>
  <c r="AU205" i="49" s="1" a="1"/>
  <c r="AU205" i="49" s="1"/>
  <c r="BI205" i="49" s="1"/>
  <c r="X205" i="49"/>
  <c r="AI205" i="49" s="1"/>
  <c r="AV205" i="49" s="1" a="1"/>
  <c r="AV205" i="49" s="1"/>
  <c r="BJ205" i="49" s="1"/>
  <c r="Y205" i="49"/>
  <c r="AJ205" i="49" s="1"/>
  <c r="AW205" i="49" s="1" a="1"/>
  <c r="AW205" i="49" s="1"/>
  <c r="BK205" i="49" s="1"/>
  <c r="Z205" i="49"/>
  <c r="AK205" i="49" s="1"/>
  <c r="AX205" i="49" s="1" a="1"/>
  <c r="AX205" i="49" s="1"/>
  <c r="BL205" i="49" s="1"/>
  <c r="AA205" i="49"/>
  <c r="AL205" i="49" s="1"/>
  <c r="AY205" i="49" s="1" a="1"/>
  <c r="AY205" i="49" s="1"/>
  <c r="BM205" i="49" s="1"/>
  <c r="AB205" i="49"/>
  <c r="AM205" i="49" s="1"/>
  <c r="AZ205" i="49" s="1" a="1"/>
  <c r="AZ205" i="49" s="1"/>
  <c r="BN205" i="49" s="1"/>
  <c r="AC205" i="49"/>
  <c r="AN205" i="49" s="1"/>
  <c r="BA205" i="49" s="1" a="1"/>
  <c r="BA205" i="49" s="1"/>
  <c r="BO205" i="49" s="1"/>
  <c r="U206" i="49"/>
  <c r="AF206" i="49" s="1"/>
  <c r="AS206" i="49" s="1" a="1"/>
  <c r="AS206" i="49" s="1"/>
  <c r="BG206" i="49" s="1"/>
  <c r="V206" i="49"/>
  <c r="AG206" i="49" s="1"/>
  <c r="AT206" i="49" s="1" a="1"/>
  <c r="AT206" i="49" s="1"/>
  <c r="BH206" i="49" s="1"/>
  <c r="W206" i="49"/>
  <c r="AH206" i="49" s="1"/>
  <c r="AU206" i="49" s="1" a="1"/>
  <c r="AU206" i="49" s="1"/>
  <c r="BI206" i="49" s="1"/>
  <c r="X206" i="49"/>
  <c r="AI206" i="49" s="1"/>
  <c r="AV206" i="49" s="1" a="1"/>
  <c r="AV206" i="49" s="1"/>
  <c r="BJ206" i="49" s="1"/>
  <c r="Y206" i="49"/>
  <c r="AJ206" i="49" s="1"/>
  <c r="AW206" i="49" s="1" a="1"/>
  <c r="AW206" i="49" s="1"/>
  <c r="BK206" i="49" s="1"/>
  <c r="Z206" i="49"/>
  <c r="AK206" i="49" s="1"/>
  <c r="AX206" i="49" s="1" a="1"/>
  <c r="AX206" i="49" s="1"/>
  <c r="BL206" i="49" s="1"/>
  <c r="AA206" i="49"/>
  <c r="AL206" i="49" s="1"/>
  <c r="AY206" i="49" s="1" a="1"/>
  <c r="AY206" i="49" s="1"/>
  <c r="BM206" i="49" s="1"/>
  <c r="AB206" i="49"/>
  <c r="AM206" i="49" s="1"/>
  <c r="AZ206" i="49" s="1" a="1"/>
  <c r="AZ206" i="49" s="1"/>
  <c r="BN206" i="49" s="1"/>
  <c r="AC206" i="49"/>
  <c r="AN206" i="49" s="1"/>
  <c r="BA206" i="49" s="1" a="1"/>
  <c r="BA206" i="49" s="1"/>
  <c r="BO206" i="49" s="1"/>
  <c r="U207" i="49"/>
  <c r="AF207" i="49" s="1"/>
  <c r="AS207" i="49" s="1" a="1"/>
  <c r="AS207" i="49" s="1"/>
  <c r="V207" i="49"/>
  <c r="AG207" i="49" s="1"/>
  <c r="AT207" i="49" s="1" a="1"/>
  <c r="AT207" i="49" s="1"/>
  <c r="W207" i="49"/>
  <c r="AH207" i="49" s="1"/>
  <c r="AU207" i="49" s="1" a="1"/>
  <c r="AU207" i="49" s="1"/>
  <c r="X207" i="49"/>
  <c r="AI207" i="49" s="1"/>
  <c r="AV207" i="49" s="1" a="1"/>
  <c r="AV207" i="49" s="1"/>
  <c r="Y207" i="49"/>
  <c r="AJ207" i="49" s="1"/>
  <c r="AW207" i="49" s="1" a="1"/>
  <c r="AW207" i="49" s="1"/>
  <c r="Z207" i="49"/>
  <c r="AK207" i="49" s="1"/>
  <c r="AX207" i="49" s="1" a="1"/>
  <c r="AX207" i="49" s="1"/>
  <c r="AA207" i="49"/>
  <c r="AL207" i="49" s="1"/>
  <c r="AY207" i="49" s="1" a="1"/>
  <c r="AY207" i="49" s="1"/>
  <c r="AB207" i="49"/>
  <c r="AM207" i="49" s="1"/>
  <c r="AZ207" i="49" s="1" a="1"/>
  <c r="AZ207" i="49" s="1"/>
  <c r="AC207" i="49"/>
  <c r="AN207" i="49" s="1"/>
  <c r="BA207" i="49" s="1" a="1"/>
  <c r="BA207" i="49" s="1"/>
  <c r="U208" i="49"/>
  <c r="AF208" i="49" s="1"/>
  <c r="AS208" i="49" s="1" a="1"/>
  <c r="AS208" i="49" s="1"/>
  <c r="BG208" i="49" s="1"/>
  <c r="V208" i="49"/>
  <c r="AG208" i="49" s="1"/>
  <c r="AT208" i="49" s="1" a="1"/>
  <c r="AT208" i="49" s="1"/>
  <c r="BH208" i="49" s="1"/>
  <c r="W208" i="49"/>
  <c r="AH208" i="49" s="1"/>
  <c r="AU208" i="49" s="1" a="1"/>
  <c r="AU208" i="49" s="1"/>
  <c r="BI208" i="49" s="1"/>
  <c r="X208" i="49"/>
  <c r="AI208" i="49" s="1"/>
  <c r="AV208" i="49" s="1" a="1"/>
  <c r="AV208" i="49" s="1"/>
  <c r="BJ208" i="49" s="1"/>
  <c r="Y208" i="49"/>
  <c r="AJ208" i="49" s="1"/>
  <c r="AW208" i="49" s="1" a="1"/>
  <c r="AW208" i="49" s="1"/>
  <c r="BK208" i="49" s="1"/>
  <c r="Z208" i="49"/>
  <c r="AK208" i="49" s="1"/>
  <c r="AX208" i="49" s="1" a="1"/>
  <c r="AX208" i="49" s="1"/>
  <c r="BL208" i="49" s="1"/>
  <c r="AA208" i="49"/>
  <c r="AL208" i="49" s="1"/>
  <c r="AY208" i="49" s="1" a="1"/>
  <c r="AY208" i="49" s="1"/>
  <c r="BM208" i="49" s="1"/>
  <c r="AB208" i="49"/>
  <c r="AM208" i="49" s="1"/>
  <c r="AZ208" i="49" s="1" a="1"/>
  <c r="AZ208" i="49" s="1"/>
  <c r="BN208" i="49" s="1"/>
  <c r="AC208" i="49"/>
  <c r="AN208" i="49" s="1"/>
  <c r="BA208" i="49" s="1" a="1"/>
  <c r="BA208" i="49" s="1"/>
  <c r="BO208" i="49" s="1"/>
  <c r="U209" i="49"/>
  <c r="AF209" i="49" s="1"/>
  <c r="AS209" i="49" s="1" a="1"/>
  <c r="AS209" i="49" s="1"/>
  <c r="BG209" i="49" s="1"/>
  <c r="V209" i="49"/>
  <c r="AG209" i="49" s="1"/>
  <c r="AT209" i="49" s="1" a="1"/>
  <c r="AT209" i="49" s="1"/>
  <c r="BH209" i="49" s="1"/>
  <c r="W209" i="49"/>
  <c r="AH209" i="49" s="1"/>
  <c r="AU209" i="49" s="1" a="1"/>
  <c r="AU209" i="49" s="1"/>
  <c r="BI209" i="49" s="1"/>
  <c r="X209" i="49"/>
  <c r="AI209" i="49" s="1"/>
  <c r="AV209" i="49" s="1" a="1"/>
  <c r="AV209" i="49" s="1"/>
  <c r="BJ209" i="49" s="1"/>
  <c r="Y209" i="49"/>
  <c r="AJ209" i="49" s="1"/>
  <c r="AW209" i="49" s="1" a="1"/>
  <c r="AW209" i="49" s="1"/>
  <c r="BK209" i="49" s="1"/>
  <c r="Z209" i="49"/>
  <c r="AK209" i="49" s="1"/>
  <c r="AX209" i="49" s="1" a="1"/>
  <c r="AX209" i="49" s="1"/>
  <c r="BL209" i="49" s="1"/>
  <c r="AA209" i="49"/>
  <c r="AL209" i="49" s="1"/>
  <c r="AY209" i="49" s="1" a="1"/>
  <c r="AY209" i="49" s="1"/>
  <c r="BM209" i="49" s="1"/>
  <c r="AB209" i="49"/>
  <c r="AM209" i="49" s="1"/>
  <c r="AZ209" i="49" s="1" a="1"/>
  <c r="AZ209" i="49" s="1"/>
  <c r="BN209" i="49" s="1"/>
  <c r="AC209" i="49"/>
  <c r="AN209" i="49" s="1"/>
  <c r="BA209" i="49" s="1" a="1"/>
  <c r="BA209" i="49" s="1"/>
  <c r="BO209" i="49" s="1"/>
  <c r="U210" i="49"/>
  <c r="AF210" i="49" s="1"/>
  <c r="AS210" i="49" s="1" a="1"/>
  <c r="AS210" i="49" s="1"/>
  <c r="V210" i="49"/>
  <c r="AG210" i="49" s="1"/>
  <c r="AT210" i="49" s="1" a="1"/>
  <c r="AT210" i="49" s="1"/>
  <c r="W210" i="49"/>
  <c r="AH210" i="49" s="1"/>
  <c r="AU210" i="49" s="1" a="1"/>
  <c r="AU210" i="49" s="1"/>
  <c r="X210" i="49"/>
  <c r="AI210" i="49" s="1"/>
  <c r="AV210" i="49" s="1" a="1"/>
  <c r="AV210" i="49" s="1"/>
  <c r="Y210" i="49"/>
  <c r="AJ210" i="49" s="1"/>
  <c r="AW210" i="49" s="1" a="1"/>
  <c r="AW210" i="49" s="1"/>
  <c r="Z210" i="49"/>
  <c r="AK210" i="49" s="1"/>
  <c r="AX210" i="49" s="1" a="1"/>
  <c r="AX210" i="49" s="1"/>
  <c r="AA210" i="49"/>
  <c r="AL210" i="49" s="1"/>
  <c r="AY210" i="49" s="1" a="1"/>
  <c r="AY210" i="49" s="1"/>
  <c r="AB210" i="49"/>
  <c r="AM210" i="49" s="1"/>
  <c r="AZ210" i="49" s="1" a="1"/>
  <c r="AZ210" i="49" s="1"/>
  <c r="AC210" i="49"/>
  <c r="AN210" i="49" s="1"/>
  <c r="BA210" i="49" s="1" a="1"/>
  <c r="BA210" i="49" s="1"/>
  <c r="U212" i="49"/>
  <c r="AF212" i="49" s="1"/>
  <c r="AS212" i="49" s="1" a="1"/>
  <c r="AS212" i="49" s="1"/>
  <c r="BG212" i="49" s="1"/>
  <c r="V212" i="49"/>
  <c r="AG212" i="49" s="1"/>
  <c r="AT212" i="49" s="1" a="1"/>
  <c r="AT212" i="49" s="1"/>
  <c r="BH212" i="49" s="1"/>
  <c r="W212" i="49"/>
  <c r="AH212" i="49" s="1"/>
  <c r="AU212" i="49" s="1" a="1"/>
  <c r="AU212" i="49" s="1"/>
  <c r="X212" i="49"/>
  <c r="AI212" i="49" s="1"/>
  <c r="AV212" i="49" s="1" a="1"/>
  <c r="AV212" i="49" s="1"/>
  <c r="Y212" i="49"/>
  <c r="AJ212" i="49" s="1"/>
  <c r="AW212" i="49" s="1" a="1"/>
  <c r="AW212" i="49" s="1"/>
  <c r="BK212" i="49" s="1"/>
  <c r="Z212" i="49"/>
  <c r="AK212" i="49" s="1"/>
  <c r="AX212" i="49" s="1" a="1"/>
  <c r="AX212" i="49" s="1"/>
  <c r="AA212" i="49"/>
  <c r="AL212" i="49" s="1"/>
  <c r="AY212" i="49" s="1" a="1"/>
  <c r="AY212" i="49" s="1"/>
  <c r="AB212" i="49"/>
  <c r="AM212" i="49" s="1"/>
  <c r="AZ212" i="49" s="1" a="1"/>
  <c r="AZ212" i="49" s="1"/>
  <c r="AC212" i="49"/>
  <c r="AN212" i="49" s="1"/>
  <c r="BA212" i="49" s="1" a="1"/>
  <c r="BA212" i="49" s="1"/>
  <c r="BO212" i="49" s="1"/>
  <c r="U213" i="49"/>
  <c r="AF213" i="49" s="1"/>
  <c r="AS213" i="49" s="1" a="1"/>
  <c r="AS213" i="49" s="1"/>
  <c r="BG213" i="49" s="1"/>
  <c r="V213" i="49"/>
  <c r="AG213" i="49" s="1"/>
  <c r="AT213" i="49" s="1" a="1"/>
  <c r="AT213" i="49" s="1"/>
  <c r="BH213" i="49" s="1"/>
  <c r="W213" i="49"/>
  <c r="AH213" i="49" s="1"/>
  <c r="AU213" i="49" s="1" a="1"/>
  <c r="AU213" i="49" s="1"/>
  <c r="BI213" i="49" s="1"/>
  <c r="X213" i="49"/>
  <c r="AI213" i="49" s="1"/>
  <c r="AV213" i="49" s="1" a="1"/>
  <c r="AV213" i="49" s="1"/>
  <c r="BJ213" i="49" s="1"/>
  <c r="Y213" i="49"/>
  <c r="AJ213" i="49" s="1"/>
  <c r="AW213" i="49" s="1" a="1"/>
  <c r="AW213" i="49" s="1"/>
  <c r="BK213" i="49" s="1"/>
  <c r="Z213" i="49"/>
  <c r="AK213" i="49" s="1"/>
  <c r="AX213" i="49" s="1" a="1"/>
  <c r="AX213" i="49" s="1"/>
  <c r="BL213" i="49" s="1"/>
  <c r="AA213" i="49"/>
  <c r="AL213" i="49" s="1"/>
  <c r="AY213" i="49" s="1" a="1"/>
  <c r="AY213" i="49" s="1"/>
  <c r="BM213" i="49" s="1"/>
  <c r="AB213" i="49"/>
  <c r="AM213" i="49" s="1"/>
  <c r="AZ213" i="49" s="1" a="1"/>
  <c r="AZ213" i="49" s="1"/>
  <c r="BN213" i="49" s="1"/>
  <c r="AC213" i="49"/>
  <c r="AN213" i="49" s="1"/>
  <c r="BA213" i="49" s="1" a="1"/>
  <c r="BA213" i="49" s="1"/>
  <c r="U215" i="49"/>
  <c r="AF215" i="49" s="1"/>
  <c r="AS215" i="49" s="1" a="1"/>
  <c r="AS215" i="49" s="1"/>
  <c r="BG215" i="49" s="1"/>
  <c r="V215" i="49"/>
  <c r="AG215" i="49" s="1"/>
  <c r="AT215" i="49" s="1" a="1"/>
  <c r="AT215" i="49" s="1"/>
  <c r="BH215" i="49" s="1"/>
  <c r="W215" i="49"/>
  <c r="AH215" i="49" s="1"/>
  <c r="AU215" i="49" s="1" a="1"/>
  <c r="AU215" i="49" s="1"/>
  <c r="BI215" i="49" s="1"/>
  <c r="X215" i="49"/>
  <c r="AI215" i="49" s="1"/>
  <c r="AV215" i="49" s="1" a="1"/>
  <c r="AV215" i="49" s="1"/>
  <c r="BJ215" i="49" s="1"/>
  <c r="Y215" i="49"/>
  <c r="AJ215" i="49" s="1"/>
  <c r="AW215" i="49" s="1" a="1"/>
  <c r="AW215" i="49" s="1"/>
  <c r="BK215" i="49" s="1"/>
  <c r="Z215" i="49"/>
  <c r="AK215" i="49" s="1"/>
  <c r="AX215" i="49" s="1" a="1"/>
  <c r="AX215" i="49" s="1"/>
  <c r="BL215" i="49" s="1"/>
  <c r="AA215" i="49"/>
  <c r="AL215" i="49" s="1"/>
  <c r="AY215" i="49" s="1" a="1"/>
  <c r="AY215" i="49" s="1"/>
  <c r="BM215" i="49" s="1"/>
  <c r="AB215" i="49"/>
  <c r="AM215" i="49" s="1"/>
  <c r="AZ215" i="49" s="1" a="1"/>
  <c r="AZ215" i="49" s="1"/>
  <c r="BN215" i="49" s="1"/>
  <c r="AC215" i="49"/>
  <c r="AN215" i="49" s="1"/>
  <c r="BA215" i="49" s="1" a="1"/>
  <c r="BA215" i="49" s="1"/>
  <c r="BO215" i="49" s="1"/>
  <c r="U216" i="49"/>
  <c r="AF216" i="49" s="1"/>
  <c r="AS216" i="49" s="1" a="1"/>
  <c r="AS216" i="49" s="1"/>
  <c r="V216" i="49"/>
  <c r="AG216" i="49" s="1"/>
  <c r="AT216" i="49" s="1" a="1"/>
  <c r="AT216" i="49" s="1"/>
  <c r="W216" i="49"/>
  <c r="AH216" i="49" s="1"/>
  <c r="AU216" i="49" s="1" a="1"/>
  <c r="AU216" i="49" s="1"/>
  <c r="X216" i="49"/>
  <c r="AI216" i="49" s="1"/>
  <c r="AV216" i="49" s="1" a="1"/>
  <c r="AV216" i="49" s="1"/>
  <c r="BJ216" i="49" s="1"/>
  <c r="Y216" i="49"/>
  <c r="AJ216" i="49" s="1"/>
  <c r="AW216" i="49" s="1" a="1"/>
  <c r="AW216" i="49" s="1"/>
  <c r="BK216" i="49" s="1"/>
  <c r="Z216" i="49"/>
  <c r="AK216" i="49" s="1"/>
  <c r="AX216" i="49" s="1" a="1"/>
  <c r="AX216" i="49" s="1"/>
  <c r="AA216" i="49"/>
  <c r="AL216" i="49" s="1"/>
  <c r="AY216" i="49" s="1" a="1"/>
  <c r="AY216" i="49" s="1"/>
  <c r="AB216" i="49"/>
  <c r="AM216" i="49" s="1"/>
  <c r="AZ216" i="49" s="1" a="1"/>
  <c r="AZ216" i="49" s="1"/>
  <c r="AC216" i="49"/>
  <c r="AN216" i="49" s="1"/>
  <c r="BA216" i="49" s="1" a="1"/>
  <c r="BA216" i="49" s="1"/>
  <c r="U217" i="49"/>
  <c r="AF217" i="49" s="1"/>
  <c r="AS217" i="49" s="1" a="1"/>
  <c r="AS217" i="49" s="1"/>
  <c r="V217" i="49"/>
  <c r="AG217" i="49" s="1"/>
  <c r="AT217" i="49" s="1" a="1"/>
  <c r="AT217" i="49" s="1"/>
  <c r="W217" i="49"/>
  <c r="AH217" i="49" s="1"/>
  <c r="AU217" i="49" s="1" a="1"/>
  <c r="AU217" i="49" s="1"/>
  <c r="X217" i="49"/>
  <c r="AI217" i="49" s="1"/>
  <c r="AV217" i="49" s="1" a="1"/>
  <c r="AV217" i="49" s="1"/>
  <c r="Y217" i="49"/>
  <c r="AJ217" i="49" s="1"/>
  <c r="AW217" i="49" s="1" a="1"/>
  <c r="AW217" i="49" s="1"/>
  <c r="Z217" i="49"/>
  <c r="AK217" i="49" s="1"/>
  <c r="AX217" i="49" s="1" a="1"/>
  <c r="AX217" i="49" s="1"/>
  <c r="AA217" i="49"/>
  <c r="AL217" i="49" s="1"/>
  <c r="AY217" i="49" s="1" a="1"/>
  <c r="AY217" i="49" s="1"/>
  <c r="AB217" i="49"/>
  <c r="AM217" i="49" s="1"/>
  <c r="AZ217" i="49" s="1" a="1"/>
  <c r="AZ217" i="49" s="1"/>
  <c r="AC217" i="49"/>
  <c r="AN217" i="49" s="1"/>
  <c r="BA217" i="49" s="1" a="1"/>
  <c r="BA217" i="49" s="1"/>
  <c r="U218" i="49"/>
  <c r="AF218" i="49" s="1"/>
  <c r="AS218" i="49" s="1" a="1"/>
  <c r="AS218" i="49" s="1"/>
  <c r="BG218" i="49" s="1"/>
  <c r="V218" i="49"/>
  <c r="AG218" i="49" s="1"/>
  <c r="AT218" i="49" s="1" a="1"/>
  <c r="AT218" i="49" s="1"/>
  <c r="BH218" i="49" s="1"/>
  <c r="W218" i="49"/>
  <c r="AH218" i="49" s="1"/>
  <c r="AU218" i="49" s="1" a="1"/>
  <c r="AU218" i="49" s="1"/>
  <c r="BI218" i="49" s="1"/>
  <c r="X218" i="49"/>
  <c r="AI218" i="49" s="1"/>
  <c r="AV218" i="49" s="1" a="1"/>
  <c r="AV218" i="49" s="1"/>
  <c r="BJ218" i="49" s="1"/>
  <c r="Y218" i="49"/>
  <c r="AJ218" i="49" s="1"/>
  <c r="AW218" i="49" s="1" a="1"/>
  <c r="AW218" i="49" s="1"/>
  <c r="BK218" i="49" s="1"/>
  <c r="Z218" i="49"/>
  <c r="AK218" i="49" s="1"/>
  <c r="AX218" i="49" s="1" a="1"/>
  <c r="AX218" i="49" s="1"/>
  <c r="BL218" i="49" s="1"/>
  <c r="AA218" i="49"/>
  <c r="AL218" i="49" s="1"/>
  <c r="AY218" i="49" s="1" a="1"/>
  <c r="AY218" i="49" s="1"/>
  <c r="BM218" i="49" s="1"/>
  <c r="AB218" i="49"/>
  <c r="AM218" i="49" s="1"/>
  <c r="AZ218" i="49" s="1" a="1"/>
  <c r="AZ218" i="49" s="1"/>
  <c r="BN218" i="49" s="1"/>
  <c r="AC218" i="49"/>
  <c r="AN218" i="49" s="1"/>
  <c r="BA218" i="49" s="1" a="1"/>
  <c r="BA218" i="49" s="1"/>
  <c r="BO218" i="49" s="1"/>
  <c r="U219" i="49"/>
  <c r="AF219" i="49" s="1"/>
  <c r="AS219" i="49" s="1" a="1"/>
  <c r="AS219" i="49" s="1"/>
  <c r="BG219" i="49" s="1"/>
  <c r="V219" i="49"/>
  <c r="AG219" i="49" s="1"/>
  <c r="AT219" i="49" s="1" a="1"/>
  <c r="AT219" i="49" s="1"/>
  <c r="BH219" i="49" s="1"/>
  <c r="W219" i="49"/>
  <c r="AH219" i="49" s="1"/>
  <c r="AU219" i="49" s="1" a="1"/>
  <c r="AU219" i="49" s="1"/>
  <c r="BI219" i="49" s="1"/>
  <c r="X219" i="49"/>
  <c r="AI219" i="49" s="1"/>
  <c r="AV219" i="49" s="1" a="1"/>
  <c r="AV219" i="49" s="1"/>
  <c r="BJ219" i="49" s="1"/>
  <c r="Y219" i="49"/>
  <c r="AJ219" i="49" s="1"/>
  <c r="AW219" i="49" s="1" a="1"/>
  <c r="AW219" i="49" s="1"/>
  <c r="BK219" i="49" s="1"/>
  <c r="Z219" i="49"/>
  <c r="AK219" i="49" s="1"/>
  <c r="AX219" i="49" s="1" a="1"/>
  <c r="AX219" i="49" s="1"/>
  <c r="BL219" i="49" s="1"/>
  <c r="AA219" i="49"/>
  <c r="AL219" i="49" s="1"/>
  <c r="AY219" i="49" s="1" a="1"/>
  <c r="AY219" i="49" s="1"/>
  <c r="BM219" i="49" s="1"/>
  <c r="AB219" i="49"/>
  <c r="AM219" i="49" s="1"/>
  <c r="AZ219" i="49" s="1" a="1"/>
  <c r="AZ219" i="49" s="1"/>
  <c r="BN219" i="49" s="1"/>
  <c r="AC219" i="49"/>
  <c r="AN219" i="49" s="1"/>
  <c r="BA219" i="49" s="1" a="1"/>
  <c r="BA219" i="49" s="1"/>
  <c r="BO219" i="49" s="1"/>
  <c r="U220" i="49"/>
  <c r="AF220" i="49" s="1"/>
  <c r="AS220" i="49" s="1" a="1"/>
  <c r="AS220" i="49" s="1"/>
  <c r="BG220" i="49" s="1"/>
  <c r="V220" i="49"/>
  <c r="AG220" i="49" s="1"/>
  <c r="AT220" i="49" s="1" a="1"/>
  <c r="AT220" i="49" s="1"/>
  <c r="BH220" i="49" s="1"/>
  <c r="W220" i="49"/>
  <c r="AH220" i="49" s="1"/>
  <c r="AU220" i="49" s="1" a="1"/>
  <c r="AU220" i="49" s="1"/>
  <c r="BI220" i="49" s="1"/>
  <c r="X220" i="49"/>
  <c r="AI220" i="49" s="1"/>
  <c r="AV220" i="49" s="1" a="1"/>
  <c r="AV220" i="49" s="1"/>
  <c r="BJ220" i="49" s="1"/>
  <c r="Y220" i="49"/>
  <c r="AJ220" i="49" s="1"/>
  <c r="AW220" i="49" s="1" a="1"/>
  <c r="AW220" i="49" s="1"/>
  <c r="BK220" i="49" s="1"/>
  <c r="Z220" i="49"/>
  <c r="AK220" i="49" s="1"/>
  <c r="AX220" i="49" s="1" a="1"/>
  <c r="AX220" i="49" s="1"/>
  <c r="BL220" i="49" s="1"/>
  <c r="AA220" i="49"/>
  <c r="AL220" i="49" s="1"/>
  <c r="AY220" i="49" s="1" a="1"/>
  <c r="AY220" i="49" s="1"/>
  <c r="BM220" i="49" s="1"/>
  <c r="AB220" i="49"/>
  <c r="AM220" i="49" s="1"/>
  <c r="AZ220" i="49" s="1" a="1"/>
  <c r="AZ220" i="49" s="1"/>
  <c r="BN220" i="49" s="1"/>
  <c r="AC220" i="49"/>
  <c r="AN220" i="49" s="1"/>
  <c r="BA220" i="49" s="1" a="1"/>
  <c r="BA220" i="49" s="1"/>
  <c r="BO220" i="49" s="1"/>
  <c r="U221" i="49"/>
  <c r="AF221" i="49" s="1"/>
  <c r="AS221" i="49" s="1" a="1"/>
  <c r="AS221" i="49" s="1"/>
  <c r="BG221" i="49" s="1"/>
  <c r="V221" i="49"/>
  <c r="AG221" i="49" s="1"/>
  <c r="AT221" i="49" s="1" a="1"/>
  <c r="AT221" i="49" s="1"/>
  <c r="BH221" i="49" s="1"/>
  <c r="W221" i="49"/>
  <c r="AH221" i="49" s="1"/>
  <c r="AU221" i="49" s="1" a="1"/>
  <c r="AU221" i="49" s="1"/>
  <c r="BI221" i="49" s="1"/>
  <c r="X221" i="49"/>
  <c r="AI221" i="49" s="1"/>
  <c r="AV221" i="49" s="1" a="1"/>
  <c r="AV221" i="49" s="1"/>
  <c r="BJ221" i="49" s="1"/>
  <c r="Y221" i="49"/>
  <c r="AJ221" i="49" s="1"/>
  <c r="AW221" i="49" s="1" a="1"/>
  <c r="AW221" i="49" s="1"/>
  <c r="BK221" i="49" s="1"/>
  <c r="Z221" i="49"/>
  <c r="AK221" i="49" s="1"/>
  <c r="AX221" i="49" s="1" a="1"/>
  <c r="AX221" i="49" s="1"/>
  <c r="BL221" i="49" s="1"/>
  <c r="AA221" i="49"/>
  <c r="AL221" i="49" s="1"/>
  <c r="AY221" i="49" s="1" a="1"/>
  <c r="AY221" i="49" s="1"/>
  <c r="BM221" i="49" s="1"/>
  <c r="AB221" i="49"/>
  <c r="AM221" i="49" s="1"/>
  <c r="AZ221" i="49" s="1" a="1"/>
  <c r="AZ221" i="49" s="1"/>
  <c r="BN221" i="49" s="1"/>
  <c r="AC221" i="49"/>
  <c r="AN221" i="49" s="1"/>
  <c r="BA221" i="49" s="1" a="1"/>
  <c r="BA221" i="49" s="1"/>
  <c r="BO221" i="49" s="1"/>
  <c r="U222" i="49"/>
  <c r="AF222" i="49" s="1"/>
  <c r="AS222" i="49" s="1" a="1"/>
  <c r="AS222" i="49" s="1"/>
  <c r="BG222" i="49" s="1"/>
  <c r="V222" i="49"/>
  <c r="AG222" i="49" s="1"/>
  <c r="AT222" i="49" s="1" a="1"/>
  <c r="AT222" i="49" s="1"/>
  <c r="BH222" i="49" s="1"/>
  <c r="W222" i="49"/>
  <c r="AH222" i="49" s="1"/>
  <c r="AU222" i="49" s="1" a="1"/>
  <c r="AU222" i="49" s="1"/>
  <c r="BI222" i="49" s="1"/>
  <c r="X222" i="49"/>
  <c r="AI222" i="49" s="1"/>
  <c r="AV222" i="49" s="1" a="1"/>
  <c r="AV222" i="49" s="1"/>
  <c r="BJ222" i="49" s="1"/>
  <c r="Y222" i="49"/>
  <c r="AJ222" i="49" s="1"/>
  <c r="AW222" i="49" s="1" a="1"/>
  <c r="AW222" i="49" s="1"/>
  <c r="BK222" i="49" s="1"/>
  <c r="Z222" i="49"/>
  <c r="AK222" i="49" s="1"/>
  <c r="AX222" i="49" s="1" a="1"/>
  <c r="AX222" i="49" s="1"/>
  <c r="BL222" i="49" s="1"/>
  <c r="AA222" i="49"/>
  <c r="AL222" i="49" s="1"/>
  <c r="AY222" i="49" s="1" a="1"/>
  <c r="AY222" i="49" s="1"/>
  <c r="BM222" i="49" s="1"/>
  <c r="AB222" i="49"/>
  <c r="AM222" i="49" s="1"/>
  <c r="AZ222" i="49" s="1" a="1"/>
  <c r="AZ222" i="49" s="1"/>
  <c r="BN222" i="49" s="1"/>
  <c r="AC222" i="49"/>
  <c r="AN222" i="49" s="1"/>
  <c r="BA222" i="49" s="1" a="1"/>
  <c r="BA222" i="49" s="1"/>
  <c r="BO222" i="49" s="1"/>
  <c r="U223" i="49"/>
  <c r="AF223" i="49" s="1"/>
  <c r="AS223" i="49" s="1" a="1"/>
  <c r="AS223" i="49" s="1"/>
  <c r="BG223" i="49" s="1"/>
  <c r="V223" i="49"/>
  <c r="AG223" i="49" s="1"/>
  <c r="AT223" i="49" s="1" a="1"/>
  <c r="AT223" i="49" s="1"/>
  <c r="BH223" i="49" s="1"/>
  <c r="W223" i="49"/>
  <c r="AH223" i="49" s="1"/>
  <c r="AU223" i="49" s="1" a="1"/>
  <c r="AU223" i="49" s="1"/>
  <c r="BI223" i="49" s="1"/>
  <c r="X223" i="49"/>
  <c r="AI223" i="49" s="1"/>
  <c r="AV223" i="49" s="1" a="1"/>
  <c r="AV223" i="49" s="1"/>
  <c r="BJ223" i="49" s="1"/>
  <c r="Y223" i="49"/>
  <c r="AJ223" i="49" s="1"/>
  <c r="AW223" i="49" s="1" a="1"/>
  <c r="AW223" i="49" s="1"/>
  <c r="BK223" i="49" s="1"/>
  <c r="Z223" i="49"/>
  <c r="AK223" i="49" s="1"/>
  <c r="AX223" i="49" s="1" a="1"/>
  <c r="AX223" i="49" s="1"/>
  <c r="BL223" i="49" s="1"/>
  <c r="AA223" i="49"/>
  <c r="AL223" i="49" s="1"/>
  <c r="AY223" i="49" s="1" a="1"/>
  <c r="AY223" i="49" s="1"/>
  <c r="BM223" i="49" s="1"/>
  <c r="AB223" i="49"/>
  <c r="AM223" i="49" s="1"/>
  <c r="AZ223" i="49" s="1" a="1"/>
  <c r="AZ223" i="49" s="1"/>
  <c r="BN223" i="49" s="1"/>
  <c r="AC223" i="49"/>
  <c r="AN223" i="49" s="1"/>
  <c r="BA223" i="49" s="1" a="1"/>
  <c r="BA223" i="49" s="1"/>
  <c r="BO223" i="49" s="1"/>
  <c r="U224" i="49"/>
  <c r="AF224" i="49" s="1"/>
  <c r="AS224" i="49" s="1" a="1"/>
  <c r="AS224" i="49" s="1"/>
  <c r="BG224" i="49" s="1"/>
  <c r="V224" i="49"/>
  <c r="AG224" i="49" s="1"/>
  <c r="AT224" i="49" s="1" a="1"/>
  <c r="AT224" i="49" s="1"/>
  <c r="BH224" i="49" s="1"/>
  <c r="W224" i="49"/>
  <c r="AH224" i="49" s="1"/>
  <c r="AU224" i="49" s="1" a="1"/>
  <c r="AU224" i="49" s="1"/>
  <c r="BI224" i="49" s="1"/>
  <c r="X224" i="49"/>
  <c r="AI224" i="49" s="1"/>
  <c r="AV224" i="49" s="1" a="1"/>
  <c r="AV224" i="49" s="1"/>
  <c r="BJ224" i="49" s="1"/>
  <c r="Y224" i="49"/>
  <c r="AJ224" i="49" s="1"/>
  <c r="AW224" i="49" s="1" a="1"/>
  <c r="AW224" i="49" s="1"/>
  <c r="BK224" i="49" s="1"/>
  <c r="Z224" i="49"/>
  <c r="AK224" i="49" s="1"/>
  <c r="AX224" i="49" s="1" a="1"/>
  <c r="AX224" i="49" s="1"/>
  <c r="BL224" i="49" s="1"/>
  <c r="AA224" i="49"/>
  <c r="AL224" i="49" s="1"/>
  <c r="AY224" i="49" s="1" a="1"/>
  <c r="AY224" i="49" s="1"/>
  <c r="BM224" i="49" s="1"/>
  <c r="AB224" i="49"/>
  <c r="AM224" i="49" s="1"/>
  <c r="AZ224" i="49" s="1" a="1"/>
  <c r="AZ224" i="49" s="1"/>
  <c r="BN224" i="49" s="1"/>
  <c r="AC224" i="49"/>
  <c r="AN224" i="49" s="1"/>
  <c r="BA224" i="49" s="1" a="1"/>
  <c r="BA224" i="49" s="1"/>
  <c r="BO224" i="49" s="1"/>
  <c r="U225" i="49"/>
  <c r="AF225" i="49" s="1"/>
  <c r="AS225" i="49" s="1" a="1"/>
  <c r="AS225" i="49" s="1"/>
  <c r="BG225" i="49" s="1"/>
  <c r="V225" i="49"/>
  <c r="AG225" i="49" s="1"/>
  <c r="AT225" i="49" s="1" a="1"/>
  <c r="AT225" i="49" s="1"/>
  <c r="BH225" i="49" s="1"/>
  <c r="W225" i="49"/>
  <c r="AH225" i="49" s="1"/>
  <c r="AU225" i="49" s="1" a="1"/>
  <c r="AU225" i="49" s="1"/>
  <c r="BI225" i="49" s="1"/>
  <c r="X225" i="49"/>
  <c r="AI225" i="49" s="1"/>
  <c r="AV225" i="49" s="1" a="1"/>
  <c r="AV225" i="49" s="1"/>
  <c r="BJ225" i="49" s="1"/>
  <c r="Y225" i="49"/>
  <c r="AJ225" i="49" s="1"/>
  <c r="AW225" i="49" s="1" a="1"/>
  <c r="AW225" i="49" s="1"/>
  <c r="BK225" i="49" s="1"/>
  <c r="Z225" i="49"/>
  <c r="AK225" i="49" s="1"/>
  <c r="AX225" i="49" s="1" a="1"/>
  <c r="AX225" i="49" s="1"/>
  <c r="BL225" i="49" s="1"/>
  <c r="AA225" i="49"/>
  <c r="AL225" i="49" s="1"/>
  <c r="AY225" i="49" s="1" a="1"/>
  <c r="AY225" i="49" s="1"/>
  <c r="BM225" i="49" s="1"/>
  <c r="AB225" i="49"/>
  <c r="AM225" i="49" s="1"/>
  <c r="AZ225" i="49" s="1" a="1"/>
  <c r="AZ225" i="49" s="1"/>
  <c r="BN225" i="49" s="1"/>
  <c r="AC225" i="49"/>
  <c r="AN225" i="49" s="1"/>
  <c r="BA225" i="49" s="1" a="1"/>
  <c r="BA225" i="49" s="1"/>
  <c r="BO225" i="49" s="1"/>
  <c r="U226" i="49"/>
  <c r="AF226" i="49" s="1"/>
  <c r="AS226" i="49" s="1" a="1"/>
  <c r="AS226" i="49" s="1"/>
  <c r="BG226" i="49" s="1"/>
  <c r="V226" i="49"/>
  <c r="AG226" i="49" s="1"/>
  <c r="AT226" i="49" s="1" a="1"/>
  <c r="AT226" i="49" s="1"/>
  <c r="BH226" i="49" s="1"/>
  <c r="W226" i="49"/>
  <c r="AH226" i="49" s="1"/>
  <c r="AU226" i="49" s="1" a="1"/>
  <c r="AU226" i="49" s="1"/>
  <c r="BI226" i="49" s="1"/>
  <c r="X226" i="49"/>
  <c r="AI226" i="49" s="1"/>
  <c r="AV226" i="49" s="1" a="1"/>
  <c r="AV226" i="49" s="1"/>
  <c r="BJ226" i="49" s="1"/>
  <c r="Y226" i="49"/>
  <c r="AJ226" i="49" s="1"/>
  <c r="AW226" i="49" s="1" a="1"/>
  <c r="AW226" i="49" s="1"/>
  <c r="BK226" i="49" s="1"/>
  <c r="Z226" i="49"/>
  <c r="AK226" i="49" s="1"/>
  <c r="AX226" i="49" s="1" a="1"/>
  <c r="AX226" i="49" s="1"/>
  <c r="BL226" i="49" s="1"/>
  <c r="AA226" i="49"/>
  <c r="AL226" i="49" s="1"/>
  <c r="AY226" i="49" s="1" a="1"/>
  <c r="AY226" i="49" s="1"/>
  <c r="BM226" i="49" s="1"/>
  <c r="AB226" i="49"/>
  <c r="AM226" i="49" s="1"/>
  <c r="AZ226" i="49" s="1" a="1"/>
  <c r="AZ226" i="49" s="1"/>
  <c r="BN226" i="49" s="1"/>
  <c r="AC226" i="49"/>
  <c r="AN226" i="49" s="1"/>
  <c r="BA226" i="49" s="1" a="1"/>
  <c r="BA226" i="49" s="1"/>
  <c r="BO226" i="49" s="1"/>
  <c r="U227" i="49"/>
  <c r="AF227" i="49" s="1"/>
  <c r="AS227" i="49" s="1" a="1"/>
  <c r="AS227" i="49" s="1"/>
  <c r="BG227" i="49" s="1"/>
  <c r="V227" i="49"/>
  <c r="AG227" i="49" s="1"/>
  <c r="AT227" i="49" s="1" a="1"/>
  <c r="AT227" i="49" s="1"/>
  <c r="BH227" i="49" s="1"/>
  <c r="W227" i="49"/>
  <c r="AH227" i="49" s="1"/>
  <c r="AU227" i="49" s="1" a="1"/>
  <c r="AU227" i="49" s="1"/>
  <c r="BI227" i="49" s="1"/>
  <c r="X227" i="49"/>
  <c r="AI227" i="49" s="1"/>
  <c r="AV227" i="49" s="1" a="1"/>
  <c r="AV227" i="49" s="1"/>
  <c r="BJ227" i="49" s="1"/>
  <c r="Y227" i="49"/>
  <c r="AJ227" i="49" s="1"/>
  <c r="AW227" i="49" s="1" a="1"/>
  <c r="AW227" i="49" s="1"/>
  <c r="BK227" i="49" s="1"/>
  <c r="Z227" i="49"/>
  <c r="AK227" i="49" s="1"/>
  <c r="AX227" i="49" s="1" a="1"/>
  <c r="AX227" i="49" s="1"/>
  <c r="BL227" i="49" s="1"/>
  <c r="AA227" i="49"/>
  <c r="AL227" i="49" s="1"/>
  <c r="AY227" i="49" s="1" a="1"/>
  <c r="AY227" i="49" s="1"/>
  <c r="BM227" i="49" s="1"/>
  <c r="AB227" i="49"/>
  <c r="AM227" i="49" s="1"/>
  <c r="AZ227" i="49" s="1" a="1"/>
  <c r="AZ227" i="49" s="1"/>
  <c r="BN227" i="49" s="1"/>
  <c r="AC227" i="49"/>
  <c r="AN227" i="49" s="1"/>
  <c r="BA227" i="49" s="1" a="1"/>
  <c r="BA227" i="49" s="1"/>
  <c r="BO227" i="49" s="1"/>
  <c r="U228" i="49"/>
  <c r="AF228" i="49" s="1"/>
  <c r="AS228" i="49" s="1" a="1"/>
  <c r="AS228" i="49" s="1"/>
  <c r="V228" i="49"/>
  <c r="AG228" i="49" s="1"/>
  <c r="AT228" i="49" s="1" a="1"/>
  <c r="AT228" i="49" s="1"/>
  <c r="W228" i="49"/>
  <c r="AH228" i="49" s="1"/>
  <c r="AU228" i="49" s="1" a="1"/>
  <c r="AU228" i="49" s="1"/>
  <c r="X228" i="49"/>
  <c r="AI228" i="49" s="1"/>
  <c r="AV228" i="49" s="1" a="1"/>
  <c r="AV228" i="49" s="1"/>
  <c r="BJ228" i="49" s="1"/>
  <c r="Y228" i="49"/>
  <c r="AJ228" i="49" s="1"/>
  <c r="AW228" i="49" s="1" a="1"/>
  <c r="AW228" i="49" s="1"/>
  <c r="BK228" i="49" s="1"/>
  <c r="Z228" i="49"/>
  <c r="AK228" i="49" s="1"/>
  <c r="AX228" i="49" s="1" a="1"/>
  <c r="AX228" i="49" s="1"/>
  <c r="AA228" i="49"/>
  <c r="AL228" i="49" s="1"/>
  <c r="AY228" i="49" s="1" a="1"/>
  <c r="AY228" i="49" s="1"/>
  <c r="AB228" i="49"/>
  <c r="AM228" i="49" s="1"/>
  <c r="AZ228" i="49" s="1" a="1"/>
  <c r="AZ228" i="49" s="1"/>
  <c r="AC228" i="49"/>
  <c r="AN228" i="49" s="1"/>
  <c r="BA228" i="49" s="1" a="1"/>
  <c r="BA228" i="49" s="1"/>
  <c r="U229" i="49"/>
  <c r="AF229" i="49" s="1"/>
  <c r="AS229" i="49" s="1" a="1"/>
  <c r="AS229" i="49" s="1"/>
  <c r="V229" i="49"/>
  <c r="AG229" i="49" s="1"/>
  <c r="AT229" i="49" s="1" a="1"/>
  <c r="AT229" i="49" s="1"/>
  <c r="W229" i="49"/>
  <c r="AH229" i="49" s="1"/>
  <c r="AU229" i="49" s="1" a="1"/>
  <c r="AU229" i="49" s="1"/>
  <c r="X229" i="49"/>
  <c r="AI229" i="49" s="1"/>
  <c r="AV229" i="49" s="1" a="1"/>
  <c r="AV229" i="49" s="1"/>
  <c r="Y229" i="49"/>
  <c r="AJ229" i="49" s="1"/>
  <c r="AW229" i="49" s="1" a="1"/>
  <c r="AW229" i="49" s="1"/>
  <c r="Z229" i="49"/>
  <c r="AK229" i="49" s="1"/>
  <c r="AX229" i="49" s="1" a="1"/>
  <c r="AX229" i="49" s="1"/>
  <c r="AA229" i="49"/>
  <c r="AL229" i="49" s="1"/>
  <c r="AY229" i="49" s="1" a="1"/>
  <c r="AY229" i="49" s="1"/>
  <c r="AB229" i="49"/>
  <c r="AM229" i="49" s="1"/>
  <c r="AZ229" i="49" s="1" a="1"/>
  <c r="AZ229" i="49" s="1"/>
  <c r="AC229" i="49"/>
  <c r="AN229" i="49" s="1"/>
  <c r="BA229" i="49" s="1" a="1"/>
  <c r="BA229" i="49" s="1"/>
  <c r="U230" i="49"/>
  <c r="AF230" i="49" s="1"/>
  <c r="AS230" i="49" s="1" a="1"/>
  <c r="AS230" i="49" s="1"/>
  <c r="V230" i="49"/>
  <c r="AG230" i="49" s="1"/>
  <c r="AT230" i="49" s="1" a="1"/>
  <c r="AT230" i="49" s="1"/>
  <c r="W230" i="49"/>
  <c r="AH230" i="49" s="1"/>
  <c r="AU230" i="49" s="1" a="1"/>
  <c r="AU230" i="49" s="1"/>
  <c r="X230" i="49"/>
  <c r="AI230" i="49" s="1"/>
  <c r="AV230" i="49" s="1" a="1"/>
  <c r="AV230" i="49" s="1"/>
  <c r="Y230" i="49"/>
  <c r="AJ230" i="49" s="1"/>
  <c r="AW230" i="49" s="1" a="1"/>
  <c r="AW230" i="49" s="1"/>
  <c r="Z230" i="49"/>
  <c r="AK230" i="49" s="1"/>
  <c r="AX230" i="49" s="1" a="1"/>
  <c r="AX230" i="49" s="1"/>
  <c r="AA230" i="49"/>
  <c r="AL230" i="49" s="1"/>
  <c r="AY230" i="49" s="1" a="1"/>
  <c r="AY230" i="49" s="1"/>
  <c r="AB230" i="49"/>
  <c r="AM230" i="49" s="1"/>
  <c r="AZ230" i="49" s="1" a="1"/>
  <c r="AZ230" i="49" s="1"/>
  <c r="AC230" i="49"/>
  <c r="AN230" i="49" s="1"/>
  <c r="BA230" i="49" s="1" a="1"/>
  <c r="BA230" i="49" s="1"/>
  <c r="U233" i="49"/>
  <c r="AF233" i="49" s="1"/>
  <c r="AS233" i="49" s="1" a="1"/>
  <c r="AS233" i="49" s="1"/>
  <c r="BG233" i="49" s="1"/>
  <c r="V233" i="49"/>
  <c r="AG233" i="49" s="1"/>
  <c r="AT233" i="49" s="1" a="1"/>
  <c r="AT233" i="49" s="1"/>
  <c r="BH233" i="49" s="1"/>
  <c r="W233" i="49"/>
  <c r="AH233" i="49" s="1"/>
  <c r="AU233" i="49" s="1" a="1"/>
  <c r="AU233" i="49" s="1"/>
  <c r="BI233" i="49" s="1"/>
  <c r="X233" i="49"/>
  <c r="AI233" i="49" s="1"/>
  <c r="AV233" i="49" s="1" a="1"/>
  <c r="AV233" i="49" s="1"/>
  <c r="BJ233" i="49" s="1"/>
  <c r="Y233" i="49"/>
  <c r="AJ233" i="49" s="1"/>
  <c r="AW233" i="49" s="1" a="1"/>
  <c r="AW233" i="49" s="1"/>
  <c r="BK233" i="49" s="1"/>
  <c r="Z233" i="49"/>
  <c r="AK233" i="49" s="1"/>
  <c r="AX233" i="49" s="1" a="1"/>
  <c r="AX233" i="49" s="1"/>
  <c r="BL233" i="49" s="1"/>
  <c r="AA233" i="49"/>
  <c r="AL233" i="49" s="1"/>
  <c r="AY233" i="49" s="1" a="1"/>
  <c r="AY233" i="49" s="1"/>
  <c r="BM233" i="49" s="1"/>
  <c r="AB233" i="49"/>
  <c r="AM233" i="49" s="1"/>
  <c r="AZ233" i="49" s="1" a="1"/>
  <c r="AZ233" i="49" s="1"/>
  <c r="BN233" i="49" s="1"/>
  <c r="AC233" i="49"/>
  <c r="AN233" i="49" s="1"/>
  <c r="BA233" i="49" s="1" a="1"/>
  <c r="BA233" i="49" s="1"/>
  <c r="BO233" i="49" s="1"/>
  <c r="U234" i="49"/>
  <c r="AF234" i="49" s="1"/>
  <c r="AS234" i="49" s="1" a="1"/>
  <c r="AS234" i="49" s="1"/>
  <c r="BG234" i="49" s="1"/>
  <c r="V234" i="49"/>
  <c r="AG234" i="49" s="1"/>
  <c r="AT234" i="49" s="1" a="1"/>
  <c r="AT234" i="49" s="1"/>
  <c r="BH234" i="49" s="1"/>
  <c r="W234" i="49"/>
  <c r="AH234" i="49" s="1"/>
  <c r="AU234" i="49" s="1" a="1"/>
  <c r="AU234" i="49" s="1"/>
  <c r="BI234" i="49" s="1"/>
  <c r="X234" i="49"/>
  <c r="AI234" i="49" s="1"/>
  <c r="AV234" i="49" s="1" a="1"/>
  <c r="AV234" i="49" s="1"/>
  <c r="BJ234" i="49" s="1"/>
  <c r="Y234" i="49"/>
  <c r="AJ234" i="49" s="1"/>
  <c r="AW234" i="49" s="1" a="1"/>
  <c r="AW234" i="49" s="1"/>
  <c r="BK234" i="49" s="1"/>
  <c r="Z234" i="49"/>
  <c r="AK234" i="49" s="1"/>
  <c r="AX234" i="49" s="1" a="1"/>
  <c r="AX234" i="49" s="1"/>
  <c r="BL234" i="49" s="1"/>
  <c r="AA234" i="49"/>
  <c r="AL234" i="49" s="1"/>
  <c r="AY234" i="49" s="1" a="1"/>
  <c r="AY234" i="49" s="1"/>
  <c r="BM234" i="49" s="1"/>
  <c r="AB234" i="49"/>
  <c r="AM234" i="49" s="1"/>
  <c r="AZ234" i="49" s="1" a="1"/>
  <c r="AZ234" i="49" s="1"/>
  <c r="BN234" i="49" s="1"/>
  <c r="AC234" i="49"/>
  <c r="AN234" i="49" s="1"/>
  <c r="BA234" i="49" s="1" a="1"/>
  <c r="BA234" i="49" s="1"/>
  <c r="BO234" i="49" s="1"/>
  <c r="U235" i="49"/>
  <c r="AF235" i="49" s="1"/>
  <c r="AS235" i="49" s="1" a="1"/>
  <c r="AS235" i="49" s="1"/>
  <c r="BG235" i="49" s="1"/>
  <c r="V235" i="49"/>
  <c r="AG235" i="49" s="1"/>
  <c r="AT235" i="49" s="1" a="1"/>
  <c r="AT235" i="49" s="1"/>
  <c r="BH235" i="49" s="1"/>
  <c r="W235" i="49"/>
  <c r="AH235" i="49" s="1"/>
  <c r="AU235" i="49" s="1" a="1"/>
  <c r="AU235" i="49" s="1"/>
  <c r="BI235" i="49" s="1"/>
  <c r="X235" i="49"/>
  <c r="AI235" i="49" s="1"/>
  <c r="AV235" i="49" s="1" a="1"/>
  <c r="AV235" i="49" s="1"/>
  <c r="BJ235" i="49" s="1"/>
  <c r="Y235" i="49"/>
  <c r="AJ235" i="49" s="1"/>
  <c r="AW235" i="49" s="1" a="1"/>
  <c r="AW235" i="49" s="1"/>
  <c r="BK235" i="49" s="1"/>
  <c r="Z235" i="49"/>
  <c r="AK235" i="49" s="1"/>
  <c r="AX235" i="49" s="1" a="1"/>
  <c r="AX235" i="49" s="1"/>
  <c r="BL235" i="49" s="1"/>
  <c r="AA235" i="49"/>
  <c r="AL235" i="49" s="1"/>
  <c r="AY235" i="49" s="1" a="1"/>
  <c r="AY235" i="49" s="1"/>
  <c r="BM235" i="49" s="1"/>
  <c r="AB235" i="49"/>
  <c r="AM235" i="49" s="1"/>
  <c r="AZ235" i="49" s="1" a="1"/>
  <c r="AZ235" i="49" s="1"/>
  <c r="BN235" i="49" s="1"/>
  <c r="AC235" i="49"/>
  <c r="AN235" i="49" s="1"/>
  <c r="BA235" i="49" s="1" a="1"/>
  <c r="BA235" i="49" s="1"/>
  <c r="BO235" i="49" s="1"/>
  <c r="U236" i="49"/>
  <c r="AF236" i="49" s="1"/>
  <c r="AS236" i="49" s="1" a="1"/>
  <c r="AS236" i="49" s="1"/>
  <c r="V236" i="49"/>
  <c r="AG236" i="49" s="1"/>
  <c r="AT236" i="49" s="1" a="1"/>
  <c r="AT236" i="49" s="1"/>
  <c r="W236" i="49"/>
  <c r="AH236" i="49" s="1"/>
  <c r="AU236" i="49" s="1" a="1"/>
  <c r="AU236" i="49" s="1"/>
  <c r="X236" i="49"/>
  <c r="AI236" i="49" s="1"/>
  <c r="AV236" i="49" s="1" a="1"/>
  <c r="AV236" i="49" s="1"/>
  <c r="Y236" i="49"/>
  <c r="AJ236" i="49" s="1"/>
  <c r="AW236" i="49" s="1" a="1"/>
  <c r="AW236" i="49" s="1"/>
  <c r="Z236" i="49"/>
  <c r="AK236" i="49" s="1"/>
  <c r="AX236" i="49" s="1" a="1"/>
  <c r="AX236" i="49" s="1"/>
  <c r="AA236" i="49"/>
  <c r="AL236" i="49" s="1"/>
  <c r="AY236" i="49" s="1" a="1"/>
  <c r="AY236" i="49" s="1"/>
  <c r="AB236" i="49"/>
  <c r="AM236" i="49" s="1"/>
  <c r="AZ236" i="49" s="1" a="1"/>
  <c r="AZ236" i="49" s="1"/>
  <c r="AC236" i="49"/>
  <c r="AN236" i="49" s="1"/>
  <c r="BA236" i="49" s="1" a="1"/>
  <c r="BA236" i="49" s="1"/>
  <c r="U237" i="49"/>
  <c r="AF237" i="49" s="1"/>
  <c r="AS237" i="49" s="1" a="1"/>
  <c r="AS237" i="49" s="1"/>
  <c r="V237" i="49"/>
  <c r="AG237" i="49" s="1"/>
  <c r="AT237" i="49" s="1" a="1"/>
  <c r="AT237" i="49" s="1"/>
  <c r="W237" i="49"/>
  <c r="AH237" i="49" s="1"/>
  <c r="AU237" i="49" s="1" a="1"/>
  <c r="AU237" i="49" s="1"/>
  <c r="X237" i="49"/>
  <c r="AI237" i="49" s="1"/>
  <c r="AV237" i="49" s="1" a="1"/>
  <c r="AV237" i="49" s="1"/>
  <c r="Y237" i="49"/>
  <c r="AJ237" i="49" s="1"/>
  <c r="AW237" i="49" s="1" a="1"/>
  <c r="AW237" i="49" s="1"/>
  <c r="Z237" i="49"/>
  <c r="AK237" i="49" s="1"/>
  <c r="AX237" i="49" s="1" a="1"/>
  <c r="AX237" i="49" s="1"/>
  <c r="AA237" i="49"/>
  <c r="AL237" i="49" s="1"/>
  <c r="AY237" i="49" s="1" a="1"/>
  <c r="AY237" i="49" s="1"/>
  <c r="AB237" i="49"/>
  <c r="AM237" i="49" s="1"/>
  <c r="AZ237" i="49" s="1" a="1"/>
  <c r="AZ237" i="49" s="1"/>
  <c r="AC237" i="49"/>
  <c r="AN237" i="49" s="1"/>
  <c r="BA237" i="49" s="1" a="1"/>
  <c r="BA237" i="49" s="1"/>
  <c r="U238" i="49"/>
  <c r="AF238" i="49" s="1"/>
  <c r="AS238" i="49" s="1" a="1"/>
  <c r="AS238" i="49" s="1"/>
  <c r="BG238" i="49" s="1"/>
  <c r="V238" i="49"/>
  <c r="AG238" i="49" s="1"/>
  <c r="AT238" i="49" s="1" a="1"/>
  <c r="AT238" i="49" s="1"/>
  <c r="BH238" i="49" s="1"/>
  <c r="W238" i="49"/>
  <c r="AH238" i="49" s="1"/>
  <c r="AU238" i="49" s="1" a="1"/>
  <c r="AU238" i="49" s="1"/>
  <c r="BI238" i="49" s="1"/>
  <c r="X238" i="49"/>
  <c r="AI238" i="49" s="1"/>
  <c r="AV238" i="49" s="1" a="1"/>
  <c r="AV238" i="49" s="1"/>
  <c r="BJ238" i="49" s="1"/>
  <c r="Y238" i="49"/>
  <c r="AJ238" i="49" s="1"/>
  <c r="AW238" i="49" s="1" a="1"/>
  <c r="AW238" i="49" s="1"/>
  <c r="BK238" i="49" s="1"/>
  <c r="Z238" i="49"/>
  <c r="AK238" i="49" s="1"/>
  <c r="AX238" i="49" s="1" a="1"/>
  <c r="AX238" i="49" s="1"/>
  <c r="BL238" i="49" s="1"/>
  <c r="AA238" i="49"/>
  <c r="AL238" i="49" s="1"/>
  <c r="AY238" i="49" s="1" a="1"/>
  <c r="AY238" i="49" s="1"/>
  <c r="BM238" i="49" s="1"/>
  <c r="AB238" i="49"/>
  <c r="AM238" i="49" s="1"/>
  <c r="AZ238" i="49" s="1" a="1"/>
  <c r="AZ238" i="49" s="1"/>
  <c r="BN238" i="49" s="1"/>
  <c r="AC238" i="49"/>
  <c r="AN238" i="49" s="1"/>
  <c r="BA238" i="49" s="1" a="1"/>
  <c r="BA238" i="49" s="1"/>
  <c r="BO238" i="49" s="1"/>
  <c r="U239" i="49"/>
  <c r="AF239" i="49" s="1"/>
  <c r="AS239" i="49" s="1" a="1"/>
  <c r="AS239" i="49" s="1"/>
  <c r="BG239" i="49" s="1"/>
  <c r="V239" i="49"/>
  <c r="AG239" i="49" s="1"/>
  <c r="AT239" i="49" s="1" a="1"/>
  <c r="AT239" i="49" s="1"/>
  <c r="BH239" i="49" s="1"/>
  <c r="W239" i="49"/>
  <c r="AH239" i="49" s="1"/>
  <c r="AU239" i="49" s="1" a="1"/>
  <c r="AU239" i="49" s="1"/>
  <c r="X239" i="49"/>
  <c r="AI239" i="49" s="1"/>
  <c r="AV239" i="49" s="1" a="1"/>
  <c r="AV239" i="49" s="1"/>
  <c r="BJ239" i="49" s="1"/>
  <c r="Y239" i="49"/>
  <c r="AJ239" i="49" s="1"/>
  <c r="AW239" i="49" s="1" a="1"/>
  <c r="AW239" i="49" s="1"/>
  <c r="BK239" i="49" s="1"/>
  <c r="Z239" i="49"/>
  <c r="AK239" i="49" s="1"/>
  <c r="AX239" i="49" s="1" a="1"/>
  <c r="AX239" i="49" s="1"/>
  <c r="AA239" i="49"/>
  <c r="AL239" i="49" s="1"/>
  <c r="AY239" i="49" s="1" a="1"/>
  <c r="AY239" i="49" s="1"/>
  <c r="BM239" i="49" s="1"/>
  <c r="AB239" i="49"/>
  <c r="AM239" i="49" s="1"/>
  <c r="AZ239" i="49" s="1" a="1"/>
  <c r="AZ239" i="49" s="1"/>
  <c r="BN239" i="49" s="1"/>
  <c r="AC239" i="49"/>
  <c r="AN239" i="49" s="1"/>
  <c r="BA239" i="49" s="1" a="1"/>
  <c r="BA239" i="49" s="1"/>
  <c r="BO239" i="49" s="1"/>
  <c r="U240" i="49"/>
  <c r="AF240" i="49" s="1"/>
  <c r="AS240" i="49" s="1" a="1"/>
  <c r="AS240" i="49" s="1"/>
  <c r="V240" i="49"/>
  <c r="AG240" i="49" s="1"/>
  <c r="AT240" i="49" s="1" a="1"/>
  <c r="AT240" i="49" s="1"/>
  <c r="W240" i="49"/>
  <c r="AH240" i="49" s="1"/>
  <c r="AU240" i="49" s="1" a="1"/>
  <c r="AU240" i="49" s="1"/>
  <c r="X240" i="49"/>
  <c r="AI240" i="49" s="1"/>
  <c r="AV240" i="49" s="1" a="1"/>
  <c r="AV240" i="49" s="1"/>
  <c r="Y240" i="49"/>
  <c r="AJ240" i="49" s="1"/>
  <c r="AW240" i="49" s="1" a="1"/>
  <c r="AW240" i="49" s="1"/>
  <c r="Z240" i="49"/>
  <c r="AK240" i="49" s="1"/>
  <c r="AX240" i="49" s="1" a="1"/>
  <c r="AX240" i="49" s="1"/>
  <c r="AA240" i="49"/>
  <c r="AL240" i="49" s="1"/>
  <c r="AY240" i="49" s="1" a="1"/>
  <c r="AY240" i="49" s="1"/>
  <c r="AB240" i="49"/>
  <c r="AM240" i="49" s="1"/>
  <c r="AZ240" i="49" s="1" a="1"/>
  <c r="AZ240" i="49" s="1"/>
  <c r="AC240" i="49"/>
  <c r="AN240" i="49" s="1"/>
  <c r="BA240" i="49" s="1" a="1"/>
  <c r="BA240" i="49" s="1"/>
  <c r="U241" i="49"/>
  <c r="AF241" i="49" s="1"/>
  <c r="AS241" i="49" s="1" a="1"/>
  <c r="AS241" i="49" s="1"/>
  <c r="V241" i="49"/>
  <c r="AG241" i="49" s="1"/>
  <c r="AT241" i="49" s="1" a="1"/>
  <c r="AT241" i="49" s="1"/>
  <c r="BH241" i="49" s="1"/>
  <c r="W241" i="49"/>
  <c r="AH241" i="49" s="1"/>
  <c r="AU241" i="49" s="1" a="1"/>
  <c r="AU241" i="49" s="1"/>
  <c r="X241" i="49"/>
  <c r="AI241" i="49" s="1"/>
  <c r="AV241" i="49" s="1" a="1"/>
  <c r="AV241" i="49" s="1"/>
  <c r="Y241" i="49"/>
  <c r="AJ241" i="49" s="1"/>
  <c r="AW241" i="49" s="1" a="1"/>
  <c r="AW241" i="49" s="1"/>
  <c r="Z241" i="49"/>
  <c r="AK241" i="49" s="1"/>
  <c r="AX241" i="49" s="1" a="1"/>
  <c r="AX241" i="49" s="1"/>
  <c r="AA241" i="49"/>
  <c r="AL241" i="49" s="1"/>
  <c r="AY241" i="49" s="1" a="1"/>
  <c r="AY241" i="49" s="1"/>
  <c r="AB241" i="49"/>
  <c r="AM241" i="49" s="1"/>
  <c r="AZ241" i="49" s="1" a="1"/>
  <c r="AZ241" i="49" s="1"/>
  <c r="AC241" i="49"/>
  <c r="AN241" i="49" s="1"/>
  <c r="BA241" i="49" s="1" a="1"/>
  <c r="BA241" i="49" s="1"/>
  <c r="U242" i="49"/>
  <c r="AF242" i="49" s="1"/>
  <c r="AS242" i="49" s="1" a="1"/>
  <c r="AS242" i="49" s="1"/>
  <c r="BG242" i="49" s="1"/>
  <c r="V242" i="49"/>
  <c r="AG242" i="49" s="1"/>
  <c r="AT242" i="49" s="1" a="1"/>
  <c r="AT242" i="49" s="1"/>
  <c r="BH242" i="49" s="1"/>
  <c r="W242" i="49"/>
  <c r="AH242" i="49" s="1"/>
  <c r="AU242" i="49" s="1" a="1"/>
  <c r="AU242" i="49" s="1"/>
  <c r="BI242" i="49" s="1"/>
  <c r="X242" i="49"/>
  <c r="AI242" i="49" s="1"/>
  <c r="AV242" i="49" s="1" a="1"/>
  <c r="AV242" i="49" s="1"/>
  <c r="BJ242" i="49" s="1"/>
  <c r="Y242" i="49"/>
  <c r="AJ242" i="49" s="1"/>
  <c r="AW242" i="49" s="1" a="1"/>
  <c r="AW242" i="49" s="1"/>
  <c r="BK242" i="49" s="1"/>
  <c r="Z242" i="49"/>
  <c r="AK242" i="49" s="1"/>
  <c r="AX242" i="49" s="1" a="1"/>
  <c r="AX242" i="49" s="1"/>
  <c r="BL242" i="49" s="1"/>
  <c r="AA242" i="49"/>
  <c r="AL242" i="49" s="1"/>
  <c r="AY242" i="49" s="1" a="1"/>
  <c r="AY242" i="49" s="1"/>
  <c r="BM242" i="49" s="1"/>
  <c r="AB242" i="49"/>
  <c r="AM242" i="49" s="1"/>
  <c r="AZ242" i="49" s="1" a="1"/>
  <c r="AZ242" i="49" s="1"/>
  <c r="BN242" i="49" s="1"/>
  <c r="AC242" i="49"/>
  <c r="AN242" i="49" s="1"/>
  <c r="BA242" i="49" s="1" a="1"/>
  <c r="BA242" i="49" s="1"/>
  <c r="BO242" i="49" s="1"/>
  <c r="U243" i="49"/>
  <c r="AF243" i="49" s="1"/>
  <c r="AS243" i="49" s="1" a="1"/>
  <c r="AS243" i="49" s="1"/>
  <c r="BG243" i="49" s="1"/>
  <c r="V243" i="49"/>
  <c r="AG243" i="49" s="1"/>
  <c r="AT243" i="49" s="1" a="1"/>
  <c r="AT243" i="49" s="1"/>
  <c r="BH243" i="49" s="1"/>
  <c r="W243" i="49"/>
  <c r="AH243" i="49" s="1"/>
  <c r="AU243" i="49" s="1" a="1"/>
  <c r="AU243" i="49" s="1"/>
  <c r="BI243" i="49" s="1"/>
  <c r="X243" i="49"/>
  <c r="AI243" i="49" s="1"/>
  <c r="AV243" i="49" s="1" a="1"/>
  <c r="AV243" i="49" s="1"/>
  <c r="BJ243" i="49" s="1"/>
  <c r="Y243" i="49"/>
  <c r="AJ243" i="49" s="1"/>
  <c r="AW243" i="49" s="1" a="1"/>
  <c r="AW243" i="49" s="1"/>
  <c r="BK243" i="49" s="1"/>
  <c r="Z243" i="49"/>
  <c r="AK243" i="49" s="1"/>
  <c r="AX243" i="49" s="1" a="1"/>
  <c r="AX243" i="49" s="1"/>
  <c r="BL243" i="49" s="1"/>
  <c r="AA243" i="49"/>
  <c r="AL243" i="49" s="1"/>
  <c r="AY243" i="49" s="1" a="1"/>
  <c r="AY243" i="49" s="1"/>
  <c r="BM243" i="49" s="1"/>
  <c r="AB243" i="49"/>
  <c r="AM243" i="49" s="1"/>
  <c r="AZ243" i="49" s="1" a="1"/>
  <c r="AZ243" i="49" s="1"/>
  <c r="BN243" i="49" s="1"/>
  <c r="AC243" i="49"/>
  <c r="AN243" i="49" s="1"/>
  <c r="BA243" i="49" s="1" a="1"/>
  <c r="BA243" i="49" s="1"/>
  <c r="BO243" i="49" s="1"/>
  <c r="T230" i="49"/>
  <c r="AE230" i="49" s="1"/>
  <c r="AR230" i="49" s="1" a="1"/>
  <c r="AR230" i="49" s="1"/>
  <c r="T213" i="49"/>
  <c r="AE213" i="49" s="1"/>
  <c r="AR213" i="49" s="1" a="1"/>
  <c r="AR213" i="49" s="1"/>
  <c r="BF213" i="49" s="1"/>
  <c r="T210" i="49"/>
  <c r="AE210" i="49" s="1"/>
  <c r="AR210" i="49" s="1" a="1"/>
  <c r="AR210" i="49" s="1"/>
  <c r="T202" i="49"/>
  <c r="AE202" i="49" s="1"/>
  <c r="AR202" i="49" s="1" a="1"/>
  <c r="AR202" i="49" s="1"/>
  <c r="T200" i="49"/>
  <c r="AE200" i="49" s="1"/>
  <c r="AR200" i="49" s="1" a="1"/>
  <c r="AR200" i="49" s="1"/>
  <c r="BF200" i="49" s="1"/>
  <c r="T195" i="49"/>
  <c r="AE195" i="49" s="1"/>
  <c r="AR195" i="49" s="1" a="1"/>
  <c r="AR195" i="49" s="1"/>
  <c r="T190" i="49"/>
  <c r="AE190" i="49" s="1"/>
  <c r="AR190" i="49" s="1" a="1"/>
  <c r="AR190" i="49" s="1"/>
  <c r="T183" i="49"/>
  <c r="AE183" i="49" s="1"/>
  <c r="AR183" i="49" s="1" a="1"/>
  <c r="AR183" i="49" s="1"/>
  <c r="BF183" i="49" s="1"/>
  <c r="T179" i="49"/>
  <c r="AE179" i="49" s="1"/>
  <c r="AR179" i="49" s="1" a="1"/>
  <c r="AR179" i="49" s="1"/>
  <c r="BF179" i="49" s="1"/>
  <c r="T173" i="49"/>
  <c r="AE173" i="49" s="1"/>
  <c r="AR173" i="49" s="1" a="1"/>
  <c r="AR173" i="49" s="1"/>
  <c r="T169" i="49"/>
  <c r="AE169" i="49" s="1"/>
  <c r="AR169" i="49" s="1" a="1"/>
  <c r="AR169" i="49" s="1"/>
  <c r="BF169" i="49" s="1"/>
  <c r="T160" i="49"/>
  <c r="AE160" i="49" s="1"/>
  <c r="AR160" i="49" s="1" a="1"/>
  <c r="AR160" i="49" s="1"/>
  <c r="BF160" i="49" s="1"/>
  <c r="T154" i="49"/>
  <c r="AE154" i="49" s="1"/>
  <c r="AR154" i="49" s="1" a="1"/>
  <c r="AR154" i="49" s="1"/>
  <c r="BF154" i="49" s="1"/>
  <c r="T150" i="49"/>
  <c r="AE150" i="49" s="1"/>
  <c r="AR150" i="49" s="1" a="1"/>
  <c r="AR150" i="49" s="1"/>
  <c r="BF150" i="49" s="1"/>
  <c r="T147" i="49"/>
  <c r="AE147" i="49" s="1"/>
  <c r="AR147" i="49" s="1" a="1"/>
  <c r="AR147" i="49" s="1"/>
  <c r="BF147" i="49" s="1"/>
  <c r="T144" i="49"/>
  <c r="AE144" i="49" s="1"/>
  <c r="AR144" i="49" s="1" a="1"/>
  <c r="AR144" i="49" s="1"/>
  <c r="T142" i="49"/>
  <c r="AE142" i="49" s="1"/>
  <c r="AR142" i="49" s="1" a="1"/>
  <c r="AR142" i="49" s="1"/>
  <c r="BF142" i="49" s="1"/>
  <c r="T139" i="49"/>
  <c r="AE139" i="49" s="1"/>
  <c r="AR139" i="49" s="1" a="1"/>
  <c r="AR139" i="49" s="1"/>
  <c r="BF139" i="49" s="1"/>
  <c r="T126" i="49"/>
  <c r="AE126" i="49" s="1"/>
  <c r="AR126" i="49" s="1" a="1"/>
  <c r="AR126" i="49" s="1"/>
  <c r="T129" i="49"/>
  <c r="AE129" i="49" s="1"/>
  <c r="AR129" i="49" s="1" a="1"/>
  <c r="AR129" i="49" s="1"/>
  <c r="BF129" i="49" s="1"/>
  <c r="BP129" i="49" s="1"/>
  <c r="T120" i="49"/>
  <c r="AE120" i="49" s="1"/>
  <c r="AR120" i="49" s="1" a="1"/>
  <c r="AR120" i="49" s="1"/>
  <c r="BF120" i="49" s="1"/>
  <c r="T115" i="49"/>
  <c r="AE115" i="49" s="1"/>
  <c r="AR115" i="49" s="1" a="1"/>
  <c r="AR115" i="49" s="1"/>
  <c r="T109" i="49"/>
  <c r="AE109" i="49" s="1"/>
  <c r="AR109" i="49" s="1" a="1"/>
  <c r="AR109" i="49" s="1"/>
  <c r="BF109" i="49" s="1"/>
  <c r="T107" i="49"/>
  <c r="AE107" i="49" s="1"/>
  <c r="AR107" i="49" s="1" a="1"/>
  <c r="AR107" i="49" s="1"/>
  <c r="T104" i="49"/>
  <c r="AE104" i="49" s="1"/>
  <c r="AR104" i="49" s="1" a="1"/>
  <c r="AR104" i="49" s="1"/>
  <c r="T95" i="49"/>
  <c r="AE95" i="49" s="1"/>
  <c r="AR95" i="49" s="1" a="1"/>
  <c r="AR95" i="49" s="1"/>
  <c r="BF95" i="49" s="1"/>
  <c r="T93" i="49"/>
  <c r="AE93" i="49" s="1"/>
  <c r="AR93" i="49" s="1" a="1"/>
  <c r="AR93" i="49" s="1"/>
  <c r="BF93" i="49" s="1"/>
  <c r="T89" i="49"/>
  <c r="AE89" i="49" s="1"/>
  <c r="AR89" i="49" s="1" a="1"/>
  <c r="AR89" i="49" s="1"/>
  <c r="BF89" i="49" s="1"/>
  <c r="BP89" i="49" s="1"/>
  <c r="T87" i="49"/>
  <c r="AE87" i="49" s="1"/>
  <c r="AR87" i="49" s="1" a="1"/>
  <c r="AR87" i="49" s="1"/>
  <c r="BF87" i="49" s="1"/>
  <c r="T82" i="49"/>
  <c r="AE82" i="49" s="1"/>
  <c r="AR82" i="49" s="1" a="1"/>
  <c r="AR82" i="49" s="1"/>
  <c r="T74" i="49"/>
  <c r="AE74" i="49" s="1"/>
  <c r="AR74" i="49" s="1" a="1"/>
  <c r="AR74" i="49" s="1"/>
  <c r="BF74" i="49" s="1"/>
  <c r="T71" i="49"/>
  <c r="AE71" i="49" s="1"/>
  <c r="AR71" i="49" s="1" a="1"/>
  <c r="AR71" i="49" s="1"/>
  <c r="BF71" i="49" s="1"/>
  <c r="T65" i="49"/>
  <c r="AE65" i="49" s="1"/>
  <c r="AR65" i="49" s="1" a="1"/>
  <c r="AR65" i="49" s="1"/>
  <c r="BF65" i="49" s="1"/>
  <c r="T63" i="49"/>
  <c r="AE63" i="49" s="1"/>
  <c r="AR63" i="49" s="1" a="1"/>
  <c r="AR63" i="49" s="1"/>
  <c r="T57" i="49"/>
  <c r="AE57" i="49" s="1"/>
  <c r="AR57" i="49" s="1" a="1"/>
  <c r="AR57" i="49" s="1"/>
  <c r="BF57" i="49" s="1"/>
  <c r="BP57" i="49" s="1"/>
  <c r="T54" i="49"/>
  <c r="AE54" i="49" s="1"/>
  <c r="AR54" i="49" s="1" a="1"/>
  <c r="AR54" i="49" s="1"/>
  <c r="BF54" i="49" s="1"/>
  <c r="T52" i="49"/>
  <c r="AE52" i="49" s="1"/>
  <c r="AR52" i="49" s="1" a="1"/>
  <c r="AR52" i="49" s="1"/>
  <c r="T47" i="49"/>
  <c r="AE47" i="49" s="1"/>
  <c r="AR47" i="49" s="1" a="1"/>
  <c r="AR47" i="49" s="1"/>
  <c r="BF47" i="49" s="1"/>
  <c r="T43" i="49"/>
  <c r="AE43" i="49" s="1"/>
  <c r="AR43" i="49" s="1" a="1"/>
  <c r="AR43" i="49" s="1"/>
  <c r="T41" i="49"/>
  <c r="AE41" i="49" s="1"/>
  <c r="AR41" i="49" s="1" a="1"/>
  <c r="AR41" i="49" s="1"/>
  <c r="T39" i="49"/>
  <c r="AE39" i="49" s="1"/>
  <c r="AR39" i="49" s="1" a="1"/>
  <c r="AR39" i="49" s="1"/>
  <c r="T32" i="49"/>
  <c r="AE32" i="49" s="1"/>
  <c r="AR32" i="49" s="1" a="1"/>
  <c r="AR32" i="49" s="1"/>
  <c r="BF32" i="49" s="1"/>
  <c r="T33" i="49"/>
  <c r="AE33" i="49" s="1"/>
  <c r="AR33" i="49" s="1" a="1"/>
  <c r="AR33" i="49" s="1"/>
  <c r="T29" i="49"/>
  <c r="AE29" i="49" s="1"/>
  <c r="AR29" i="49" s="1" a="1"/>
  <c r="AR29" i="49" s="1"/>
  <c r="T26" i="49"/>
  <c r="AE26" i="49" s="1"/>
  <c r="AR26" i="49" s="1" a="1"/>
  <c r="AR26" i="49" s="1"/>
  <c r="T21" i="49"/>
  <c r="AE21" i="49" s="1"/>
  <c r="AR21" i="49" s="1" a="1"/>
  <c r="AR21" i="49" s="1"/>
  <c r="T18" i="49"/>
  <c r="AE18" i="49" s="1"/>
  <c r="AR18" i="49" s="1" a="1"/>
  <c r="AR18" i="49" s="1"/>
  <c r="BF18" i="49" s="1"/>
  <c r="T15" i="49"/>
  <c r="AE15" i="49" s="1"/>
  <c r="AR15" i="49" s="1" a="1"/>
  <c r="AR15" i="49" s="1"/>
  <c r="BF15" i="49" s="1"/>
  <c r="T12" i="49"/>
  <c r="AE12" i="49" s="1"/>
  <c r="AR12" i="49" s="1" a="1"/>
  <c r="AR12" i="49" s="1"/>
  <c r="T243" i="49"/>
  <c r="AE243" i="49" s="1"/>
  <c r="AR243" i="49" s="1" a="1"/>
  <c r="AR243" i="49" s="1"/>
  <c r="BF243" i="49" s="1"/>
  <c r="T242" i="49"/>
  <c r="AE242" i="49" s="1"/>
  <c r="AR242" i="49" s="1" a="1"/>
  <c r="AR242" i="49" s="1"/>
  <c r="BF242" i="49" s="1"/>
  <c r="T241" i="49"/>
  <c r="AE241" i="49" s="1"/>
  <c r="AR241" i="49" s="1" a="1"/>
  <c r="AR241" i="49" s="1"/>
  <c r="T240" i="49"/>
  <c r="AE240" i="49" s="1"/>
  <c r="AR240" i="49" s="1" a="1"/>
  <c r="AR240" i="49" s="1"/>
  <c r="T239" i="49"/>
  <c r="AE239" i="49" s="1"/>
  <c r="AR239" i="49" s="1" a="1"/>
  <c r="AR239" i="49" s="1"/>
  <c r="BF239" i="49" s="1"/>
  <c r="T238" i="49"/>
  <c r="AE238" i="49" s="1"/>
  <c r="AR238" i="49" s="1" a="1"/>
  <c r="AR238" i="49" s="1"/>
  <c r="BF238" i="49" s="1"/>
  <c r="T237" i="49"/>
  <c r="AE237" i="49" s="1"/>
  <c r="AR237" i="49" s="1" a="1"/>
  <c r="AR237" i="49" s="1"/>
  <c r="T236" i="49"/>
  <c r="AE236" i="49" s="1"/>
  <c r="AR236" i="49" s="1" a="1"/>
  <c r="AR236" i="49" s="1"/>
  <c r="T235" i="49"/>
  <c r="AE235" i="49" s="1"/>
  <c r="AR235" i="49" s="1" a="1"/>
  <c r="AR235" i="49" s="1"/>
  <c r="BF235" i="49" s="1"/>
  <c r="T234" i="49"/>
  <c r="AE234" i="49" s="1"/>
  <c r="AR234" i="49" s="1" a="1"/>
  <c r="AR234" i="49" s="1"/>
  <c r="BF234" i="49" s="1"/>
  <c r="BP234" i="49" s="1"/>
  <c r="T233" i="49"/>
  <c r="AE233" i="49" s="1"/>
  <c r="AR233" i="49" s="1" a="1"/>
  <c r="AR233" i="49" s="1"/>
  <c r="BF233" i="49" s="1"/>
  <c r="T229" i="49"/>
  <c r="AE229" i="49" s="1"/>
  <c r="AR229" i="49" s="1" a="1"/>
  <c r="AR229" i="49" s="1"/>
  <c r="T228" i="49"/>
  <c r="AE228" i="49" s="1"/>
  <c r="AR228" i="49" s="1" a="1"/>
  <c r="AR228" i="49" s="1"/>
  <c r="T227" i="49"/>
  <c r="AE227" i="49" s="1"/>
  <c r="AR227" i="49" s="1" a="1"/>
  <c r="AR227" i="49" s="1"/>
  <c r="BF227" i="49" s="1"/>
  <c r="T226" i="49"/>
  <c r="AE226" i="49" s="1"/>
  <c r="AR226" i="49" s="1" a="1"/>
  <c r="AR226" i="49" s="1"/>
  <c r="BF226" i="49" s="1"/>
  <c r="T225" i="49"/>
  <c r="AE225" i="49" s="1"/>
  <c r="AR225" i="49" s="1" a="1"/>
  <c r="AR225" i="49" s="1"/>
  <c r="BF225" i="49" s="1"/>
  <c r="T224" i="49"/>
  <c r="AE224" i="49" s="1"/>
  <c r="AR224" i="49" s="1" a="1"/>
  <c r="AR224" i="49" s="1"/>
  <c r="BF224" i="49" s="1"/>
  <c r="T223" i="49"/>
  <c r="AE223" i="49" s="1"/>
  <c r="AR223" i="49" s="1" a="1"/>
  <c r="AR223" i="49" s="1"/>
  <c r="BF223" i="49" s="1"/>
  <c r="T222" i="49"/>
  <c r="AE222" i="49" s="1"/>
  <c r="AR222" i="49" s="1" a="1"/>
  <c r="AR222" i="49" s="1"/>
  <c r="BF222" i="49" s="1"/>
  <c r="T221" i="49"/>
  <c r="AE221" i="49" s="1"/>
  <c r="AR221" i="49" s="1" a="1"/>
  <c r="AR221" i="49" s="1"/>
  <c r="BF221" i="49" s="1"/>
  <c r="T220" i="49"/>
  <c r="AE220" i="49" s="1"/>
  <c r="AR220" i="49" s="1" a="1"/>
  <c r="AR220" i="49" s="1"/>
  <c r="BF220" i="49" s="1"/>
  <c r="T219" i="49"/>
  <c r="AE219" i="49" s="1"/>
  <c r="AR219" i="49" s="1" a="1"/>
  <c r="AR219" i="49" s="1"/>
  <c r="BF219" i="49" s="1"/>
  <c r="T218" i="49"/>
  <c r="AE218" i="49" s="1"/>
  <c r="AR218" i="49" s="1" a="1"/>
  <c r="AR218" i="49" s="1"/>
  <c r="BF218" i="49" s="1"/>
  <c r="T217" i="49"/>
  <c r="AE217" i="49" s="1"/>
  <c r="AR217" i="49" s="1" a="1"/>
  <c r="AR217" i="49" s="1"/>
  <c r="T216" i="49"/>
  <c r="AE216" i="49" s="1"/>
  <c r="AR216" i="49" s="1" a="1"/>
  <c r="AR216" i="49" s="1"/>
  <c r="T215" i="49"/>
  <c r="AE215" i="49" s="1"/>
  <c r="AR215" i="49" s="1" a="1"/>
  <c r="AR215" i="49" s="1"/>
  <c r="BF215" i="49" s="1"/>
  <c r="T212" i="49"/>
  <c r="AE212" i="49" s="1"/>
  <c r="AR212" i="49" s="1" a="1"/>
  <c r="AR212" i="49" s="1"/>
  <c r="BF212" i="49" s="1"/>
  <c r="T209" i="49"/>
  <c r="AE209" i="49" s="1"/>
  <c r="AR209" i="49" s="1" a="1"/>
  <c r="AR209" i="49" s="1"/>
  <c r="BF209" i="49" s="1"/>
  <c r="T208" i="49"/>
  <c r="AE208" i="49" s="1"/>
  <c r="AR208" i="49" s="1" a="1"/>
  <c r="AR208" i="49" s="1"/>
  <c r="BF208" i="49" s="1"/>
  <c r="T207" i="49"/>
  <c r="AE207" i="49" s="1"/>
  <c r="AR207" i="49" s="1" a="1"/>
  <c r="AR207" i="49" s="1"/>
  <c r="T206" i="49"/>
  <c r="AE206" i="49" s="1"/>
  <c r="AR206" i="49" s="1" a="1"/>
  <c r="AR206" i="49" s="1"/>
  <c r="BF206" i="49" s="1"/>
  <c r="T205" i="49"/>
  <c r="AE205" i="49" s="1"/>
  <c r="AR205" i="49" s="1" a="1"/>
  <c r="AR205" i="49" s="1"/>
  <c r="BF205" i="49" s="1"/>
  <c r="T204" i="49"/>
  <c r="AE204" i="49" s="1"/>
  <c r="AR204" i="49" s="1" a="1"/>
  <c r="AR204" i="49" s="1"/>
  <c r="T199" i="49"/>
  <c r="AE199" i="49" s="1"/>
  <c r="AR199" i="49" s="1" a="1"/>
  <c r="AR199" i="49" s="1"/>
  <c r="BF199" i="49" s="1"/>
  <c r="T194" i="49"/>
  <c r="AE194" i="49" s="1"/>
  <c r="AR194" i="49" s="1" a="1"/>
  <c r="AR194" i="49" s="1"/>
  <c r="BF194" i="49" s="1"/>
  <c r="T193" i="49"/>
  <c r="AE193" i="49" s="1"/>
  <c r="AR193" i="49" s="1" a="1"/>
  <c r="AR193" i="49" s="1"/>
  <c r="BF193" i="49" s="1"/>
  <c r="T192" i="49"/>
  <c r="AE192" i="49" s="1"/>
  <c r="AR192" i="49" s="1" a="1"/>
  <c r="AR192" i="49" s="1"/>
  <c r="T189" i="49"/>
  <c r="AE189" i="49" s="1"/>
  <c r="AR189" i="49" s="1" a="1"/>
  <c r="AR189" i="49" s="1"/>
  <c r="BF189" i="49" s="1"/>
  <c r="T188" i="49"/>
  <c r="AE188" i="49" s="1"/>
  <c r="AR188" i="49" s="1" a="1"/>
  <c r="AR188" i="49" s="1"/>
  <c r="BF188" i="49" s="1"/>
  <c r="T187" i="49"/>
  <c r="AE187" i="49" s="1"/>
  <c r="AR187" i="49" s="1" a="1"/>
  <c r="AR187" i="49" s="1"/>
  <c r="BF187" i="49" s="1"/>
  <c r="T186" i="49"/>
  <c r="AE186" i="49" s="1"/>
  <c r="AR186" i="49" s="1" a="1"/>
  <c r="AR186" i="49" s="1"/>
  <c r="BF186" i="49" s="1"/>
  <c r="T185" i="49"/>
  <c r="AE185" i="49" s="1"/>
  <c r="AR185" i="49" s="1" a="1"/>
  <c r="AR185" i="49" s="1"/>
  <c r="BF185" i="49" s="1"/>
  <c r="T182" i="49"/>
  <c r="AE182" i="49" s="1"/>
  <c r="AR182" i="49" s="1" a="1"/>
  <c r="AR182" i="49" s="1"/>
  <c r="BF182" i="49" s="1"/>
  <c r="T181" i="49"/>
  <c r="AE181" i="49" s="1"/>
  <c r="AR181" i="49" s="1" a="1"/>
  <c r="AR181" i="49" s="1"/>
  <c r="T178" i="49"/>
  <c r="AE178" i="49" s="1"/>
  <c r="AR178" i="49" s="1" a="1"/>
  <c r="AR178" i="49" s="1"/>
  <c r="BF178" i="49" s="1"/>
  <c r="T177" i="49"/>
  <c r="AE177" i="49" s="1"/>
  <c r="AR177" i="49" s="1" a="1"/>
  <c r="AR177" i="49" s="1"/>
  <c r="BF177" i="49" s="1"/>
  <c r="T176" i="49"/>
  <c r="AE176" i="49" s="1"/>
  <c r="AR176" i="49" s="1" a="1"/>
  <c r="AR176" i="49" s="1"/>
  <c r="BF176" i="49" s="1"/>
  <c r="T175" i="49"/>
  <c r="AE175" i="49" s="1"/>
  <c r="AR175" i="49" s="1" a="1"/>
  <c r="AR175" i="49" s="1"/>
  <c r="BF175" i="49" s="1"/>
  <c r="T172" i="49"/>
  <c r="AE172" i="49" s="1"/>
  <c r="AR172" i="49" s="1" a="1"/>
  <c r="AR172" i="49" s="1"/>
  <c r="BF172" i="49" s="1"/>
  <c r="T171" i="49"/>
  <c r="AE171" i="49" s="1"/>
  <c r="AR171" i="49" s="1" a="1"/>
  <c r="AR171" i="49" s="1"/>
  <c r="BF171" i="49" s="1"/>
  <c r="T168" i="49"/>
  <c r="AE168" i="49" s="1"/>
  <c r="AR168" i="49" s="1" a="1"/>
  <c r="AR168" i="49" s="1"/>
  <c r="T167" i="49"/>
  <c r="AE167" i="49" s="1"/>
  <c r="AR167" i="49" s="1" a="1"/>
  <c r="AR167" i="49" s="1"/>
  <c r="BF167" i="49" s="1"/>
  <c r="T166" i="49"/>
  <c r="AE166" i="49" s="1"/>
  <c r="AR166" i="49" s="1" a="1"/>
  <c r="AR166" i="49" s="1"/>
  <c r="BF166" i="49" s="1"/>
  <c r="T165" i="49"/>
  <c r="AE165" i="49" s="1"/>
  <c r="AR165" i="49" s="1" a="1"/>
  <c r="AR165" i="49" s="1"/>
  <c r="T164" i="49"/>
  <c r="AE164" i="49" s="1"/>
  <c r="AR164" i="49" s="1" a="1"/>
  <c r="AR164" i="49" s="1"/>
  <c r="BF164" i="49" s="1"/>
  <c r="T163" i="49"/>
  <c r="AE163" i="49" s="1"/>
  <c r="AR163" i="49" s="1" a="1"/>
  <c r="AR163" i="49" s="1"/>
  <c r="T162" i="49"/>
  <c r="AE162" i="49" s="1"/>
  <c r="AR162" i="49" s="1" a="1"/>
  <c r="AR162" i="49" s="1"/>
  <c r="BF162" i="49" s="1"/>
  <c r="T159" i="49"/>
  <c r="AE159" i="49" s="1"/>
  <c r="AR159" i="49" s="1" a="1"/>
  <c r="AR159" i="49" s="1"/>
  <c r="T158" i="49"/>
  <c r="AE158" i="49" s="1"/>
  <c r="AR158" i="49" s="1" a="1"/>
  <c r="AR158" i="49" s="1"/>
  <c r="BF158" i="49" s="1"/>
  <c r="T157" i="49"/>
  <c r="AE157" i="49" s="1"/>
  <c r="AR157" i="49" s="1" a="1"/>
  <c r="AR157" i="49" s="1"/>
  <c r="BF157" i="49" s="1"/>
  <c r="T156" i="49"/>
  <c r="AE156" i="49" s="1"/>
  <c r="AR156" i="49" s="1" a="1"/>
  <c r="AR156" i="49" s="1"/>
  <c r="BF156" i="49" s="1"/>
  <c r="T153" i="49"/>
  <c r="AE153" i="49" s="1"/>
  <c r="AR153" i="49" s="1" a="1"/>
  <c r="AR153" i="49" s="1"/>
  <c r="BF153" i="49" s="1"/>
  <c r="T152" i="49"/>
  <c r="AE152" i="49" s="1"/>
  <c r="AR152" i="49" s="1" a="1"/>
  <c r="AR152" i="49" s="1"/>
  <c r="T146" i="49"/>
  <c r="AE146" i="49" s="1"/>
  <c r="AR146" i="49" s="1" a="1"/>
  <c r="AR146" i="49" s="1"/>
  <c r="T141" i="49"/>
  <c r="AE141" i="49" s="1"/>
  <c r="AR141" i="49" s="1" a="1"/>
  <c r="AR141" i="49" s="1"/>
  <c r="BF141" i="49" s="1"/>
  <c r="T138" i="49"/>
  <c r="AE138" i="49" s="1"/>
  <c r="AR138" i="49" s="1" a="1"/>
  <c r="AR138" i="49" s="1"/>
  <c r="BF138" i="49" s="1"/>
  <c r="T137" i="49"/>
  <c r="AE137" i="49" s="1"/>
  <c r="AR137" i="49" s="1" a="1"/>
  <c r="AR137" i="49" s="1"/>
  <c r="BF137" i="49" s="1"/>
  <c r="T136" i="49"/>
  <c r="AE136" i="49" s="1"/>
  <c r="AR136" i="49" s="1" a="1"/>
  <c r="AR136" i="49" s="1"/>
  <c r="BF136" i="49" s="1"/>
  <c r="T135" i="49"/>
  <c r="AE135" i="49" s="1"/>
  <c r="AR135" i="49" s="1" a="1"/>
  <c r="AR135" i="49" s="1"/>
  <c r="T134" i="49"/>
  <c r="AE134" i="49" s="1"/>
  <c r="AR134" i="49" s="1" a="1"/>
  <c r="AR134" i="49" s="1"/>
  <c r="BF134" i="49" s="1"/>
  <c r="BP134" i="49" s="1"/>
  <c r="T133" i="49"/>
  <c r="AE133" i="49" s="1"/>
  <c r="AR133" i="49" s="1" a="1"/>
  <c r="AR133" i="49" s="1"/>
  <c r="T132" i="49"/>
  <c r="AE132" i="49" s="1"/>
  <c r="AR132" i="49" s="1" a="1"/>
  <c r="AR132" i="49" s="1"/>
  <c r="BF132" i="49" s="1"/>
  <c r="T131" i="49"/>
  <c r="AE131" i="49" s="1"/>
  <c r="AR131" i="49" s="1" a="1"/>
  <c r="AR131" i="49" s="1"/>
  <c r="BF131" i="49" s="1"/>
  <c r="T123" i="49"/>
  <c r="AE123" i="49" s="1"/>
  <c r="AR123" i="49" s="1" a="1"/>
  <c r="AR123" i="49" s="1"/>
  <c r="BF123" i="49" s="1"/>
  <c r="T119" i="49"/>
  <c r="AE119" i="49" s="1"/>
  <c r="AR119" i="49" s="1" a="1"/>
  <c r="AR119" i="49" s="1"/>
  <c r="BF119" i="49" s="1"/>
  <c r="BP119" i="49" s="1"/>
  <c r="BS50" i="49" s="1"/>
  <c r="D197" i="7" s="1"/>
  <c r="T118" i="49"/>
  <c r="AE118" i="49" s="1"/>
  <c r="AR118" i="49" s="1" a="1"/>
  <c r="AR118" i="49" s="1"/>
  <c r="T117" i="49"/>
  <c r="AE117" i="49" s="1"/>
  <c r="AR117" i="49" s="1" a="1"/>
  <c r="AR117" i="49" s="1"/>
  <c r="BF117" i="49" s="1"/>
  <c r="T114" i="49"/>
  <c r="AE114" i="49" s="1"/>
  <c r="AR114" i="49" s="1" a="1"/>
  <c r="AR114" i="49" s="1"/>
  <c r="T113" i="49"/>
  <c r="AE113" i="49" s="1"/>
  <c r="AR113" i="49" s="1" a="1"/>
  <c r="AR113" i="49" s="1"/>
  <c r="T112" i="49"/>
  <c r="AE112" i="49" s="1"/>
  <c r="AR112" i="49" s="1" a="1"/>
  <c r="AR112" i="49" s="1"/>
  <c r="BF112" i="49" s="1"/>
  <c r="T106" i="49"/>
  <c r="AE106" i="49" s="1"/>
  <c r="AR106" i="49" s="1" a="1"/>
  <c r="AR106" i="49" s="1"/>
  <c r="BF106" i="49" s="1"/>
  <c r="T103" i="49"/>
  <c r="AE103" i="49" s="1"/>
  <c r="AR103" i="49" s="1" a="1"/>
  <c r="AR103" i="49" s="1"/>
  <c r="BF103" i="49" s="1"/>
  <c r="T102" i="49"/>
  <c r="AE102" i="49" s="1"/>
  <c r="AR102" i="49" s="1" a="1"/>
  <c r="AR102" i="49" s="1"/>
  <c r="BF102" i="49" s="1"/>
  <c r="BP102" i="49" s="1"/>
  <c r="T101" i="49"/>
  <c r="AE101" i="49" s="1"/>
  <c r="AR101" i="49" s="1" a="1"/>
  <c r="AR101" i="49" s="1"/>
  <c r="T100" i="49"/>
  <c r="AE100" i="49" s="1"/>
  <c r="AR100" i="49" s="1" a="1"/>
  <c r="AR100" i="49" s="1"/>
  <c r="T99" i="49"/>
  <c r="AE99" i="49" s="1"/>
  <c r="AR99" i="49" s="1" a="1"/>
  <c r="AR99" i="49" s="1"/>
  <c r="BF99" i="49" s="1"/>
  <c r="T98" i="49"/>
  <c r="AE98" i="49" s="1"/>
  <c r="AR98" i="49" s="1" a="1"/>
  <c r="AR98" i="49" s="1"/>
  <c r="T97" i="49"/>
  <c r="AE97" i="49" s="1"/>
  <c r="AR97" i="49" s="1" a="1"/>
  <c r="AR97" i="49" s="1"/>
  <c r="T79" i="49"/>
  <c r="AE79" i="49" s="1"/>
  <c r="AR79" i="49" s="1" a="1"/>
  <c r="AR79" i="49" s="1"/>
  <c r="BF79" i="49" s="1"/>
  <c r="T80" i="49"/>
  <c r="AE80" i="49" s="1"/>
  <c r="AR80" i="49" s="1" a="1"/>
  <c r="AR80" i="49" s="1"/>
  <c r="BF80" i="49" s="1"/>
  <c r="T81" i="49"/>
  <c r="AE81" i="49" s="1"/>
  <c r="AR81" i="49" s="1" a="1"/>
  <c r="AR81" i="49" s="1"/>
  <c r="T78" i="49"/>
  <c r="AE78" i="49" s="1"/>
  <c r="AR78" i="49" s="1" a="1"/>
  <c r="AR78" i="49" s="1"/>
  <c r="BF78" i="49" s="1"/>
  <c r="T77" i="49"/>
  <c r="AE77" i="49" s="1"/>
  <c r="AR77" i="49" s="1" a="1"/>
  <c r="AR77" i="49" s="1"/>
  <c r="T76" i="49"/>
  <c r="AE76" i="49" s="1"/>
  <c r="AR76" i="49" s="1" a="1"/>
  <c r="AR76" i="49" s="1"/>
  <c r="BF76" i="49" s="1"/>
  <c r="T73" i="49"/>
  <c r="AE73" i="49" s="1"/>
  <c r="AR73" i="49" s="1" a="1"/>
  <c r="AR73" i="49" s="1"/>
  <c r="BF73" i="49" s="1"/>
  <c r="T70" i="49"/>
  <c r="AE70" i="49" s="1"/>
  <c r="AR70" i="49" s="1" a="1"/>
  <c r="AR70" i="49" s="1"/>
  <c r="BF70" i="49" s="1"/>
  <c r="T69" i="49"/>
  <c r="AE69" i="49" s="1"/>
  <c r="AR69" i="49" s="1" a="1"/>
  <c r="AR69" i="49" s="1"/>
  <c r="BF69" i="49" s="1"/>
  <c r="T68" i="49"/>
  <c r="AE68" i="49" s="1"/>
  <c r="AR68" i="49" s="1" a="1"/>
  <c r="AR68" i="49" s="1"/>
  <c r="BF68" i="49" s="1"/>
  <c r="T67" i="49"/>
  <c r="AE67" i="49" s="1"/>
  <c r="AR67" i="49" s="1" a="1"/>
  <c r="AR67" i="49" s="1"/>
  <c r="BF67" i="49" s="1"/>
  <c r="T62" i="49"/>
  <c r="AE62" i="49" s="1"/>
  <c r="AR62" i="49" s="1" a="1"/>
  <c r="AR62" i="49" s="1"/>
  <c r="T61" i="49"/>
  <c r="AE61" i="49" s="1"/>
  <c r="AR61" i="49" s="1" a="1"/>
  <c r="AR61" i="49" s="1"/>
  <c r="T51" i="49"/>
  <c r="AE51" i="49" s="1"/>
  <c r="AR51" i="49" s="1" a="1"/>
  <c r="AR51" i="49" s="1"/>
  <c r="BF51" i="49" s="1"/>
  <c r="T46" i="49"/>
  <c r="AE46" i="49" s="1"/>
  <c r="AR46" i="49" s="1" a="1"/>
  <c r="AR46" i="49" s="1"/>
  <c r="BF46" i="49" s="1"/>
  <c r="T45" i="49"/>
  <c r="AE45" i="49" s="1"/>
  <c r="AR45" i="49" s="1" a="1"/>
  <c r="AR45" i="49" s="1"/>
  <c r="BF45" i="49" s="1"/>
  <c r="T38" i="49"/>
  <c r="AE38" i="49" s="1"/>
  <c r="AR38" i="49" s="1" a="1"/>
  <c r="AR38" i="49" s="1"/>
  <c r="BF38" i="49" s="1"/>
  <c r="T37" i="49"/>
  <c r="AE37" i="49" s="1"/>
  <c r="AR37" i="49" s="1" a="1"/>
  <c r="AR37" i="49" s="1"/>
  <c r="BF37" i="49" s="1"/>
  <c r="T36" i="49"/>
  <c r="AE36" i="49" s="1"/>
  <c r="AR36" i="49" s="1" a="1"/>
  <c r="AR36" i="49" s="1"/>
  <c r="BF36" i="49" s="1"/>
  <c r="BP36" i="49" s="1"/>
  <c r="T31" i="49"/>
  <c r="AE31" i="49" s="1"/>
  <c r="AR31" i="49" s="1" a="1"/>
  <c r="AR31" i="49" s="1"/>
  <c r="BF31" i="49" s="1"/>
  <c r="T28" i="49"/>
  <c r="AE28" i="49" s="1"/>
  <c r="AR28" i="49" s="1" a="1"/>
  <c r="AR28" i="49" s="1"/>
  <c r="T25" i="49"/>
  <c r="AE25" i="49" s="1"/>
  <c r="AR25" i="49" s="1" a="1"/>
  <c r="AR25" i="49" s="1"/>
  <c r="BF25" i="49" s="1"/>
  <c r="T24" i="49"/>
  <c r="AE24" i="49" s="1"/>
  <c r="AR24" i="49" s="1" a="1"/>
  <c r="AR24" i="49" s="1"/>
  <c r="BF24" i="49" s="1"/>
  <c r="T23" i="49"/>
  <c r="AE23" i="49" s="1"/>
  <c r="AR23" i="49" s="1" a="1"/>
  <c r="AR23" i="49" s="1"/>
  <c r="T20" i="49"/>
  <c r="AE20" i="49" s="1"/>
  <c r="AR20" i="49" s="1" a="1"/>
  <c r="AR20" i="49" s="1"/>
  <c r="T17" i="49"/>
  <c r="AE17" i="49" s="1"/>
  <c r="AR17" i="49" s="1" a="1"/>
  <c r="AR17" i="49" s="1"/>
  <c r="BF17" i="49" s="1"/>
  <c r="T14" i="49"/>
  <c r="AE14" i="49" s="1"/>
  <c r="AR14" i="49" s="1" a="1"/>
  <c r="AR14" i="49" s="1"/>
  <c r="BF14" i="49" s="1"/>
  <c r="T11" i="49"/>
  <c r="AE11" i="49" s="1"/>
  <c r="AR11" i="49" s="1" a="1"/>
  <c r="AR11" i="49" s="1"/>
  <c r="T9" i="49"/>
  <c r="AE9" i="49" s="1"/>
  <c r="AR9" i="49" s="1" a="1"/>
  <c r="AR9" i="49" s="1"/>
  <c r="T8" i="49"/>
  <c r="AE8" i="49" s="1"/>
  <c r="AR8" i="49" s="1" a="1"/>
  <c r="AR8" i="49" s="1"/>
  <c r="BF8" i="49" s="1"/>
  <c r="T6" i="49"/>
  <c r="AE6" i="49" s="1"/>
  <c r="AR6" i="49" s="1" a="1"/>
  <c r="AR6" i="49" s="1"/>
  <c r="BF6" i="49" s="1"/>
  <c r="BG240" i="49" l="1"/>
  <c r="BJ237" i="49"/>
  <c r="BG236" i="49"/>
  <c r="BM228" i="49"/>
  <c r="BM216" i="49"/>
  <c r="BJ192" i="49"/>
  <c r="BG190" i="49"/>
  <c r="BG176" i="49"/>
  <c r="BP176" i="49" s="1"/>
  <c r="BJ163" i="49"/>
  <c r="BG162" i="49"/>
  <c r="BG144" i="49"/>
  <c r="BM132" i="49"/>
  <c r="BG114" i="49"/>
  <c r="BM100" i="49"/>
  <c r="BG98" i="49"/>
  <c r="BJ77" i="49"/>
  <c r="BM62" i="49"/>
  <c r="BG170" i="49"/>
  <c r="BH122" i="49"/>
  <c r="BF121" i="49"/>
  <c r="BG86" i="49"/>
  <c r="BM49" i="49"/>
  <c r="BK48" i="49"/>
  <c r="BH237" i="49"/>
  <c r="BM39" i="49"/>
  <c r="BJ21" i="49"/>
  <c r="BP6" i="49"/>
  <c r="BP54" i="49"/>
  <c r="BI241" i="49"/>
  <c r="BI237" i="49"/>
  <c r="BO229" i="49"/>
  <c r="BL228" i="49"/>
  <c r="BO217" i="49"/>
  <c r="BL216" i="49"/>
  <c r="BI163" i="49"/>
  <c r="BO133" i="49"/>
  <c r="BL132" i="49"/>
  <c r="BL100" i="49"/>
  <c r="BO97" i="49"/>
  <c r="BI77" i="49"/>
  <c r="BL62" i="49"/>
  <c r="BO39" i="49"/>
  <c r="BO28" i="49"/>
  <c r="BL21" i="49"/>
  <c r="BO11" i="49"/>
  <c r="BF170" i="49"/>
  <c r="BP170" i="49" s="1"/>
  <c r="BG122" i="49"/>
  <c r="BF86" i="49"/>
  <c r="BL49" i="49"/>
  <c r="BJ48" i="49"/>
  <c r="BD115" i="49"/>
  <c r="BE115" i="49" s="1"/>
  <c r="BT48" i="49" s="1"/>
  <c r="C196" i="7" s="1"/>
  <c r="BM97" i="49"/>
  <c r="BF11" i="49"/>
  <c r="BF236" i="49"/>
  <c r="BO240" i="49"/>
  <c r="BO236" i="49"/>
  <c r="BI228" i="49"/>
  <c r="BI216" i="49"/>
  <c r="BO190" i="49"/>
  <c r="BO176" i="49"/>
  <c r="BO162" i="49"/>
  <c r="BO144" i="49"/>
  <c r="BI132" i="49"/>
  <c r="BO114" i="49"/>
  <c r="BI100" i="49"/>
  <c r="BO98" i="49"/>
  <c r="BL97" i="49"/>
  <c r="BP97" i="49" s="1"/>
  <c r="BS38" i="49" s="1"/>
  <c r="D184" i="7" s="1"/>
  <c r="BI62" i="49"/>
  <c r="BL39" i="49"/>
  <c r="BL28" i="49"/>
  <c r="BL11" i="49"/>
  <c r="BO170" i="49"/>
  <c r="BN121" i="49"/>
  <c r="BO86" i="49"/>
  <c r="BM85" i="49"/>
  <c r="BI49" i="49"/>
  <c r="BG48" i="49"/>
  <c r="BD41" i="49"/>
  <c r="BE41" i="49" s="1"/>
  <c r="BT19" i="49" s="1"/>
  <c r="C147" i="7" s="1"/>
  <c r="BF237" i="49"/>
  <c r="BN240" i="49"/>
  <c r="BN236" i="49"/>
  <c r="BK229" i="49"/>
  <c r="BH228" i="49"/>
  <c r="BN204" i="49"/>
  <c r="BN190" i="49"/>
  <c r="BN176" i="49"/>
  <c r="BN162" i="49"/>
  <c r="BP162" i="49" s="1"/>
  <c r="BS72" i="49" s="1"/>
  <c r="D231" i="7" s="1"/>
  <c r="BN144" i="49"/>
  <c r="BH132" i="49"/>
  <c r="BN114" i="49"/>
  <c r="BH104" i="49"/>
  <c r="BH100" i="49"/>
  <c r="BN98" i="49"/>
  <c r="BK97" i="49"/>
  <c r="BH62" i="49"/>
  <c r="BK39" i="49"/>
  <c r="BK28" i="49"/>
  <c r="BH21" i="49"/>
  <c r="BK11" i="49"/>
  <c r="BN170" i="49"/>
  <c r="BM121" i="49"/>
  <c r="BH49" i="49"/>
  <c r="BN39" i="49"/>
  <c r="BJ100" i="49"/>
  <c r="BG77" i="49"/>
  <c r="BF114" i="49"/>
  <c r="BM240" i="49"/>
  <c r="BM236" i="49"/>
  <c r="BG228" i="49"/>
  <c r="BP228" i="49" s="1"/>
  <c r="BS114" i="49" s="1"/>
  <c r="D275" i="7" s="1"/>
  <c r="BG216" i="49"/>
  <c r="BM204" i="49"/>
  <c r="BM190" i="49"/>
  <c r="BM176" i="49"/>
  <c r="BM162" i="49"/>
  <c r="BM144" i="49"/>
  <c r="BJ133" i="49"/>
  <c r="BG132" i="49"/>
  <c r="BJ126" i="49"/>
  <c r="BM114" i="49"/>
  <c r="BM107" i="49"/>
  <c r="BG100" i="49"/>
  <c r="BM98" i="49"/>
  <c r="BG62" i="49"/>
  <c r="BG52" i="49"/>
  <c r="BJ39" i="49"/>
  <c r="BJ28" i="49"/>
  <c r="BG21" i="49"/>
  <c r="BJ11" i="49"/>
  <c r="BM170" i="49"/>
  <c r="BN122" i="49"/>
  <c r="BL121" i="49"/>
  <c r="BG49" i="49"/>
  <c r="BK21" i="49"/>
  <c r="BL240" i="49"/>
  <c r="BO237" i="49"/>
  <c r="BL190" i="49"/>
  <c r="BO177" i="49"/>
  <c r="BL176" i="49"/>
  <c r="BL162" i="49"/>
  <c r="BL144" i="49"/>
  <c r="BI133" i="49"/>
  <c r="BL114" i="49"/>
  <c r="BL98" i="49"/>
  <c r="BI97" i="49"/>
  <c r="BO77" i="49"/>
  <c r="BI39" i="49"/>
  <c r="BI28" i="49"/>
  <c r="BI11" i="49"/>
  <c r="BL170" i="49"/>
  <c r="BM122" i="49"/>
  <c r="BK121" i="49"/>
  <c r="BF49" i="49"/>
  <c r="BD107" i="49"/>
  <c r="BE107" i="49" s="1"/>
  <c r="BT44" i="49" s="1"/>
  <c r="C191" i="7" s="1"/>
  <c r="BF21" i="49"/>
  <c r="BG237" i="49"/>
  <c r="BP237" i="49" s="1"/>
  <c r="BS119" i="49" s="1"/>
  <c r="D280" i="7" s="1"/>
  <c r="BM28" i="49"/>
  <c r="BM11" i="49"/>
  <c r="BJ49" i="49"/>
  <c r="BF62" i="49"/>
  <c r="BF97" i="49"/>
  <c r="BF146" i="49"/>
  <c r="BF240" i="49"/>
  <c r="BF39" i="49"/>
  <c r="BN241" i="49"/>
  <c r="BK240" i="49"/>
  <c r="BN237" i="49"/>
  <c r="BK236" i="49"/>
  <c r="BH229" i="49"/>
  <c r="BH217" i="49"/>
  <c r="BK204" i="49"/>
  <c r="BN192" i="49"/>
  <c r="BK190" i="49"/>
  <c r="BN177" i="49"/>
  <c r="BK176" i="49"/>
  <c r="BN163" i="49"/>
  <c r="BK162" i="49"/>
  <c r="BN146" i="49"/>
  <c r="BK144" i="49"/>
  <c r="BH133" i="49"/>
  <c r="BN115" i="49"/>
  <c r="BK114" i="49"/>
  <c r="BK98" i="49"/>
  <c r="BH97" i="49"/>
  <c r="BN77" i="49"/>
  <c r="BH39" i="49"/>
  <c r="BH28" i="49"/>
  <c r="BH11" i="49"/>
  <c r="BL122" i="49"/>
  <c r="BJ121" i="49"/>
  <c r="BP121" i="49" s="1"/>
  <c r="BO48" i="49"/>
  <c r="BD210" i="49"/>
  <c r="BE210" i="49" s="1"/>
  <c r="BT101" i="49" s="1"/>
  <c r="C262" i="7" s="1"/>
  <c r="BD52" i="49"/>
  <c r="BE52" i="49" s="1"/>
  <c r="BT23" i="49" s="1"/>
  <c r="C151" i="7" s="1"/>
  <c r="BN126" i="49"/>
  <c r="BK104" i="49"/>
  <c r="BJ210" i="49"/>
  <c r="BF241" i="49"/>
  <c r="BF144" i="49"/>
  <c r="BM241" i="49"/>
  <c r="BJ240" i="49"/>
  <c r="BM237" i="49"/>
  <c r="BJ236" i="49"/>
  <c r="BG229" i="49"/>
  <c r="BG217" i="49"/>
  <c r="BJ204" i="49"/>
  <c r="BM192" i="49"/>
  <c r="BJ190" i="49"/>
  <c r="BM177" i="49"/>
  <c r="BJ176" i="49"/>
  <c r="BM163" i="49"/>
  <c r="BJ162" i="49"/>
  <c r="BM146" i="49"/>
  <c r="BJ144" i="49"/>
  <c r="BP144" i="49" s="1"/>
  <c r="BG133" i="49"/>
  <c r="BJ114" i="49"/>
  <c r="BG97" i="49"/>
  <c r="BK122" i="49"/>
  <c r="BI121" i="49"/>
  <c r="BJ86" i="49"/>
  <c r="BN48" i="49"/>
  <c r="BF48" i="49"/>
  <c r="BN97" i="49"/>
  <c r="BF210" i="49"/>
  <c r="BI240" i="49"/>
  <c r="BL237" i="49"/>
  <c r="BI236" i="49"/>
  <c r="BO228" i="49"/>
  <c r="BO216" i="49"/>
  <c r="BO210" i="49"/>
  <c r="BI190" i="49"/>
  <c r="BI176" i="49"/>
  <c r="BI162" i="49"/>
  <c r="BI144" i="49"/>
  <c r="BO132" i="49"/>
  <c r="BI114" i="49"/>
  <c r="BO104" i="49"/>
  <c r="BO100" i="49"/>
  <c r="BP100" i="49" s="1"/>
  <c r="BS40" i="49" s="1"/>
  <c r="D187" i="7" s="1"/>
  <c r="BI98" i="49"/>
  <c r="BL77" i="49"/>
  <c r="BO62" i="49"/>
  <c r="BO52" i="49"/>
  <c r="BO21" i="49"/>
  <c r="BI170" i="49"/>
  <c r="BJ122" i="49"/>
  <c r="BH121" i="49"/>
  <c r="BG85" i="49"/>
  <c r="BO49" i="49"/>
  <c r="BM48" i="49"/>
  <c r="BP13" i="49"/>
  <c r="BD104" i="49"/>
  <c r="BE104" i="49" s="1"/>
  <c r="BT43" i="49" s="1"/>
  <c r="C199" i="7" s="1"/>
  <c r="BT27" i="49"/>
  <c r="C141" i="7" s="1"/>
  <c r="BF77" i="49"/>
  <c r="BG192" i="49"/>
  <c r="BF98" i="49"/>
  <c r="BF28" i="49"/>
  <c r="BF100" i="49"/>
  <c r="BF216" i="49"/>
  <c r="BF228" i="49"/>
  <c r="BH240" i="49"/>
  <c r="BK237" i="49"/>
  <c r="BH236" i="49"/>
  <c r="BN228" i="49"/>
  <c r="BN210" i="49"/>
  <c r="BH190" i="49"/>
  <c r="BH176" i="49"/>
  <c r="BH162" i="49"/>
  <c r="BK146" i="49"/>
  <c r="BH144" i="49"/>
  <c r="BN132" i="49"/>
  <c r="BK115" i="49"/>
  <c r="BH114" i="49"/>
  <c r="BH107" i="49"/>
  <c r="BN104" i="49"/>
  <c r="BN100" i="49"/>
  <c r="BH98" i="49"/>
  <c r="BK77" i="49"/>
  <c r="BN52" i="49"/>
  <c r="BH170" i="49"/>
  <c r="BI122" i="49"/>
  <c r="BG121" i="49"/>
  <c r="BH86" i="49"/>
  <c r="BN49" i="49"/>
  <c r="BL48" i="49"/>
  <c r="BT49" i="49"/>
  <c r="C200" i="7" s="1"/>
  <c r="BF26" i="49"/>
  <c r="BL169" i="49"/>
  <c r="BI168" i="49"/>
  <c r="BL113" i="49"/>
  <c r="BO76" i="49"/>
  <c r="BI26" i="49"/>
  <c r="BP198" i="49"/>
  <c r="BP92" i="49"/>
  <c r="BM126" i="49"/>
  <c r="BF113" i="49"/>
  <c r="BK169" i="49"/>
  <c r="BH168" i="49"/>
  <c r="BK126" i="49"/>
  <c r="BK113" i="49"/>
  <c r="BN76" i="49"/>
  <c r="BT88" i="49"/>
  <c r="C248" i="7" s="1"/>
  <c r="BJ24" i="49"/>
  <c r="BE24" i="49"/>
  <c r="BT12" i="49" s="1"/>
  <c r="C169" i="7" s="1"/>
  <c r="BP74" i="49"/>
  <c r="BF126" i="49"/>
  <c r="BJ169" i="49"/>
  <c r="BJ113" i="49"/>
  <c r="BM76" i="49"/>
  <c r="BG26" i="49"/>
  <c r="BG9" i="49"/>
  <c r="BF20" i="49"/>
  <c r="BI169" i="49"/>
  <c r="BI126" i="49"/>
  <c r="BI113" i="49"/>
  <c r="BO99" i="49"/>
  <c r="BL76" i="49"/>
  <c r="BO20" i="49"/>
  <c r="BO157" i="49"/>
  <c r="BJ70" i="49"/>
  <c r="BJ168" i="49"/>
  <c r="BK230" i="49"/>
  <c r="BH169" i="49"/>
  <c r="BH126" i="49"/>
  <c r="BH113" i="49"/>
  <c r="BN99" i="49"/>
  <c r="BK76" i="49"/>
  <c r="BF168" i="49"/>
  <c r="BP188" i="49"/>
  <c r="BP226" i="49"/>
  <c r="BS112" i="49" s="1"/>
  <c r="D273" i="7" s="1"/>
  <c r="BG169" i="49"/>
  <c r="BG126" i="49"/>
  <c r="BG113" i="49"/>
  <c r="BJ76" i="49"/>
  <c r="BO82" i="49"/>
  <c r="BE82" i="49"/>
  <c r="BT35" i="49" s="1"/>
  <c r="C181" i="7" s="1"/>
  <c r="BP147" i="49"/>
  <c r="BO168" i="49"/>
  <c r="BL99" i="49"/>
  <c r="BI76" i="49"/>
  <c r="BO26" i="49"/>
  <c r="BL20" i="49"/>
  <c r="BK168" i="49"/>
  <c r="BH20" i="49"/>
  <c r="BP131" i="49"/>
  <c r="BS53" i="49" s="1"/>
  <c r="D204" i="7" s="1"/>
  <c r="BN168" i="49"/>
  <c r="BK99" i="49"/>
  <c r="BN26" i="49"/>
  <c r="BG20" i="49"/>
  <c r="BL126" i="49"/>
  <c r="BI230" i="49"/>
  <c r="BP193" i="49"/>
  <c r="BS90" i="49" s="1"/>
  <c r="D250" i="7" s="1"/>
  <c r="BP154" i="49"/>
  <c r="BM168" i="49"/>
  <c r="BJ99" i="49"/>
  <c r="BG76" i="49"/>
  <c r="BM26" i="49"/>
  <c r="BI165" i="49"/>
  <c r="BE165" i="49"/>
  <c r="BT75" i="49" s="1"/>
  <c r="C235" i="7" s="1"/>
  <c r="BP233" i="49"/>
  <c r="BS117" i="49" s="1"/>
  <c r="D278" i="7" s="1"/>
  <c r="BO169" i="49"/>
  <c r="BL168" i="49"/>
  <c r="BO126" i="49"/>
  <c r="BO113" i="49"/>
  <c r="BI99" i="49"/>
  <c r="BL26" i="49"/>
  <c r="BP26" i="49" s="1"/>
  <c r="BI20" i="49"/>
  <c r="BN25" i="49"/>
  <c r="BH23" i="49"/>
  <c r="BN20" i="49"/>
  <c r="BK18" i="49"/>
  <c r="BI151" i="49"/>
  <c r="BP140" i="49"/>
  <c r="BJ59" i="49"/>
  <c r="BH58" i="49"/>
  <c r="BL81" i="49"/>
  <c r="BD33" i="49"/>
  <c r="BE33" i="49" s="1"/>
  <c r="BT16" i="49" s="1"/>
  <c r="C173" i="7" s="1"/>
  <c r="BJ18" i="49"/>
  <c r="BP18" i="49" s="1"/>
  <c r="BH151" i="49"/>
  <c r="BL40" i="49"/>
  <c r="BI207" i="49"/>
  <c r="BD195" i="49"/>
  <c r="BE195" i="49" s="1"/>
  <c r="BT92" i="49" s="1"/>
  <c r="C253" i="7" s="1"/>
  <c r="BL152" i="49"/>
  <c r="BH136" i="49"/>
  <c r="BE207" i="49"/>
  <c r="BT98" i="49" s="1"/>
  <c r="C259" i="7" s="1"/>
  <c r="BO191" i="49"/>
  <c r="BG151" i="49"/>
  <c r="BH84" i="49"/>
  <c r="BP44" i="49"/>
  <c r="BK40" i="49"/>
  <c r="BE136" i="49"/>
  <c r="BT57" i="49" s="1"/>
  <c r="C208" i="7" s="1"/>
  <c r="BN21" i="49"/>
  <c r="BH18" i="49"/>
  <c r="BN191" i="49"/>
  <c r="BF151" i="49"/>
  <c r="BK127" i="49"/>
  <c r="BJ40" i="49"/>
  <c r="BD230" i="49"/>
  <c r="BE230" i="49" s="1"/>
  <c r="BT116" i="49" s="1"/>
  <c r="C189" i="7" s="1"/>
  <c r="BO78" i="49"/>
  <c r="BD63" i="49"/>
  <c r="BE63" i="49" s="1"/>
  <c r="BT26" i="49" s="1"/>
  <c r="C155" i="7" s="1"/>
  <c r="BE152" i="49"/>
  <c r="BT66" i="49" s="1"/>
  <c r="C219" i="7" s="1"/>
  <c r="BP211" i="49"/>
  <c r="BM191" i="49"/>
  <c r="BJ127" i="49"/>
  <c r="BF84" i="49"/>
  <c r="BJ217" i="49"/>
  <c r="BO204" i="49"/>
  <c r="BO192" i="49"/>
  <c r="BM133" i="49"/>
  <c r="BE133" i="49"/>
  <c r="BT55" i="49" s="1"/>
  <c r="C206" i="7" s="1"/>
  <c r="BE81" i="49"/>
  <c r="BT34" i="49" s="1"/>
  <c r="C281" i="7" s="1"/>
  <c r="BL9" i="49"/>
  <c r="BL191" i="49"/>
  <c r="BO149" i="49"/>
  <c r="BI127" i="49"/>
  <c r="BO83" i="49"/>
  <c r="BH40" i="49"/>
  <c r="BE217" i="49"/>
  <c r="BT105" i="49" s="1"/>
  <c r="C255" i="7" s="1"/>
  <c r="BK191" i="49"/>
  <c r="BO151" i="49"/>
  <c r="BN149" i="49"/>
  <c r="BH127" i="49"/>
  <c r="BP90" i="49"/>
  <c r="BN83" i="49"/>
  <c r="BN58" i="49"/>
  <c r="BJ9" i="49"/>
  <c r="BJ191" i="49"/>
  <c r="BM149" i="49"/>
  <c r="BG127" i="49"/>
  <c r="BO84" i="49"/>
  <c r="BM83" i="49"/>
  <c r="BE78" i="49"/>
  <c r="BT32" i="49" s="1"/>
  <c r="C176" i="7" s="1"/>
  <c r="BL23" i="49"/>
  <c r="BI21" i="49"/>
  <c r="BO18" i="49"/>
  <c r="BI191" i="49"/>
  <c r="BL149" i="49"/>
  <c r="BP149" i="49" s="1"/>
  <c r="BN84" i="49"/>
  <c r="BL83" i="49"/>
  <c r="BO172" i="49"/>
  <c r="BH26" i="49"/>
  <c r="BN24" i="49"/>
  <c r="BN18" i="49"/>
  <c r="BH191" i="49"/>
  <c r="BL151" i="49"/>
  <c r="BK149" i="49"/>
  <c r="BM84" i="49"/>
  <c r="BK83" i="49"/>
  <c r="BM59" i="49"/>
  <c r="BK58" i="49"/>
  <c r="BP142" i="49"/>
  <c r="BP178" i="49"/>
  <c r="BP158" i="49"/>
  <c r="BS69" i="49" s="1"/>
  <c r="D227" i="7" s="1"/>
  <c r="BP218" i="49"/>
  <c r="BS106" i="49" s="1"/>
  <c r="D142" i="7" s="1"/>
  <c r="BP182" i="49"/>
  <c r="BS83" i="49" s="1"/>
  <c r="D266" i="7" s="1"/>
  <c r="BP138" i="49"/>
  <c r="BS59" i="49" s="1"/>
  <c r="D210" i="7" s="1"/>
  <c r="BP185" i="49"/>
  <c r="BS85" i="49" s="1"/>
  <c r="D241" i="7" s="1"/>
  <c r="BP238" i="49"/>
  <c r="BS120" i="49" s="1"/>
  <c r="D282" i="7" s="1"/>
  <c r="BP130" i="49"/>
  <c r="BP208" i="49"/>
  <c r="BS99" i="49" s="1"/>
  <c r="D260" i="7" s="1"/>
  <c r="BP203" i="49"/>
  <c r="BP139" i="49"/>
  <c r="BS60" i="49" s="1"/>
  <c r="D211" i="7" s="1"/>
  <c r="BG136" i="49"/>
  <c r="BP27" i="49"/>
  <c r="BP7" i="49"/>
  <c r="BP215" i="49"/>
  <c r="BP93" i="49"/>
  <c r="BP95" i="49"/>
  <c r="BP47" i="49"/>
  <c r="BL241" i="49"/>
  <c r="BI204" i="49"/>
  <c r="BL146" i="49"/>
  <c r="BO136" i="49"/>
  <c r="BL123" i="49"/>
  <c r="BO101" i="49"/>
  <c r="BL82" i="49"/>
  <c r="BP132" i="49"/>
  <c r="BS54" i="49" s="1"/>
  <c r="D205" i="7" s="1"/>
  <c r="BF217" i="49"/>
  <c r="BP150" i="49"/>
  <c r="BN216" i="49"/>
  <c r="BK192" i="49"/>
  <c r="BN118" i="49"/>
  <c r="BN101" i="49"/>
  <c r="BH43" i="49"/>
  <c r="BL204" i="49"/>
  <c r="BP73" i="49"/>
  <c r="BP15" i="49"/>
  <c r="BG157" i="49"/>
  <c r="BG152" i="49"/>
  <c r="BM118" i="49"/>
  <c r="BM101" i="49"/>
  <c r="BP103" i="49"/>
  <c r="BS42" i="49" s="1"/>
  <c r="D190" i="7" s="1"/>
  <c r="BP49" i="49"/>
  <c r="BF159" i="49"/>
  <c r="BO207" i="49"/>
  <c r="BI146" i="49"/>
  <c r="BL136" i="49"/>
  <c r="BI82" i="49"/>
  <c r="BI9" i="49"/>
  <c r="BP116" i="49"/>
  <c r="BF96" i="49"/>
  <c r="BF204" i="49"/>
  <c r="BP235" i="49"/>
  <c r="BP169" i="49"/>
  <c r="BN217" i="49"/>
  <c r="BN212" i="49"/>
  <c r="BN207" i="49"/>
  <c r="BK200" i="49"/>
  <c r="BH177" i="49"/>
  <c r="BK173" i="49"/>
  <c r="BH172" i="49"/>
  <c r="BN165" i="49"/>
  <c r="BH146" i="49"/>
  <c r="BN137" i="49"/>
  <c r="BK136" i="49"/>
  <c r="BH123" i="49"/>
  <c r="BK118" i="49"/>
  <c r="BH112" i="49"/>
  <c r="BP112" i="49" s="1"/>
  <c r="BK101" i="49"/>
  <c r="BH82" i="49"/>
  <c r="BN29" i="49"/>
  <c r="BN12" i="49"/>
  <c r="BH9" i="49"/>
  <c r="BL229" i="49"/>
  <c r="BP209" i="49"/>
  <c r="BS100" i="49" s="1"/>
  <c r="D261" i="7" s="1"/>
  <c r="BP196" i="49"/>
  <c r="BM180" i="49"/>
  <c r="BF118" i="49"/>
  <c r="BK96" i="49"/>
  <c r="BF82" i="49"/>
  <c r="BP66" i="49"/>
  <c r="BP64" i="49"/>
  <c r="BN214" i="49"/>
  <c r="BM157" i="49"/>
  <c r="BP224" i="49"/>
  <c r="BP161" i="49"/>
  <c r="BP167" i="49"/>
  <c r="BS77" i="49" s="1"/>
  <c r="D174" i="7" s="1"/>
  <c r="BP201" i="49"/>
  <c r="BF152" i="49"/>
  <c r="BK152" i="49"/>
  <c r="BP143" i="49"/>
  <c r="BP153" i="49"/>
  <c r="BP227" i="49"/>
  <c r="BS113" i="49" s="1"/>
  <c r="D144" i="7" s="1"/>
  <c r="BM123" i="49"/>
  <c r="BF192" i="49"/>
  <c r="BP243" i="49"/>
  <c r="BS125" i="49" s="1"/>
  <c r="D288" i="7" s="1"/>
  <c r="BL187" i="49"/>
  <c r="BL177" i="49"/>
  <c r="BL163" i="49"/>
  <c r="BI115" i="49"/>
  <c r="BP127" i="49"/>
  <c r="BF229" i="49"/>
  <c r="BK163" i="49"/>
  <c r="BK82" i="49"/>
  <c r="BG204" i="49"/>
  <c r="BG181" i="49"/>
  <c r="BJ146" i="49"/>
  <c r="BJ123" i="49"/>
  <c r="BG115" i="49"/>
  <c r="BM96" i="49"/>
  <c r="BP174" i="49"/>
  <c r="BI135" i="49"/>
  <c r="BI123" i="49"/>
  <c r="BI117" i="49"/>
  <c r="BO29" i="49"/>
  <c r="BO12" i="49"/>
  <c r="BN180" i="49"/>
  <c r="BH118" i="49"/>
  <c r="BN157" i="49"/>
  <c r="BP106" i="49"/>
  <c r="BP220" i="49"/>
  <c r="BF63" i="49"/>
  <c r="BF181" i="49"/>
  <c r="BP221" i="49"/>
  <c r="BF173" i="49"/>
  <c r="BM229" i="49"/>
  <c r="BM217" i="49"/>
  <c r="BM212" i="49"/>
  <c r="BJ200" i="49"/>
  <c r="BG187" i="49"/>
  <c r="BG177" i="49"/>
  <c r="BJ173" i="49"/>
  <c r="BJ136" i="49"/>
  <c r="BG117" i="49"/>
  <c r="BP117" i="49" s="1"/>
  <c r="BJ101" i="49"/>
  <c r="BG82" i="49"/>
  <c r="BM41" i="49"/>
  <c r="BM29" i="49"/>
  <c r="BM12" i="49"/>
  <c r="BM81" i="49"/>
  <c r="BO61" i="49"/>
  <c r="BP16" i="49"/>
  <c r="BI212" i="49"/>
  <c r="BP19" i="49"/>
  <c r="BP32" i="49"/>
  <c r="BS15" i="49" s="1"/>
  <c r="D202" i="7" s="1"/>
  <c r="BP51" i="49"/>
  <c r="BS22" i="49" s="1"/>
  <c r="D150" i="7" s="1"/>
  <c r="BP171" i="49"/>
  <c r="BP242" i="49"/>
  <c r="BS124" i="49" s="1"/>
  <c r="D287" i="7" s="1"/>
  <c r="BG207" i="49"/>
  <c r="BJ81" i="49"/>
  <c r="BI152" i="49"/>
  <c r="BO118" i="49"/>
  <c r="BL78" i="49"/>
  <c r="BO96" i="49"/>
  <c r="BI217" i="49"/>
  <c r="BP175" i="49"/>
  <c r="BK187" i="49"/>
  <c r="BK177" i="49"/>
  <c r="BK123" i="49"/>
  <c r="BH115" i="49"/>
  <c r="BH81" i="49"/>
  <c r="BP240" i="49"/>
  <c r="BS122" i="49" s="1"/>
  <c r="D285" i="7" s="1"/>
  <c r="BP160" i="49"/>
  <c r="BP194" i="49"/>
  <c r="BS91" i="49" s="1"/>
  <c r="D252" i="7" s="1"/>
  <c r="BJ241" i="49"/>
  <c r="BJ177" i="49"/>
  <c r="BJ78" i="49"/>
  <c r="BP37" i="49"/>
  <c r="BS17" i="49" s="1"/>
  <c r="D145" i="7" s="1"/>
  <c r="BP219" i="49"/>
  <c r="BS107" i="49" s="1"/>
  <c r="D268" i="7" s="1"/>
  <c r="BI177" i="49"/>
  <c r="BF9" i="49"/>
  <c r="BN229" i="49"/>
  <c r="BF163" i="49"/>
  <c r="BP205" i="49"/>
  <c r="BS96" i="49" s="1"/>
  <c r="D256" i="7" s="1"/>
  <c r="BP120" i="49"/>
  <c r="BG241" i="49"/>
  <c r="BM207" i="49"/>
  <c r="BG163" i="49"/>
  <c r="BG146" i="49"/>
  <c r="BM137" i="49"/>
  <c r="BG123" i="49"/>
  <c r="BJ118" i="49"/>
  <c r="BF81" i="49"/>
  <c r="BP164" i="49"/>
  <c r="BS74" i="49" s="1"/>
  <c r="D232" i="7" s="1"/>
  <c r="BP206" i="49"/>
  <c r="BS97" i="49" s="1"/>
  <c r="D258" i="7" s="1"/>
  <c r="BP222" i="49"/>
  <c r="BS109" i="49" s="1"/>
  <c r="D270" i="7" s="1"/>
  <c r="BF29" i="49"/>
  <c r="BP71" i="49"/>
  <c r="BP179" i="49"/>
  <c r="BI173" i="49"/>
  <c r="BO81" i="49"/>
  <c r="BO43" i="49"/>
  <c r="BJ229" i="49"/>
  <c r="BH214" i="49"/>
  <c r="BP197" i="49"/>
  <c r="BK180" i="49"/>
  <c r="BG173" i="49"/>
  <c r="BP145" i="49"/>
  <c r="BP91" i="49"/>
  <c r="BP105" i="49"/>
  <c r="BP67" i="49"/>
  <c r="BS27" i="49" s="1"/>
  <c r="D141" i="7" s="1"/>
  <c r="BH207" i="49"/>
  <c r="BP53" i="49"/>
  <c r="BP68" i="49"/>
  <c r="BP189" i="49"/>
  <c r="BM187" i="49"/>
  <c r="BM82" i="49"/>
  <c r="BL192" i="49"/>
  <c r="BI81" i="49"/>
  <c r="BF101" i="49"/>
  <c r="BF12" i="49"/>
  <c r="BK241" i="49"/>
  <c r="BH204" i="49"/>
  <c r="BN136" i="49"/>
  <c r="BK78" i="49"/>
  <c r="BN96" i="49"/>
  <c r="BF133" i="49"/>
  <c r="BM136" i="49"/>
  <c r="BJ82" i="49"/>
  <c r="BI118" i="49"/>
  <c r="BP199" i="49"/>
  <c r="BS93" i="49" s="1"/>
  <c r="D254" i="7" s="1"/>
  <c r="BP109" i="49"/>
  <c r="BI192" i="49"/>
  <c r="BL173" i="49"/>
  <c r="BO137" i="49"/>
  <c r="BL118" i="49"/>
  <c r="BP48" i="49"/>
  <c r="BP38" i="49"/>
  <c r="BF135" i="49"/>
  <c r="BP17" i="49"/>
  <c r="BP80" i="49"/>
  <c r="BS33" i="49" s="1"/>
  <c r="D178" i="7" s="1"/>
  <c r="BP114" i="49"/>
  <c r="BS47" i="49" s="1"/>
  <c r="D194" i="7" s="1"/>
  <c r="BF165" i="49"/>
  <c r="BF207" i="49"/>
  <c r="BP223" i="49"/>
  <c r="BS110" i="49" s="1"/>
  <c r="D271" i="7" s="1"/>
  <c r="BP183" i="49"/>
  <c r="BK217" i="49"/>
  <c r="BH216" i="49"/>
  <c r="BK207" i="49"/>
  <c r="BN181" i="49"/>
  <c r="BH173" i="49"/>
  <c r="BK156" i="49"/>
  <c r="BN152" i="49"/>
  <c r="BK133" i="49"/>
  <c r="BH101" i="49"/>
  <c r="BN81" i="49"/>
  <c r="BN61" i="49"/>
  <c r="BK29" i="49"/>
  <c r="BK12" i="49"/>
  <c r="BN8" i="49"/>
  <c r="BI229" i="49"/>
  <c r="BG214" i="49"/>
  <c r="BJ156" i="49"/>
  <c r="BP148" i="49"/>
  <c r="BH12" i="49"/>
  <c r="BO187" i="49"/>
  <c r="BH180" i="49"/>
  <c r="BL133" i="49"/>
  <c r="BL128" i="49"/>
  <c r="BL86" i="49"/>
  <c r="BJ85" i="49"/>
  <c r="BN60" i="49"/>
  <c r="BK22" i="49"/>
  <c r="BH10" i="49"/>
  <c r="BF85" i="49"/>
  <c r="BP30" i="49"/>
  <c r="BP155" i="49"/>
  <c r="BL239" i="49"/>
  <c r="BL217" i="49"/>
  <c r="BO213" i="49"/>
  <c r="BP213" i="49" s="1"/>
  <c r="BL212" i="49"/>
  <c r="BL207" i="49"/>
  <c r="BI200" i="49"/>
  <c r="BP200" i="49" s="1"/>
  <c r="BI159" i="49"/>
  <c r="BL156" i="49"/>
  <c r="BO152" i="49"/>
  <c r="BL137" i="49"/>
  <c r="BI136" i="49"/>
  <c r="BP136" i="49" s="1"/>
  <c r="BS57" i="49" s="1"/>
  <c r="D208" i="7" s="1"/>
  <c r="BO115" i="49"/>
  <c r="BL107" i="49"/>
  <c r="BI101" i="49"/>
  <c r="BL65" i="49"/>
  <c r="BI46" i="49"/>
  <c r="BL29" i="49"/>
  <c r="BO25" i="49"/>
  <c r="BI23" i="49"/>
  <c r="BL12" i="49"/>
  <c r="BK128" i="49"/>
  <c r="BH96" i="49"/>
  <c r="BK86" i="49"/>
  <c r="BM60" i="49"/>
  <c r="BK59" i="49"/>
  <c r="BI40" i="49"/>
  <c r="BJ29" i="49"/>
  <c r="BM25" i="49"/>
  <c r="BF61" i="49"/>
  <c r="BP141" i="49"/>
  <c r="BS61" i="49" s="1"/>
  <c r="D212" i="7" s="1"/>
  <c r="BP166" i="49"/>
  <c r="BS76" i="49" s="1"/>
  <c r="D143" i="7" s="1"/>
  <c r="BP186" i="49"/>
  <c r="BS86" i="49" s="1"/>
  <c r="D245" i="7" s="1"/>
  <c r="BP126" i="49"/>
  <c r="BF190" i="49"/>
  <c r="BP190" i="49" s="1"/>
  <c r="BJ212" i="49"/>
  <c r="BJ207" i="49"/>
  <c r="BG168" i="49"/>
  <c r="BG159" i="49"/>
  <c r="BM152" i="49"/>
  <c r="BJ137" i="49"/>
  <c r="BG118" i="49"/>
  <c r="BM115" i="49"/>
  <c r="BJ107" i="49"/>
  <c r="BG101" i="49"/>
  <c r="BM99" i="49"/>
  <c r="BP99" i="49" s="1"/>
  <c r="BS39" i="49" s="1"/>
  <c r="D185" i="7" s="1"/>
  <c r="BJ98" i="49"/>
  <c r="BP98" i="49" s="1"/>
  <c r="BJ65" i="49"/>
  <c r="BI128" i="49"/>
  <c r="BP122" i="49"/>
  <c r="BP72" i="49"/>
  <c r="BK60" i="49"/>
  <c r="BG40" i="49"/>
  <c r="BN9" i="49"/>
  <c r="BD43" i="49"/>
  <c r="BK43" i="49" s="1"/>
  <c r="BF23" i="49"/>
  <c r="BP23" i="49" s="1"/>
  <c r="BP225" i="49"/>
  <c r="BP87" i="49"/>
  <c r="BO241" i="49"/>
  <c r="BI239" i="49"/>
  <c r="BL236" i="49"/>
  <c r="BO163" i="49"/>
  <c r="BL157" i="49"/>
  <c r="BO146" i="49"/>
  <c r="BI137" i="49"/>
  <c r="BO123" i="49"/>
  <c r="BO117" i="49"/>
  <c r="BL115" i="49"/>
  <c r="BI107" i="49"/>
  <c r="BI70" i="49"/>
  <c r="BL61" i="49"/>
  <c r="BO45" i="49"/>
  <c r="BI29" i="49"/>
  <c r="BI24" i="49"/>
  <c r="BI12" i="49"/>
  <c r="BO9" i="49"/>
  <c r="BM214" i="49"/>
  <c r="BP184" i="49"/>
  <c r="BP88" i="49"/>
  <c r="BP50" i="49"/>
  <c r="BN45" i="49"/>
  <c r="BP42" i="49"/>
  <c r="BF40" i="49"/>
  <c r="BG22" i="49"/>
  <c r="BP22" i="49" s="1"/>
  <c r="BD202" i="49"/>
  <c r="BG79" i="49"/>
  <c r="BP79" i="49" s="1"/>
  <c r="BM77" i="49"/>
  <c r="BP77" i="49" s="1"/>
  <c r="BS31" i="49" s="1"/>
  <c r="D175" i="7" s="1"/>
  <c r="BG69" i="49"/>
  <c r="BP69" i="49" s="1"/>
  <c r="BG46" i="49"/>
  <c r="BG39" i="49"/>
  <c r="BP39" i="49" s="1"/>
  <c r="BM31" i="49"/>
  <c r="BG28" i="49"/>
  <c r="BM20" i="49"/>
  <c r="BM14" i="49"/>
  <c r="BJ12" i="49"/>
  <c r="BG11" i="49"/>
  <c r="BP11" i="49" s="1"/>
  <c r="BM8" i="49"/>
  <c r="BP231" i="49"/>
  <c r="BL180" i="49"/>
  <c r="BP110" i="49"/>
  <c r="BL96" i="49"/>
  <c r="BM94" i="49"/>
  <c r="BN85" i="49"/>
  <c r="BL84" i="49"/>
  <c r="BJ83" i="49"/>
  <c r="BM56" i="49"/>
  <c r="BI10" i="49"/>
  <c r="BH76" i="49"/>
  <c r="BH70" i="49"/>
  <c r="BH65" i="49"/>
  <c r="BN62" i="49"/>
  <c r="BK25" i="49"/>
  <c r="BH24" i="49"/>
  <c r="BK20" i="49"/>
  <c r="BK14" i="49"/>
  <c r="BK8" i="49"/>
  <c r="BP232" i="49"/>
  <c r="BJ180" i="49"/>
  <c r="BN151" i="49"/>
  <c r="BO128" i="49"/>
  <c r="BP111" i="49"/>
  <c r="BJ96" i="49"/>
  <c r="BO59" i="49"/>
  <c r="BM58" i="49"/>
  <c r="BK56" i="49"/>
  <c r="BG10" i="49"/>
  <c r="BK10" i="49"/>
  <c r="BG65" i="49"/>
  <c r="BJ61" i="49"/>
  <c r="BM45" i="49"/>
  <c r="BJ31" i="49"/>
  <c r="BG29" i="49"/>
  <c r="BJ25" i="49"/>
  <c r="BG24" i="49"/>
  <c r="BM21" i="49"/>
  <c r="BJ20" i="49"/>
  <c r="BJ14" i="49"/>
  <c r="BP14" i="49" s="1"/>
  <c r="BM9" i="49"/>
  <c r="BJ8" i="49"/>
  <c r="BP8" i="49" s="1"/>
  <c r="BI180" i="49"/>
  <c r="BM151" i="49"/>
  <c r="BN128" i="49"/>
  <c r="BP108" i="49"/>
  <c r="BN59" i="49"/>
  <c r="BL58" i="49"/>
  <c r="BJ56" i="49"/>
  <c r="BK94" i="49"/>
  <c r="BN86" i="49"/>
  <c r="BL85" i="49"/>
  <c r="BJ84" i="49"/>
  <c r="BH83" i="49"/>
  <c r="BH75" i="49"/>
  <c r="BJ60" i="49"/>
  <c r="BH59" i="49"/>
  <c r="BO40" i="49"/>
  <c r="BJ22" i="49"/>
  <c r="BI96" i="49"/>
  <c r="BJ94" i="49"/>
  <c r="BM86" i="49"/>
  <c r="BK85" i="49"/>
  <c r="BI84" i="49"/>
  <c r="BG75" i="49"/>
  <c r="BI60" i="49"/>
  <c r="BG59" i="49"/>
  <c r="BO55" i="49"/>
  <c r="BN40" i="49"/>
  <c r="BP34" i="49"/>
  <c r="BI22" i="49"/>
  <c r="BH60" i="49"/>
  <c r="BF59" i="49"/>
  <c r="BN55" i="49"/>
  <c r="BM40" i="49"/>
  <c r="BH22" i="49"/>
  <c r="BH94" i="49"/>
  <c r="BI85" i="49"/>
  <c r="BG84" i="49"/>
  <c r="BG60" i="49"/>
  <c r="BO58" i="49"/>
  <c r="BM55" i="49"/>
  <c r="BP35" i="49"/>
  <c r="BJ10" i="49"/>
  <c r="BG41" i="49" l="1"/>
  <c r="BI41" i="49"/>
  <c r="BP236" i="49"/>
  <c r="BP191" i="49"/>
  <c r="BP84" i="49"/>
  <c r="BG195" i="49"/>
  <c r="BP239" i="49"/>
  <c r="BS121" i="49" s="1"/>
  <c r="D283" i="7" s="1"/>
  <c r="BP151" i="49"/>
  <c r="BS65" i="49" s="1"/>
  <c r="D218" i="7" s="1"/>
  <c r="BP113" i="49"/>
  <c r="BS46" i="49" s="1"/>
  <c r="D193" i="7" s="1"/>
  <c r="BH52" i="49"/>
  <c r="BL210" i="49"/>
  <c r="BJ104" i="49"/>
  <c r="BI104" i="49"/>
  <c r="BK52" i="49"/>
  <c r="BM210" i="49"/>
  <c r="BF41" i="49"/>
  <c r="BH210" i="49"/>
  <c r="BO107" i="49"/>
  <c r="BM104" i="49"/>
  <c r="BS111" i="49"/>
  <c r="D272" i="7" s="1"/>
  <c r="BS88" i="49"/>
  <c r="D248" i="7" s="1"/>
  <c r="BK41" i="49"/>
  <c r="BL52" i="49"/>
  <c r="BG107" i="49"/>
  <c r="BP107" i="49" s="1"/>
  <c r="BS44" i="49" s="1"/>
  <c r="D191" i="7" s="1"/>
  <c r="BP75" i="49"/>
  <c r="BP212" i="49"/>
  <c r="BS102" i="49" s="1"/>
  <c r="D263" i="7" s="1"/>
  <c r="BP168" i="49"/>
  <c r="BP65" i="49"/>
  <c r="BP28" i="49"/>
  <c r="BH41" i="49"/>
  <c r="BJ115" i="49"/>
  <c r="BP156" i="49"/>
  <c r="BS68" i="49" s="1"/>
  <c r="D223" i="7" s="1"/>
  <c r="BN41" i="49"/>
  <c r="BI195" i="49"/>
  <c r="BN107" i="49"/>
  <c r="BJ41" i="49"/>
  <c r="BP41" i="49" s="1"/>
  <c r="BS19" i="49" s="1"/>
  <c r="D147" i="7" s="1"/>
  <c r="BP21" i="49"/>
  <c r="BP46" i="49"/>
  <c r="BP62" i="49"/>
  <c r="BP216" i="49"/>
  <c r="BS104" i="49" s="1"/>
  <c r="D267" i="7" s="1"/>
  <c r="BO41" i="49"/>
  <c r="BK107" i="49"/>
  <c r="BF107" i="49"/>
  <c r="BF104" i="49"/>
  <c r="BS67" i="49"/>
  <c r="D220" i="7" s="1"/>
  <c r="BG210" i="49"/>
  <c r="BJ52" i="49"/>
  <c r="BI52" i="49"/>
  <c r="BL104" i="49"/>
  <c r="BF52" i="49"/>
  <c r="BP157" i="49"/>
  <c r="BL41" i="49"/>
  <c r="BH195" i="49"/>
  <c r="BG104" i="49"/>
  <c r="BF115" i="49"/>
  <c r="BP115" i="49" s="1"/>
  <c r="BS48" i="49" s="1"/>
  <c r="D196" i="7" s="1"/>
  <c r="BI210" i="49"/>
  <c r="BM52" i="49"/>
  <c r="BK210" i="49"/>
  <c r="BG63" i="49"/>
  <c r="BP85" i="49"/>
  <c r="BO63" i="49"/>
  <c r="BO33" i="49"/>
  <c r="BI33" i="49"/>
  <c r="BP159" i="49"/>
  <c r="BS70" i="49" s="1"/>
  <c r="D229" i="7" s="1"/>
  <c r="BN63" i="49"/>
  <c r="BL33" i="49"/>
  <c r="BI63" i="49"/>
  <c r="BP58" i="49"/>
  <c r="BP25" i="49"/>
  <c r="BS12" i="49" s="1"/>
  <c r="D169" i="7" s="1"/>
  <c r="BP137" i="49"/>
  <c r="BS58" i="49" s="1"/>
  <c r="D209" i="7" s="1"/>
  <c r="BJ43" i="49"/>
  <c r="BE43" i="49"/>
  <c r="BT20" i="49" s="1"/>
  <c r="C195" i="7" s="1"/>
  <c r="BS118" i="49"/>
  <c r="D279" i="7" s="1"/>
  <c r="BL43" i="49"/>
  <c r="BG230" i="49"/>
  <c r="BH230" i="49"/>
  <c r="BM195" i="49"/>
  <c r="BP123" i="49"/>
  <c r="BP55" i="49"/>
  <c r="BP31" i="49"/>
  <c r="BF230" i="49"/>
  <c r="BG33" i="49"/>
  <c r="BM230" i="49"/>
  <c r="BS28" i="49"/>
  <c r="D162" i="7" s="1"/>
  <c r="BP10" i="49"/>
  <c r="BP70" i="49"/>
  <c r="BP76" i="49"/>
  <c r="BP24" i="49"/>
  <c r="BP146" i="49"/>
  <c r="BS64" i="49" s="1"/>
  <c r="D217" i="7" s="1"/>
  <c r="BP187" i="49"/>
  <c r="BS87" i="49" s="1"/>
  <c r="D247" i="7" s="1"/>
  <c r="BP204" i="49"/>
  <c r="BO202" i="49"/>
  <c r="BE202" i="49"/>
  <c r="BT95" i="49" s="1"/>
  <c r="C140" i="7" s="1"/>
  <c r="BS94" i="49"/>
  <c r="D186" i="7" s="1"/>
  <c r="BS36" i="49"/>
  <c r="D183" i="7" s="1"/>
  <c r="BF202" i="49"/>
  <c r="BM63" i="49"/>
  <c r="BN195" i="49"/>
  <c r="BP60" i="49"/>
  <c r="BP45" i="49"/>
  <c r="BP56" i="49"/>
  <c r="BN230" i="49"/>
  <c r="BP20" i="49"/>
  <c r="BS10" i="49" s="1"/>
  <c r="D167" i="7" s="1"/>
  <c r="BN43" i="49"/>
  <c r="BP241" i="49"/>
  <c r="BS123" i="49" s="1"/>
  <c r="D286" i="7" s="1"/>
  <c r="BP78" i="49"/>
  <c r="BP172" i="49"/>
  <c r="BS79" i="49" s="1"/>
  <c r="D236" i="7" s="1"/>
  <c r="BK195" i="49"/>
  <c r="BL195" i="49"/>
  <c r="BF33" i="49"/>
  <c r="BO195" i="49"/>
  <c r="BL63" i="49"/>
  <c r="BM33" i="49"/>
  <c r="BO230" i="49"/>
  <c r="BS103" i="49"/>
  <c r="D264" i="7" s="1"/>
  <c r="BH63" i="49"/>
  <c r="BJ63" i="49"/>
  <c r="BP63" i="49" s="1"/>
  <c r="BS26" i="49" s="1"/>
  <c r="D155" i="7" s="1"/>
  <c r="BK63" i="49"/>
  <c r="BP177" i="49"/>
  <c r="BJ195" i="49"/>
  <c r="BP86" i="49"/>
  <c r="BP214" i="49"/>
  <c r="BH33" i="49"/>
  <c r="BJ230" i="49"/>
  <c r="BN33" i="49"/>
  <c r="BF195" i="49"/>
  <c r="BP195" i="49" s="1"/>
  <c r="BS92" i="49" s="1"/>
  <c r="D253" i="7" s="1"/>
  <c r="BP83" i="49"/>
  <c r="BS84" i="49"/>
  <c r="D234" i="7" s="1"/>
  <c r="BP94" i="49"/>
  <c r="BP180" i="49"/>
  <c r="BS82" i="49" s="1"/>
  <c r="D240" i="7" s="1"/>
  <c r="BP81" i="49"/>
  <c r="BS34" i="49" s="1"/>
  <c r="D281" i="7" s="1"/>
  <c r="BP163" i="49"/>
  <c r="BS73" i="49" s="1"/>
  <c r="D239" i="7" s="1"/>
  <c r="BS71" i="49"/>
  <c r="D230" i="7" s="1"/>
  <c r="BI43" i="49"/>
  <c r="BJ33" i="49"/>
  <c r="BK33" i="49"/>
  <c r="BL230" i="49"/>
  <c r="BS32" i="49"/>
  <c r="D176" i="7" s="1"/>
  <c r="BS30" i="49"/>
  <c r="D171" i="7" s="1"/>
  <c r="BS6" i="49"/>
  <c r="D177" i="7" s="1"/>
  <c r="BS45" i="49"/>
  <c r="D192" i="7" s="1"/>
  <c r="BF43" i="49"/>
  <c r="BP152" i="49"/>
  <c r="BS66" i="49" s="1"/>
  <c r="D219" i="7" s="1"/>
  <c r="BN202" i="49"/>
  <c r="BM43" i="49"/>
  <c r="BP207" i="49"/>
  <c r="BS98" i="49" s="1"/>
  <c r="D259" i="7" s="1"/>
  <c r="BG202" i="49"/>
  <c r="BP40" i="49"/>
  <c r="BS18" i="49" s="1"/>
  <c r="D146" i="7" s="1"/>
  <c r="BP165" i="49"/>
  <c r="BS75" i="49" s="1"/>
  <c r="D235" i="7" s="1"/>
  <c r="BP173" i="49"/>
  <c r="BS80" i="49" s="1"/>
  <c r="D237" i="7" s="1"/>
  <c r="BG43" i="49"/>
  <c r="BP12" i="49"/>
  <c r="BS8" i="49" s="1"/>
  <c r="D165" i="7" s="1"/>
  <c r="BS11" i="49"/>
  <c r="D168" i="7" s="1"/>
  <c r="BS81" i="49"/>
  <c r="D238" i="7" s="1"/>
  <c r="BS29" i="49"/>
  <c r="D163" i="7" s="1"/>
  <c r="BP9" i="49"/>
  <c r="BS7" i="49" s="1"/>
  <c r="D164" i="7" s="1"/>
  <c r="BP181" i="49"/>
  <c r="BP229" i="49"/>
  <c r="BS115" i="49" s="1"/>
  <c r="D276" i="7" s="1"/>
  <c r="BP128" i="49"/>
  <c r="BS52" i="49" s="1"/>
  <c r="D203" i="7" s="1"/>
  <c r="BJ202" i="49"/>
  <c r="BL202" i="49"/>
  <c r="BP135" i="49"/>
  <c r="BS56" i="49" s="1"/>
  <c r="D153" i="7" s="1"/>
  <c r="BP29" i="49"/>
  <c r="BM202" i="49"/>
  <c r="BP118" i="49"/>
  <c r="BS49" i="49" s="1"/>
  <c r="D200" i="7" s="1"/>
  <c r="BS9" i="49"/>
  <c r="D166" i="7" s="1"/>
  <c r="BS51" i="49"/>
  <c r="D265" i="7" s="1"/>
  <c r="BS13" i="49"/>
  <c r="D170" i="7" s="1"/>
  <c r="BS78" i="49"/>
  <c r="D182" i="7" s="1"/>
  <c r="BP101" i="49"/>
  <c r="BS41" i="49" s="1"/>
  <c r="D188" i="7" s="1"/>
  <c r="BP192" i="49"/>
  <c r="BS89" i="49" s="1"/>
  <c r="D249" i="7" s="1"/>
  <c r="BP82" i="49"/>
  <c r="BP217" i="49"/>
  <c r="BS105" i="49" s="1"/>
  <c r="D255" i="7" s="1"/>
  <c r="BS21" i="49"/>
  <c r="D149" i="7" s="1"/>
  <c r="BK202" i="49"/>
  <c r="BP133" i="49"/>
  <c r="BS55" i="49" s="1"/>
  <c r="D206" i="7" s="1"/>
  <c r="BS108" i="49"/>
  <c r="D269" i="7" s="1"/>
  <c r="BS62" i="49"/>
  <c r="D139" i="7" s="1"/>
  <c r="BP96" i="49"/>
  <c r="BS37" i="49" s="1"/>
  <c r="D233" i="7" s="1"/>
  <c r="BH202" i="49"/>
  <c r="BI202" i="49"/>
  <c r="BP61" i="49"/>
  <c r="BS25" i="49" s="1"/>
  <c r="D154" i="7" s="1"/>
  <c r="BP59" i="49"/>
  <c r="BS24" i="49" s="1"/>
  <c r="D152" i="7" s="1"/>
  <c r="BS63" i="49"/>
  <c r="D138" i="7" s="1"/>
  <c r="BP210" i="49" l="1"/>
  <c r="BS101" i="49" s="1"/>
  <c r="D262" i="7" s="1"/>
  <c r="BP104" i="49"/>
  <c r="BS43" i="49" s="1"/>
  <c r="D199" i="7" s="1"/>
  <c r="BS35" i="49"/>
  <c r="D181" i="7" s="1"/>
  <c r="BP52" i="49"/>
  <c r="BS23" i="49" s="1"/>
  <c r="D151" i="7" s="1"/>
  <c r="BP33" i="49"/>
  <c r="BS16" i="49" s="1"/>
  <c r="D173" i="7" s="1"/>
  <c r="BP202" i="49"/>
  <c r="BS95" i="49" s="1"/>
  <c r="D140" i="7" s="1"/>
  <c r="BS14" i="49"/>
  <c r="D172" i="7" s="1"/>
  <c r="BP230" i="49"/>
  <c r="BS116" i="49" s="1"/>
  <c r="D189" i="7" s="1"/>
  <c r="BJ4" i="50"/>
  <c r="BP43" i="49"/>
  <c r="BS20" i="49" s="1"/>
  <c r="D195" i="7" s="1"/>
  <c r="BR28" i="44" l="1"/>
  <c r="P155" i="5" l="1"/>
  <c r="P156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24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N125" i="5"/>
  <c r="Q125" i="5" s="1"/>
  <c r="C377" i="7" s="1"/>
  <c r="N126" i="5"/>
  <c r="Q126" i="5" s="1"/>
  <c r="C378" i="7" s="1"/>
  <c r="N127" i="5"/>
  <c r="Q127" i="5" s="1"/>
  <c r="C379" i="7" s="1"/>
  <c r="N128" i="5"/>
  <c r="Q128" i="5" s="1"/>
  <c r="C380" i="7" s="1"/>
  <c r="N129" i="5"/>
  <c r="N130" i="5"/>
  <c r="Q130" i="5" s="1"/>
  <c r="C382" i="7" s="1"/>
  <c r="N131" i="5"/>
  <c r="N132" i="5"/>
  <c r="Q132" i="5" s="1"/>
  <c r="C384" i="7" s="1"/>
  <c r="N133" i="5"/>
  <c r="N134" i="5"/>
  <c r="N135" i="5"/>
  <c r="N136" i="5"/>
  <c r="N137" i="5"/>
  <c r="Q137" i="5" s="1"/>
  <c r="C389" i="7" s="1"/>
  <c r="N138" i="5"/>
  <c r="Q138" i="5" s="1"/>
  <c r="C390" i="7" s="1"/>
  <c r="N139" i="5"/>
  <c r="N140" i="5"/>
  <c r="Q140" i="5" s="1"/>
  <c r="C392" i="7" s="1"/>
  <c r="N141" i="5"/>
  <c r="N142" i="5"/>
  <c r="Q142" i="5" s="1"/>
  <c r="C394" i="7" s="1"/>
  <c r="N143" i="5"/>
  <c r="Q143" i="5" s="1"/>
  <c r="C395" i="7" s="1"/>
  <c r="N144" i="5"/>
  <c r="Q144" i="5" s="1"/>
  <c r="C396" i="7" s="1"/>
  <c r="N145" i="5"/>
  <c r="N146" i="5"/>
  <c r="N147" i="5"/>
  <c r="N148" i="5"/>
  <c r="N149" i="5"/>
  <c r="Q149" i="5" s="1"/>
  <c r="C401" i="7" s="1"/>
  <c r="N150" i="5"/>
  <c r="Q150" i="5" s="1"/>
  <c r="C402" i="7" s="1"/>
  <c r="N151" i="5"/>
  <c r="Q151" i="5" s="1"/>
  <c r="C403" i="7" s="1"/>
  <c r="N152" i="5"/>
  <c r="Q152" i="5" s="1"/>
  <c r="C404" i="7" s="1"/>
  <c r="N153" i="5"/>
  <c r="N154" i="5"/>
  <c r="Q154" i="5" s="1"/>
  <c r="C406" i="7" s="1"/>
  <c r="N155" i="5"/>
  <c r="Q155" i="5" s="1"/>
  <c r="C407" i="7" s="1"/>
  <c r="N156" i="5"/>
  <c r="Q156" i="5" s="1"/>
  <c r="C408" i="7" s="1"/>
  <c r="N157" i="5"/>
  <c r="Q157" i="5" s="1"/>
  <c r="C409" i="7" s="1"/>
  <c r="N158" i="5"/>
  <c r="Q158" i="5" s="1"/>
  <c r="C410" i="7" s="1"/>
  <c r="N159" i="5"/>
  <c r="N160" i="5"/>
  <c r="N161" i="5"/>
  <c r="Q161" i="5" s="1"/>
  <c r="C413" i="7" s="1"/>
  <c r="N162" i="5"/>
  <c r="Q162" i="5" s="1"/>
  <c r="C414" i="7" s="1"/>
  <c r="N163" i="5"/>
  <c r="Q163" i="5" s="1"/>
  <c r="C415" i="7" s="1"/>
  <c r="N164" i="5"/>
  <c r="Q164" i="5" s="1"/>
  <c r="C416" i="7" s="1"/>
  <c r="N165" i="5"/>
  <c r="N166" i="5"/>
  <c r="Q166" i="5" s="1"/>
  <c r="C418" i="7" s="1"/>
  <c r="N167" i="5"/>
  <c r="Q167" i="5" s="1"/>
  <c r="C419" i="7" s="1"/>
  <c r="N168" i="5"/>
  <c r="Q168" i="5" s="1"/>
  <c r="C420" i="7" s="1"/>
  <c r="N169" i="5"/>
  <c r="Q169" i="5" s="1"/>
  <c r="C421" i="7" s="1"/>
  <c r="N170" i="5"/>
  <c r="Q170" i="5" s="1"/>
  <c r="C422" i="7" s="1"/>
  <c r="N171" i="5"/>
  <c r="N172" i="5"/>
  <c r="N173" i="5"/>
  <c r="Q173" i="5" s="1"/>
  <c r="C425" i="7" s="1"/>
  <c r="N174" i="5"/>
  <c r="Q174" i="5" s="1"/>
  <c r="C426" i="7" s="1"/>
  <c r="N175" i="5"/>
  <c r="Q175" i="5" s="1"/>
  <c r="C427" i="7" s="1"/>
  <c r="N176" i="5"/>
  <c r="Q176" i="5" s="1"/>
  <c r="C428" i="7" s="1"/>
  <c r="N177" i="5"/>
  <c r="N178" i="5"/>
  <c r="Q178" i="5" s="1"/>
  <c r="C430" i="7" s="1"/>
  <c r="N179" i="5"/>
  <c r="Q179" i="5" s="1"/>
  <c r="C431" i="7" s="1"/>
  <c r="N180" i="5"/>
  <c r="Q180" i="5" s="1"/>
  <c r="C432" i="7" s="1"/>
  <c r="N181" i="5"/>
  <c r="Q181" i="5" s="1"/>
  <c r="C433" i="7" s="1"/>
  <c r="N182" i="5"/>
  <c r="Q182" i="5" s="1"/>
  <c r="C434" i="7" s="1"/>
  <c r="N124" i="5"/>
  <c r="Q172" i="5" l="1"/>
  <c r="C424" i="7" s="1"/>
  <c r="Q160" i="5"/>
  <c r="C412" i="7" s="1"/>
  <c r="Q148" i="5"/>
  <c r="C400" i="7" s="1"/>
  <c r="Q136" i="5"/>
  <c r="C388" i="7" s="1"/>
  <c r="Q146" i="5"/>
  <c r="C398" i="7" s="1"/>
  <c r="Q134" i="5"/>
  <c r="C386" i="7" s="1"/>
  <c r="Q124" i="5"/>
  <c r="C376" i="7" s="1"/>
  <c r="Q177" i="5"/>
  <c r="C429" i="7" s="1"/>
  <c r="Q165" i="5"/>
  <c r="C417" i="7" s="1"/>
  <c r="Q153" i="5"/>
  <c r="C405" i="7" s="1"/>
  <c r="Q141" i="5"/>
  <c r="C393" i="7" s="1"/>
  <c r="Q129" i="5"/>
  <c r="C381" i="7" s="1"/>
  <c r="Q139" i="5"/>
  <c r="C391" i="7" s="1"/>
  <c r="Q131" i="5"/>
  <c r="C383" i="7" s="1"/>
  <c r="Q159" i="5"/>
  <c r="C411" i="7" s="1"/>
  <c r="Q147" i="5"/>
  <c r="C399" i="7" s="1"/>
  <c r="Q135" i="5"/>
  <c r="C387" i="7" s="1"/>
  <c r="Q171" i="5"/>
  <c r="C423" i="7" s="1"/>
  <c r="Q145" i="5"/>
  <c r="C397" i="7" s="1"/>
  <c r="Q133" i="5"/>
  <c r="C385" i="7" s="1"/>
  <c r="AE249" i="44" l="1"/>
  <c r="AT249" i="44" s="1"/>
  <c r="AE250" i="44"/>
  <c r="AT250" i="44" s="1"/>
  <c r="AE251" i="44"/>
  <c r="AT251" i="44" s="1"/>
  <c r="BR256" i="44"/>
  <c r="AE256" i="44"/>
  <c r="AT256" i="44" s="1"/>
  <c r="AE244" i="44"/>
  <c r="AT244" i="44" s="1"/>
  <c r="BR216" i="44"/>
  <c r="BN51" i="44"/>
  <c r="CN51" i="44" s="1"/>
  <c r="C49" i="7" s="1"/>
  <c r="BN50" i="44"/>
  <c r="CN50" i="44" s="1"/>
  <c r="C48" i="7" s="1"/>
  <c r="BN44" i="44"/>
  <c r="CN44" i="44" s="1"/>
  <c r="C42" i="7" s="1"/>
  <c r="BN19" i="44"/>
  <c r="CN19" i="44" s="1"/>
  <c r="C17" i="7" s="1"/>
  <c r="BN29" i="44"/>
  <c r="CN29" i="44" s="1"/>
  <c r="C27" i="7" s="1"/>
  <c r="BN28" i="44"/>
  <c r="CN28" i="44" s="1"/>
  <c r="C26" i="7" s="1"/>
  <c r="BN60" i="44"/>
  <c r="CN60" i="44" s="1"/>
  <c r="C58" i="7" s="1"/>
  <c r="BN25" i="44"/>
  <c r="CN25" i="44" s="1"/>
  <c r="C23" i="7" s="1"/>
  <c r="BN34" i="44"/>
  <c r="CN34" i="44" s="1"/>
  <c r="C32" i="7" s="1"/>
  <c r="BN6" i="44"/>
  <c r="CN6" i="44" s="1"/>
  <c r="C4" i="7" s="1"/>
  <c r="BN7" i="44"/>
  <c r="CN7" i="44" s="1"/>
  <c r="C5" i="7" s="1"/>
  <c r="BN8" i="44"/>
  <c r="CN8" i="44" s="1"/>
  <c r="C6" i="7" s="1"/>
  <c r="BN9" i="44"/>
  <c r="CN9" i="44" s="1"/>
  <c r="C7" i="7" s="1"/>
  <c r="BN10" i="44"/>
  <c r="CN10" i="44" s="1"/>
  <c r="C8" i="7" s="1"/>
  <c r="BN11" i="44"/>
  <c r="CN11" i="44" s="1"/>
  <c r="C9" i="7" s="1"/>
  <c r="BN12" i="44"/>
  <c r="CN12" i="44" s="1"/>
  <c r="C10" i="7" s="1"/>
  <c r="BN13" i="44"/>
  <c r="CN13" i="44" s="1"/>
  <c r="C11" i="7" s="1"/>
  <c r="BN14" i="44"/>
  <c r="CN14" i="44" s="1"/>
  <c r="C12" i="7" s="1"/>
  <c r="BN15" i="44"/>
  <c r="CN15" i="44" s="1"/>
  <c r="C13" i="7" s="1"/>
  <c r="BN16" i="44"/>
  <c r="CN16" i="44" s="1"/>
  <c r="C14" i="7" s="1"/>
  <c r="BN17" i="44"/>
  <c r="CN17" i="44" s="1"/>
  <c r="C15" i="7" s="1"/>
  <c r="BN18" i="44"/>
  <c r="CN18" i="44" s="1"/>
  <c r="C16" i="7" s="1"/>
  <c r="BN20" i="44"/>
  <c r="CN20" i="44" s="1"/>
  <c r="C18" i="7" s="1"/>
  <c r="BN21" i="44"/>
  <c r="CN21" i="44" s="1"/>
  <c r="C19" i="7" s="1"/>
  <c r="BN22" i="44"/>
  <c r="CN22" i="44" s="1"/>
  <c r="C20" i="7" s="1"/>
  <c r="BN23" i="44"/>
  <c r="CN23" i="44" s="1"/>
  <c r="C21" i="7" s="1"/>
  <c r="BN24" i="44"/>
  <c r="CN24" i="44" s="1"/>
  <c r="C22" i="7" s="1"/>
  <c r="BN26" i="44"/>
  <c r="CN26" i="44" s="1"/>
  <c r="C24" i="7" s="1"/>
  <c r="BN27" i="44"/>
  <c r="CN27" i="44" s="1"/>
  <c r="C25" i="7" s="1"/>
  <c r="BN30" i="44"/>
  <c r="CN30" i="44" s="1"/>
  <c r="C28" i="7" s="1"/>
  <c r="BN31" i="44"/>
  <c r="CN31" i="44" s="1"/>
  <c r="C29" i="7" s="1"/>
  <c r="BN32" i="44"/>
  <c r="CN32" i="44" s="1"/>
  <c r="C30" i="7" s="1"/>
  <c r="BN33" i="44"/>
  <c r="CN33" i="44" s="1"/>
  <c r="C31" i="7" s="1"/>
  <c r="BN35" i="44"/>
  <c r="CN35" i="44" s="1"/>
  <c r="C33" i="7" s="1"/>
  <c r="BN36" i="44"/>
  <c r="CN36" i="44" s="1"/>
  <c r="C34" i="7" s="1"/>
  <c r="BN37" i="44"/>
  <c r="CN37" i="44" s="1"/>
  <c r="C35" i="7" s="1"/>
  <c r="BN38" i="44"/>
  <c r="CN38" i="44" s="1"/>
  <c r="C36" i="7" s="1"/>
  <c r="BN39" i="44"/>
  <c r="CN39" i="44" s="1"/>
  <c r="C37" i="7" s="1"/>
  <c r="BN40" i="44"/>
  <c r="CN40" i="44" s="1"/>
  <c r="C38" i="7" s="1"/>
  <c r="BN41" i="44"/>
  <c r="CN41" i="44" s="1"/>
  <c r="C39" i="7" s="1"/>
  <c r="BN42" i="44"/>
  <c r="CN42" i="44" s="1"/>
  <c r="C40" i="7" s="1"/>
  <c r="BN43" i="44"/>
  <c r="CN43" i="44" s="1"/>
  <c r="C41" i="7" s="1"/>
  <c r="BN45" i="44"/>
  <c r="CN45" i="44" s="1"/>
  <c r="C43" i="7" s="1"/>
  <c r="BN46" i="44"/>
  <c r="CN46" i="44" s="1"/>
  <c r="C44" i="7" s="1"/>
  <c r="BN47" i="44"/>
  <c r="CN47" i="44" s="1"/>
  <c r="C45" i="7" s="1"/>
  <c r="BN48" i="44"/>
  <c r="CN48" i="44" s="1"/>
  <c r="C46" i="7" s="1"/>
  <c r="BN49" i="44"/>
  <c r="CN49" i="44" s="1"/>
  <c r="C47" i="7" s="1"/>
  <c r="BN52" i="44"/>
  <c r="CN52" i="44" s="1"/>
  <c r="C50" i="7" s="1"/>
  <c r="BN53" i="44"/>
  <c r="CN53" i="44" s="1"/>
  <c r="C51" i="7" s="1"/>
  <c r="BN54" i="44"/>
  <c r="CN54" i="44" s="1"/>
  <c r="C52" i="7" s="1"/>
  <c r="BN55" i="44"/>
  <c r="CN55" i="44" s="1"/>
  <c r="C53" i="7" s="1"/>
  <c r="BN56" i="44"/>
  <c r="CN56" i="44" s="1"/>
  <c r="C54" i="7" s="1"/>
  <c r="BN57" i="44"/>
  <c r="CN57" i="44" s="1"/>
  <c r="C55" i="7" s="1"/>
  <c r="BN58" i="44"/>
  <c r="CN58" i="44" s="1"/>
  <c r="C56" i="7" s="1"/>
  <c r="BN59" i="44"/>
  <c r="CN59" i="44" s="1"/>
  <c r="C57" i="7" s="1"/>
  <c r="BN61" i="44"/>
  <c r="CN61" i="44" s="1"/>
  <c r="C59" i="7" s="1"/>
  <c r="BN62" i="44"/>
  <c r="CN62" i="44" s="1"/>
  <c r="C60" i="7" s="1"/>
  <c r="BN63" i="44"/>
  <c r="CN63" i="44" s="1"/>
  <c r="C61" i="7" s="1"/>
  <c r="BN64" i="44"/>
  <c r="CN64" i="44" s="1"/>
  <c r="C62" i="7" s="1"/>
  <c r="BN65" i="44"/>
  <c r="CN65" i="44" s="1"/>
  <c r="C63" i="7" s="1"/>
  <c r="BN66" i="44"/>
  <c r="CN66" i="44" s="1"/>
  <c r="C64" i="7" s="1"/>
  <c r="BN67" i="44"/>
  <c r="CN67" i="44" s="1"/>
  <c r="C65" i="7" s="1"/>
  <c r="BN68" i="44"/>
  <c r="CN68" i="44" s="1"/>
  <c r="C66" i="7" s="1"/>
  <c r="BN69" i="44"/>
  <c r="CN69" i="44" s="1"/>
  <c r="C67" i="7" s="1"/>
  <c r="BN70" i="44"/>
  <c r="CN70" i="44" s="1"/>
  <c r="C68" i="7" s="1"/>
  <c r="BN71" i="44"/>
  <c r="CN71" i="44" s="1"/>
  <c r="C69" i="7" s="1"/>
  <c r="BN72" i="44"/>
  <c r="CN72" i="44" s="1"/>
  <c r="C70" i="7" s="1"/>
  <c r="BN73" i="44"/>
  <c r="CN73" i="44" s="1"/>
  <c r="C71" i="7" s="1"/>
  <c r="BN5" i="44"/>
  <c r="CN5" i="44" s="1"/>
  <c r="C3" i="7" s="1"/>
  <c r="BR287" i="44"/>
  <c r="BS287" i="44"/>
  <c r="BT287" i="44"/>
  <c r="BU287" i="44"/>
  <c r="BV287" i="44"/>
  <c r="BW287" i="44"/>
  <c r="BX287" i="44"/>
  <c r="BY287" i="44"/>
  <c r="BZ287" i="44"/>
  <c r="CA287" i="44"/>
  <c r="BR288" i="44"/>
  <c r="BS288" i="44"/>
  <c r="BT288" i="44"/>
  <c r="BU288" i="44"/>
  <c r="BV288" i="44"/>
  <c r="BW288" i="44"/>
  <c r="BX288" i="44"/>
  <c r="BY288" i="44"/>
  <c r="BZ288" i="44"/>
  <c r="CA288" i="44"/>
  <c r="BR289" i="44"/>
  <c r="BS289" i="44"/>
  <c r="BT289" i="44"/>
  <c r="BU289" i="44"/>
  <c r="BV289" i="44"/>
  <c r="BW289" i="44"/>
  <c r="BX289" i="44"/>
  <c r="BY289" i="44"/>
  <c r="BZ289" i="44"/>
  <c r="CA289" i="44"/>
  <c r="BR290" i="44"/>
  <c r="BS290" i="44"/>
  <c r="BT290" i="44"/>
  <c r="BU290" i="44"/>
  <c r="BV290" i="44"/>
  <c r="BW290" i="44"/>
  <c r="BX290" i="44"/>
  <c r="BY290" i="44"/>
  <c r="BZ290" i="44"/>
  <c r="CA290" i="44"/>
  <c r="BR291" i="44"/>
  <c r="BS291" i="44"/>
  <c r="BT291" i="44"/>
  <c r="BU291" i="44"/>
  <c r="BV291" i="44"/>
  <c r="BW291" i="44"/>
  <c r="BX291" i="44"/>
  <c r="BY291" i="44"/>
  <c r="BZ291" i="44"/>
  <c r="CA291" i="44"/>
  <c r="BR292" i="44"/>
  <c r="BS292" i="44"/>
  <c r="BT292" i="44"/>
  <c r="BU292" i="44"/>
  <c r="BV292" i="44"/>
  <c r="BW292" i="44"/>
  <c r="BX292" i="44"/>
  <c r="BY292" i="44"/>
  <c r="BZ292" i="44"/>
  <c r="CA292" i="44"/>
  <c r="BR293" i="44"/>
  <c r="BS293" i="44"/>
  <c r="BT293" i="44"/>
  <c r="BU293" i="44"/>
  <c r="BV293" i="44"/>
  <c r="BW293" i="44"/>
  <c r="BX293" i="44"/>
  <c r="BY293" i="44"/>
  <c r="BZ293" i="44"/>
  <c r="CA293" i="44"/>
  <c r="BR294" i="44"/>
  <c r="BS294" i="44"/>
  <c r="BT294" i="44"/>
  <c r="BU294" i="44"/>
  <c r="BV294" i="44"/>
  <c r="BW294" i="44"/>
  <c r="BX294" i="44"/>
  <c r="BY294" i="44"/>
  <c r="BZ294" i="44"/>
  <c r="CA294" i="44"/>
  <c r="BR295" i="44"/>
  <c r="BS295" i="44"/>
  <c r="BT295" i="44"/>
  <c r="BU295" i="44"/>
  <c r="BV295" i="44"/>
  <c r="BW295" i="44"/>
  <c r="BX295" i="44"/>
  <c r="BY295" i="44"/>
  <c r="BZ295" i="44"/>
  <c r="CA295" i="44"/>
  <c r="BR296" i="44"/>
  <c r="BS296" i="44"/>
  <c r="BT296" i="44"/>
  <c r="BU296" i="44"/>
  <c r="BV296" i="44"/>
  <c r="BW296" i="44"/>
  <c r="BX296" i="44"/>
  <c r="BY296" i="44"/>
  <c r="BZ296" i="44"/>
  <c r="CA296" i="44"/>
  <c r="BR297" i="44"/>
  <c r="BS297" i="44"/>
  <c r="BT297" i="44"/>
  <c r="BU297" i="44"/>
  <c r="BV297" i="44"/>
  <c r="BW297" i="44"/>
  <c r="BX297" i="44"/>
  <c r="BY297" i="44"/>
  <c r="BZ297" i="44"/>
  <c r="CA297" i="44"/>
  <c r="BR298" i="44"/>
  <c r="BS298" i="44"/>
  <c r="BT298" i="44"/>
  <c r="BU298" i="44"/>
  <c r="BV298" i="44"/>
  <c r="BW298" i="44"/>
  <c r="BX298" i="44"/>
  <c r="BY298" i="44"/>
  <c r="BZ298" i="44"/>
  <c r="CA298" i="44"/>
  <c r="BR299" i="44"/>
  <c r="BS299" i="44"/>
  <c r="BT299" i="44"/>
  <c r="BU299" i="44"/>
  <c r="BV299" i="44"/>
  <c r="BW299" i="44"/>
  <c r="BX299" i="44"/>
  <c r="BY299" i="44"/>
  <c r="BZ299" i="44"/>
  <c r="CA299" i="44"/>
  <c r="BR300" i="44"/>
  <c r="BS300" i="44"/>
  <c r="BT300" i="44"/>
  <c r="BU300" i="44"/>
  <c r="BV300" i="44"/>
  <c r="BW300" i="44"/>
  <c r="BX300" i="44"/>
  <c r="BY300" i="44"/>
  <c r="BZ300" i="44"/>
  <c r="CA300" i="44"/>
  <c r="BR301" i="44"/>
  <c r="BS301" i="44"/>
  <c r="BT301" i="44"/>
  <c r="BU301" i="44"/>
  <c r="BV301" i="44"/>
  <c r="BW301" i="44"/>
  <c r="BX301" i="44"/>
  <c r="BY301" i="44"/>
  <c r="BZ301" i="44"/>
  <c r="CA301" i="44"/>
  <c r="BR302" i="44"/>
  <c r="BS302" i="44"/>
  <c r="BT302" i="44"/>
  <c r="BU302" i="44"/>
  <c r="BV302" i="44"/>
  <c r="BW302" i="44"/>
  <c r="BX302" i="44"/>
  <c r="BY302" i="44"/>
  <c r="BZ302" i="44"/>
  <c r="CA302" i="44"/>
  <c r="BR303" i="44"/>
  <c r="BS303" i="44"/>
  <c r="BT303" i="44"/>
  <c r="BU303" i="44"/>
  <c r="BV303" i="44"/>
  <c r="BW303" i="44"/>
  <c r="BX303" i="44"/>
  <c r="BY303" i="44"/>
  <c r="BZ303" i="44"/>
  <c r="CA303" i="44"/>
  <c r="BR304" i="44"/>
  <c r="BS304" i="44"/>
  <c r="BT304" i="44"/>
  <c r="BU304" i="44"/>
  <c r="BV304" i="44"/>
  <c r="BW304" i="44"/>
  <c r="BX304" i="44"/>
  <c r="BY304" i="44"/>
  <c r="BZ304" i="44"/>
  <c r="CA304" i="44"/>
  <c r="BR305" i="44"/>
  <c r="BS305" i="44"/>
  <c r="BT305" i="44"/>
  <c r="BU305" i="44"/>
  <c r="BV305" i="44"/>
  <c r="BW305" i="44"/>
  <c r="BX305" i="44"/>
  <c r="BY305" i="44"/>
  <c r="BZ305" i="44"/>
  <c r="CA305" i="44"/>
  <c r="BR306" i="44"/>
  <c r="BS306" i="44"/>
  <c r="BT306" i="44"/>
  <c r="BU306" i="44"/>
  <c r="BV306" i="44"/>
  <c r="BW306" i="44"/>
  <c r="BX306" i="44"/>
  <c r="BY306" i="44"/>
  <c r="BZ306" i="44"/>
  <c r="CA306" i="44"/>
  <c r="BR307" i="44"/>
  <c r="BS307" i="44"/>
  <c r="BT307" i="44"/>
  <c r="BU307" i="44"/>
  <c r="BV307" i="44"/>
  <c r="BW307" i="44"/>
  <c r="BX307" i="44"/>
  <c r="BY307" i="44"/>
  <c r="BZ307" i="44"/>
  <c r="CA307" i="44"/>
  <c r="BR308" i="44"/>
  <c r="BS308" i="44"/>
  <c r="BT308" i="44"/>
  <c r="BU308" i="44"/>
  <c r="BV308" i="44"/>
  <c r="BW308" i="44"/>
  <c r="BX308" i="44"/>
  <c r="BY308" i="44"/>
  <c r="BZ308" i="44"/>
  <c r="CA308" i="44"/>
  <c r="BR309" i="44"/>
  <c r="BS309" i="44"/>
  <c r="BT309" i="44"/>
  <c r="BU309" i="44"/>
  <c r="BV309" i="44"/>
  <c r="BW309" i="44"/>
  <c r="BX309" i="44"/>
  <c r="BY309" i="44"/>
  <c r="BZ309" i="44"/>
  <c r="CA309" i="44"/>
  <c r="BR311" i="44"/>
  <c r="BS311" i="44"/>
  <c r="BT311" i="44"/>
  <c r="BU311" i="44"/>
  <c r="BV311" i="44"/>
  <c r="BW311" i="44"/>
  <c r="BX311" i="44"/>
  <c r="BY311" i="44"/>
  <c r="BZ311" i="44"/>
  <c r="CA311" i="44"/>
  <c r="BR312" i="44"/>
  <c r="BS312" i="44"/>
  <c r="BT312" i="44"/>
  <c r="BU312" i="44"/>
  <c r="BV312" i="44"/>
  <c r="BW312" i="44"/>
  <c r="BX312" i="44"/>
  <c r="BY312" i="44"/>
  <c r="BZ312" i="44"/>
  <c r="CA312" i="44"/>
  <c r="BR313" i="44"/>
  <c r="BS313" i="44"/>
  <c r="BT313" i="44"/>
  <c r="BU313" i="44"/>
  <c r="BV313" i="44"/>
  <c r="BW313" i="44"/>
  <c r="BX313" i="44"/>
  <c r="BY313" i="44"/>
  <c r="BZ313" i="44"/>
  <c r="CA313" i="44"/>
  <c r="BR314" i="44"/>
  <c r="BS314" i="44"/>
  <c r="BT314" i="44"/>
  <c r="BU314" i="44"/>
  <c r="BV314" i="44"/>
  <c r="BW314" i="44"/>
  <c r="BX314" i="44"/>
  <c r="BY314" i="44"/>
  <c r="BZ314" i="44"/>
  <c r="CA314" i="44"/>
  <c r="BR315" i="44"/>
  <c r="BS315" i="44"/>
  <c r="BT315" i="44"/>
  <c r="BU315" i="44"/>
  <c r="BV315" i="44"/>
  <c r="BW315" i="44"/>
  <c r="BX315" i="44"/>
  <c r="BY315" i="44"/>
  <c r="BZ315" i="44"/>
  <c r="CA315" i="44"/>
  <c r="BR316" i="44"/>
  <c r="BS316" i="44"/>
  <c r="BT316" i="44"/>
  <c r="BU316" i="44"/>
  <c r="BV316" i="44"/>
  <c r="BW316" i="44"/>
  <c r="BX316" i="44"/>
  <c r="BY316" i="44"/>
  <c r="BZ316" i="44"/>
  <c r="CA316" i="44"/>
  <c r="BR319" i="44"/>
  <c r="BS319" i="44"/>
  <c r="BT319" i="44"/>
  <c r="BU319" i="44"/>
  <c r="BV319" i="44"/>
  <c r="BW319" i="44"/>
  <c r="BX319" i="44"/>
  <c r="BY319" i="44"/>
  <c r="BZ319" i="44"/>
  <c r="CA319" i="44"/>
  <c r="BR320" i="44"/>
  <c r="BS320" i="44"/>
  <c r="BT320" i="44"/>
  <c r="BU320" i="44"/>
  <c r="BV320" i="44"/>
  <c r="BW320" i="44"/>
  <c r="BX320" i="44"/>
  <c r="BY320" i="44"/>
  <c r="BZ320" i="44"/>
  <c r="CA320" i="44"/>
  <c r="BR321" i="44"/>
  <c r="BS321" i="44"/>
  <c r="BT321" i="44"/>
  <c r="BU321" i="44"/>
  <c r="BV321" i="44"/>
  <c r="BW321" i="44"/>
  <c r="BX321" i="44"/>
  <c r="BY321" i="44"/>
  <c r="BZ321" i="44"/>
  <c r="CA321" i="44"/>
  <c r="BR322" i="44"/>
  <c r="BS322" i="44"/>
  <c r="BT322" i="44"/>
  <c r="BU322" i="44"/>
  <c r="BV322" i="44"/>
  <c r="BW322" i="44"/>
  <c r="BX322" i="44"/>
  <c r="BY322" i="44"/>
  <c r="BZ322" i="44"/>
  <c r="CA322" i="44"/>
  <c r="BR323" i="44"/>
  <c r="BS323" i="44"/>
  <c r="BT323" i="44"/>
  <c r="BU323" i="44"/>
  <c r="BV323" i="44"/>
  <c r="BW323" i="44"/>
  <c r="BX323" i="44"/>
  <c r="BY323" i="44"/>
  <c r="BZ323" i="44"/>
  <c r="CA323" i="44"/>
  <c r="BR324" i="44"/>
  <c r="BS324" i="44"/>
  <c r="BT324" i="44"/>
  <c r="BU324" i="44"/>
  <c r="BV324" i="44"/>
  <c r="BW324" i="44"/>
  <c r="BX324" i="44"/>
  <c r="BY324" i="44"/>
  <c r="BZ324" i="44"/>
  <c r="CA324" i="44"/>
  <c r="BR325" i="44"/>
  <c r="BS325" i="44"/>
  <c r="BT325" i="44"/>
  <c r="BU325" i="44"/>
  <c r="BV325" i="44"/>
  <c r="BW325" i="44"/>
  <c r="BX325" i="44"/>
  <c r="BY325" i="44"/>
  <c r="BZ325" i="44"/>
  <c r="CA325" i="44"/>
  <c r="BR327" i="44"/>
  <c r="BS327" i="44"/>
  <c r="BT327" i="44"/>
  <c r="BU327" i="44"/>
  <c r="BV327" i="44"/>
  <c r="BW327" i="44"/>
  <c r="BX327" i="44"/>
  <c r="BY327" i="44"/>
  <c r="BZ327" i="44"/>
  <c r="CA327" i="44"/>
  <c r="BR328" i="44"/>
  <c r="BS328" i="44"/>
  <c r="BT328" i="44"/>
  <c r="BU328" i="44"/>
  <c r="BV328" i="44"/>
  <c r="BW328" i="44"/>
  <c r="BX328" i="44"/>
  <c r="BY328" i="44"/>
  <c r="BZ328" i="44"/>
  <c r="CA328" i="44"/>
  <c r="BR329" i="44"/>
  <c r="BS329" i="44"/>
  <c r="BT329" i="44"/>
  <c r="BU329" i="44"/>
  <c r="BV329" i="44"/>
  <c r="BW329" i="44"/>
  <c r="BX329" i="44"/>
  <c r="BY329" i="44"/>
  <c r="BZ329" i="44"/>
  <c r="CA329" i="44"/>
  <c r="BR330" i="44"/>
  <c r="BS330" i="44"/>
  <c r="BT330" i="44"/>
  <c r="BU330" i="44"/>
  <c r="BV330" i="44"/>
  <c r="BW330" i="44"/>
  <c r="BX330" i="44"/>
  <c r="BY330" i="44"/>
  <c r="BZ330" i="44"/>
  <c r="CA330" i="44"/>
  <c r="BR331" i="44"/>
  <c r="BS331" i="44"/>
  <c r="BT331" i="44"/>
  <c r="BU331" i="44"/>
  <c r="BV331" i="44"/>
  <c r="BW331" i="44"/>
  <c r="BX331" i="44"/>
  <c r="BY331" i="44"/>
  <c r="BZ331" i="44"/>
  <c r="CA331" i="44"/>
  <c r="BR332" i="44"/>
  <c r="BS332" i="44"/>
  <c r="BT332" i="44"/>
  <c r="BU332" i="44"/>
  <c r="BV332" i="44"/>
  <c r="BW332" i="44"/>
  <c r="BX332" i="44"/>
  <c r="BY332" i="44"/>
  <c r="BZ332" i="44"/>
  <c r="CA332" i="44"/>
  <c r="BR333" i="44"/>
  <c r="BS333" i="44"/>
  <c r="BT333" i="44"/>
  <c r="BU333" i="44"/>
  <c r="BV333" i="44"/>
  <c r="BW333" i="44"/>
  <c r="BX333" i="44"/>
  <c r="BY333" i="44"/>
  <c r="BZ333" i="44"/>
  <c r="CA333" i="44"/>
  <c r="BR334" i="44"/>
  <c r="BS334" i="44"/>
  <c r="BT334" i="44"/>
  <c r="BU334" i="44"/>
  <c r="BV334" i="44"/>
  <c r="BW334" i="44"/>
  <c r="BX334" i="44"/>
  <c r="BY334" i="44"/>
  <c r="BZ334" i="44"/>
  <c r="CA334" i="44"/>
  <c r="BR335" i="44"/>
  <c r="BS335" i="44"/>
  <c r="BT335" i="44"/>
  <c r="BU335" i="44"/>
  <c r="BV335" i="44"/>
  <c r="BW335" i="44"/>
  <c r="BX335" i="44"/>
  <c r="BY335" i="44"/>
  <c r="BZ335" i="44"/>
  <c r="CA335" i="44"/>
  <c r="BR336" i="44"/>
  <c r="BS336" i="44"/>
  <c r="BT336" i="44"/>
  <c r="BU336" i="44"/>
  <c r="BV336" i="44"/>
  <c r="BW336" i="44"/>
  <c r="BX336" i="44"/>
  <c r="BY336" i="44"/>
  <c r="BZ336" i="44"/>
  <c r="CA336" i="44"/>
  <c r="BR337" i="44"/>
  <c r="BS337" i="44"/>
  <c r="BT337" i="44"/>
  <c r="BU337" i="44"/>
  <c r="BV337" i="44"/>
  <c r="BW337" i="44"/>
  <c r="BX337" i="44"/>
  <c r="BY337" i="44"/>
  <c r="BZ337" i="44"/>
  <c r="CA337" i="44"/>
  <c r="BR338" i="44"/>
  <c r="BS338" i="44"/>
  <c r="BT338" i="44"/>
  <c r="BU338" i="44"/>
  <c r="BV338" i="44"/>
  <c r="BW338" i="44"/>
  <c r="BX338" i="44"/>
  <c r="BY338" i="44"/>
  <c r="BZ338" i="44"/>
  <c r="CA338" i="44"/>
  <c r="BR339" i="44"/>
  <c r="BS339" i="44"/>
  <c r="BT339" i="44"/>
  <c r="BU339" i="44"/>
  <c r="BV339" i="44"/>
  <c r="BW339" i="44"/>
  <c r="BX339" i="44"/>
  <c r="BY339" i="44"/>
  <c r="BZ339" i="44"/>
  <c r="CA339" i="44"/>
  <c r="BR340" i="44"/>
  <c r="BS340" i="44"/>
  <c r="BT340" i="44"/>
  <c r="BU340" i="44"/>
  <c r="BV340" i="44"/>
  <c r="BW340" i="44"/>
  <c r="BX340" i="44"/>
  <c r="BY340" i="44"/>
  <c r="BZ340" i="44"/>
  <c r="CA340" i="44"/>
  <c r="BR341" i="44"/>
  <c r="BS341" i="44"/>
  <c r="BT341" i="44"/>
  <c r="BU341" i="44"/>
  <c r="BV341" i="44"/>
  <c r="BW341" i="44"/>
  <c r="BX341" i="44"/>
  <c r="BY341" i="44"/>
  <c r="BZ341" i="44"/>
  <c r="CA341" i="44"/>
  <c r="BR342" i="44"/>
  <c r="BS342" i="44"/>
  <c r="BT342" i="44"/>
  <c r="BU342" i="44"/>
  <c r="BV342" i="44"/>
  <c r="BW342" i="44"/>
  <c r="BX342" i="44"/>
  <c r="BY342" i="44"/>
  <c r="BZ342" i="44"/>
  <c r="CA342" i="44"/>
  <c r="BR343" i="44"/>
  <c r="BS343" i="44"/>
  <c r="BT343" i="44"/>
  <c r="BU343" i="44"/>
  <c r="BV343" i="44"/>
  <c r="BW343" i="44"/>
  <c r="BX343" i="44"/>
  <c r="BY343" i="44"/>
  <c r="BZ343" i="44"/>
  <c r="CA343" i="44"/>
  <c r="BR344" i="44"/>
  <c r="BS344" i="44"/>
  <c r="BT344" i="44"/>
  <c r="BU344" i="44"/>
  <c r="BV344" i="44"/>
  <c r="BW344" i="44"/>
  <c r="BX344" i="44"/>
  <c r="BY344" i="44"/>
  <c r="BZ344" i="44"/>
  <c r="CA344" i="44"/>
  <c r="BR345" i="44"/>
  <c r="BS345" i="44"/>
  <c r="BT345" i="44"/>
  <c r="BU345" i="44"/>
  <c r="BV345" i="44"/>
  <c r="BW345" i="44"/>
  <c r="BX345" i="44"/>
  <c r="BY345" i="44"/>
  <c r="BZ345" i="44"/>
  <c r="CA345" i="44"/>
  <c r="BR346" i="44"/>
  <c r="BS346" i="44"/>
  <c r="BT346" i="44"/>
  <c r="BU346" i="44"/>
  <c r="BV346" i="44"/>
  <c r="BW346" i="44"/>
  <c r="BX346" i="44"/>
  <c r="BY346" i="44"/>
  <c r="BZ346" i="44"/>
  <c r="CA346" i="44"/>
  <c r="BR347" i="44"/>
  <c r="BS347" i="44"/>
  <c r="BT347" i="44"/>
  <c r="BU347" i="44"/>
  <c r="BV347" i="44"/>
  <c r="BW347" i="44"/>
  <c r="BX347" i="44"/>
  <c r="BY347" i="44"/>
  <c r="BZ347" i="44"/>
  <c r="CA347" i="44"/>
  <c r="BR348" i="44"/>
  <c r="BS348" i="44"/>
  <c r="BT348" i="44"/>
  <c r="BU348" i="44"/>
  <c r="BV348" i="44"/>
  <c r="BW348" i="44"/>
  <c r="BX348" i="44"/>
  <c r="BY348" i="44"/>
  <c r="BZ348" i="44"/>
  <c r="CA348" i="44"/>
  <c r="BR349" i="44"/>
  <c r="BS349" i="44"/>
  <c r="BT349" i="44"/>
  <c r="BU349" i="44"/>
  <c r="BV349" i="44"/>
  <c r="BW349" i="44"/>
  <c r="BX349" i="44"/>
  <c r="BY349" i="44"/>
  <c r="BZ349" i="44"/>
  <c r="CA349" i="44"/>
  <c r="BR350" i="44"/>
  <c r="BS350" i="44"/>
  <c r="BT350" i="44"/>
  <c r="BU350" i="44"/>
  <c r="BV350" i="44"/>
  <c r="BW350" i="44"/>
  <c r="BX350" i="44"/>
  <c r="BY350" i="44"/>
  <c r="BZ350" i="44"/>
  <c r="CA350" i="44"/>
  <c r="BR351" i="44"/>
  <c r="BS351" i="44"/>
  <c r="BT351" i="44"/>
  <c r="BU351" i="44"/>
  <c r="BV351" i="44"/>
  <c r="BW351" i="44"/>
  <c r="BX351" i="44"/>
  <c r="BY351" i="44"/>
  <c r="BZ351" i="44"/>
  <c r="CA351" i="44"/>
  <c r="BR352" i="44"/>
  <c r="BS352" i="44"/>
  <c r="BT352" i="44"/>
  <c r="BU352" i="44"/>
  <c r="BV352" i="44"/>
  <c r="BW352" i="44"/>
  <c r="BX352" i="44"/>
  <c r="BY352" i="44"/>
  <c r="BZ352" i="44"/>
  <c r="CA352" i="44"/>
  <c r="BR353" i="44"/>
  <c r="BS353" i="44"/>
  <c r="BT353" i="44"/>
  <c r="BU353" i="44"/>
  <c r="BV353" i="44"/>
  <c r="BW353" i="44"/>
  <c r="BX353" i="44"/>
  <c r="BY353" i="44"/>
  <c r="BZ353" i="44"/>
  <c r="CA353" i="44"/>
  <c r="BS285" i="44"/>
  <c r="BT285" i="44"/>
  <c r="BU285" i="44"/>
  <c r="BV285" i="44"/>
  <c r="BW285" i="44"/>
  <c r="BX285" i="44"/>
  <c r="BY285" i="44"/>
  <c r="BZ285" i="44"/>
  <c r="CA285" i="44"/>
  <c r="BR285" i="44"/>
  <c r="BR217" i="44"/>
  <c r="BS217" i="44"/>
  <c r="BT217" i="44"/>
  <c r="BU217" i="44"/>
  <c r="BV217" i="44"/>
  <c r="BW217" i="44"/>
  <c r="BX217" i="44"/>
  <c r="BY217" i="44"/>
  <c r="BZ217" i="44"/>
  <c r="CA217" i="44"/>
  <c r="BR218" i="44"/>
  <c r="BS218" i="44"/>
  <c r="BT218" i="44"/>
  <c r="BU218" i="44"/>
  <c r="BV218" i="44"/>
  <c r="BW218" i="44"/>
  <c r="BX218" i="44"/>
  <c r="BY218" i="44"/>
  <c r="BZ218" i="44"/>
  <c r="CA218" i="44"/>
  <c r="BR219" i="44"/>
  <c r="BS219" i="44"/>
  <c r="BT219" i="44"/>
  <c r="BU219" i="44"/>
  <c r="BV219" i="44"/>
  <c r="BW219" i="44"/>
  <c r="BX219" i="44"/>
  <c r="BY219" i="44"/>
  <c r="BZ219" i="44"/>
  <c r="CA219" i="44"/>
  <c r="BR220" i="44"/>
  <c r="BS220" i="44"/>
  <c r="BT220" i="44"/>
  <c r="BU220" i="44"/>
  <c r="BV220" i="44"/>
  <c r="BW220" i="44"/>
  <c r="BX220" i="44"/>
  <c r="BY220" i="44"/>
  <c r="BZ220" i="44"/>
  <c r="CA220" i="44"/>
  <c r="BR221" i="44"/>
  <c r="BS221" i="44"/>
  <c r="BT221" i="44"/>
  <c r="BU221" i="44"/>
  <c r="BV221" i="44"/>
  <c r="BW221" i="44"/>
  <c r="BX221" i="44"/>
  <c r="BY221" i="44"/>
  <c r="BZ221" i="44"/>
  <c r="CA221" i="44"/>
  <c r="BR223" i="44"/>
  <c r="BS223" i="44"/>
  <c r="BT223" i="44"/>
  <c r="BU223" i="44"/>
  <c r="BV223" i="44"/>
  <c r="BW223" i="44"/>
  <c r="BX223" i="44"/>
  <c r="BY223" i="44"/>
  <c r="BZ223" i="44"/>
  <c r="CA223" i="44"/>
  <c r="BR225" i="44"/>
  <c r="BS225" i="44"/>
  <c r="BT225" i="44"/>
  <c r="BU225" i="44"/>
  <c r="BV225" i="44"/>
  <c r="BW225" i="44"/>
  <c r="BX225" i="44"/>
  <c r="BY225" i="44"/>
  <c r="BZ225" i="44"/>
  <c r="CA225" i="44"/>
  <c r="BR226" i="44"/>
  <c r="BS226" i="44"/>
  <c r="BT226" i="44"/>
  <c r="BU226" i="44"/>
  <c r="BV226" i="44"/>
  <c r="BW226" i="44"/>
  <c r="BX226" i="44"/>
  <c r="BY226" i="44"/>
  <c r="BZ226" i="44"/>
  <c r="CA226" i="44"/>
  <c r="BR227" i="44"/>
  <c r="BS227" i="44"/>
  <c r="BT227" i="44"/>
  <c r="BU227" i="44"/>
  <c r="BV227" i="44"/>
  <c r="BW227" i="44"/>
  <c r="BX227" i="44"/>
  <c r="BY227" i="44"/>
  <c r="BZ227" i="44"/>
  <c r="CA227" i="44"/>
  <c r="BR228" i="44"/>
  <c r="BS228" i="44"/>
  <c r="BT228" i="44"/>
  <c r="BU228" i="44"/>
  <c r="BV228" i="44"/>
  <c r="BW228" i="44"/>
  <c r="BX228" i="44"/>
  <c r="BY228" i="44"/>
  <c r="BZ228" i="44"/>
  <c r="CA228" i="44"/>
  <c r="BR229" i="44"/>
  <c r="BS229" i="44"/>
  <c r="BT229" i="44"/>
  <c r="BU229" i="44"/>
  <c r="BV229" i="44"/>
  <c r="BW229" i="44"/>
  <c r="BX229" i="44"/>
  <c r="BY229" i="44"/>
  <c r="BZ229" i="44"/>
  <c r="CA229" i="44"/>
  <c r="BR230" i="44"/>
  <c r="BS230" i="44"/>
  <c r="BT230" i="44"/>
  <c r="BU230" i="44"/>
  <c r="BV230" i="44"/>
  <c r="BW230" i="44"/>
  <c r="BX230" i="44"/>
  <c r="BY230" i="44"/>
  <c r="BZ230" i="44"/>
  <c r="CA230" i="44"/>
  <c r="BR231" i="44"/>
  <c r="BS231" i="44"/>
  <c r="BT231" i="44"/>
  <c r="BU231" i="44"/>
  <c r="BV231" i="44"/>
  <c r="BW231" i="44"/>
  <c r="BX231" i="44"/>
  <c r="BY231" i="44"/>
  <c r="BZ231" i="44"/>
  <c r="CA231" i="44"/>
  <c r="BR232" i="44"/>
  <c r="BS232" i="44"/>
  <c r="BT232" i="44"/>
  <c r="BU232" i="44"/>
  <c r="BV232" i="44"/>
  <c r="BW232" i="44"/>
  <c r="BX232" i="44"/>
  <c r="BY232" i="44"/>
  <c r="BZ232" i="44"/>
  <c r="CA232" i="44"/>
  <c r="BR233" i="44"/>
  <c r="BS233" i="44"/>
  <c r="BT233" i="44"/>
  <c r="BU233" i="44"/>
  <c r="BV233" i="44"/>
  <c r="BW233" i="44"/>
  <c r="BX233" i="44"/>
  <c r="BY233" i="44"/>
  <c r="BZ233" i="44"/>
  <c r="CA233" i="44"/>
  <c r="BR234" i="44"/>
  <c r="BS234" i="44"/>
  <c r="BT234" i="44"/>
  <c r="BU234" i="44"/>
  <c r="BV234" i="44"/>
  <c r="BW234" i="44"/>
  <c r="BX234" i="44"/>
  <c r="BY234" i="44"/>
  <c r="BZ234" i="44"/>
  <c r="CA234" i="44"/>
  <c r="BR235" i="44"/>
  <c r="BS235" i="44"/>
  <c r="BT235" i="44"/>
  <c r="BU235" i="44"/>
  <c r="BV235" i="44"/>
  <c r="BW235" i="44"/>
  <c r="BX235" i="44"/>
  <c r="BY235" i="44"/>
  <c r="BZ235" i="44"/>
  <c r="CA235" i="44"/>
  <c r="BR236" i="44"/>
  <c r="BS236" i="44"/>
  <c r="BT236" i="44"/>
  <c r="BU236" i="44"/>
  <c r="BV236" i="44"/>
  <c r="BW236" i="44"/>
  <c r="BX236" i="44"/>
  <c r="BY236" i="44"/>
  <c r="BZ236" i="44"/>
  <c r="CA236" i="44"/>
  <c r="BR237" i="44"/>
  <c r="BS237" i="44"/>
  <c r="BT237" i="44"/>
  <c r="BU237" i="44"/>
  <c r="BV237" i="44"/>
  <c r="BW237" i="44"/>
  <c r="BX237" i="44"/>
  <c r="BY237" i="44"/>
  <c r="BZ237" i="44"/>
  <c r="CA237" i="44"/>
  <c r="BR239" i="44"/>
  <c r="BS239" i="44"/>
  <c r="BT239" i="44"/>
  <c r="BU239" i="44"/>
  <c r="BV239" i="44"/>
  <c r="BW239" i="44"/>
  <c r="BX239" i="44"/>
  <c r="BY239" i="44"/>
  <c r="BZ239" i="44"/>
  <c r="CA239" i="44"/>
  <c r="BR240" i="44"/>
  <c r="BR242" i="44"/>
  <c r="BS242" i="44"/>
  <c r="BT242" i="44"/>
  <c r="BU242" i="44"/>
  <c r="BV242" i="44"/>
  <c r="BW242" i="44"/>
  <c r="BX242" i="44"/>
  <c r="BY242" i="44"/>
  <c r="BZ242" i="44"/>
  <c r="CA242" i="44"/>
  <c r="BR244" i="44"/>
  <c r="BS244" i="44"/>
  <c r="BT244" i="44"/>
  <c r="BU244" i="44"/>
  <c r="BV244" i="44"/>
  <c r="BW244" i="44"/>
  <c r="BX244" i="44"/>
  <c r="BY244" i="44"/>
  <c r="BZ244" i="44"/>
  <c r="CA244" i="44"/>
  <c r="BR245" i="44"/>
  <c r="BS245" i="44"/>
  <c r="BT245" i="44"/>
  <c r="BU245" i="44"/>
  <c r="BV245" i="44"/>
  <c r="BW245" i="44"/>
  <c r="BX245" i="44"/>
  <c r="BY245" i="44"/>
  <c r="BZ245" i="44"/>
  <c r="CA245" i="44"/>
  <c r="BR246" i="44"/>
  <c r="BS246" i="44"/>
  <c r="BT246" i="44"/>
  <c r="BU246" i="44"/>
  <c r="BV246" i="44"/>
  <c r="BW246" i="44"/>
  <c r="BX246" i="44"/>
  <c r="BY246" i="44"/>
  <c r="BZ246" i="44"/>
  <c r="CA246" i="44"/>
  <c r="BR247" i="44"/>
  <c r="BR248" i="44"/>
  <c r="BR249" i="44"/>
  <c r="BR250" i="44"/>
  <c r="BS250" i="44"/>
  <c r="BT250" i="44"/>
  <c r="BU250" i="44"/>
  <c r="BV250" i="44"/>
  <c r="BW250" i="44"/>
  <c r="BX250" i="44"/>
  <c r="BY250" i="44"/>
  <c r="BZ250" i="44"/>
  <c r="CA250" i="44"/>
  <c r="BR251" i="44"/>
  <c r="BS251" i="44"/>
  <c r="BT251" i="44"/>
  <c r="BU251" i="44"/>
  <c r="BV251" i="44"/>
  <c r="BW251" i="44"/>
  <c r="BX251" i="44"/>
  <c r="BY251" i="44"/>
  <c r="BZ251" i="44"/>
  <c r="CA251" i="44"/>
  <c r="BR252" i="44"/>
  <c r="BS252" i="44"/>
  <c r="BT252" i="44"/>
  <c r="BU252" i="44"/>
  <c r="BV252" i="44"/>
  <c r="BW252" i="44"/>
  <c r="BX252" i="44"/>
  <c r="BY252" i="44"/>
  <c r="BZ252" i="44"/>
  <c r="CA252" i="44"/>
  <c r="BR255" i="44"/>
  <c r="BS255" i="44"/>
  <c r="BT255" i="44"/>
  <c r="BU255" i="44"/>
  <c r="BV255" i="44"/>
  <c r="BW255" i="44"/>
  <c r="BX255" i="44"/>
  <c r="BY255" i="44"/>
  <c r="BZ255" i="44"/>
  <c r="CA255" i="44"/>
  <c r="BR258" i="44"/>
  <c r="BS258" i="44"/>
  <c r="BT258" i="44"/>
  <c r="BU258" i="44"/>
  <c r="BV258" i="44"/>
  <c r="BW258" i="44"/>
  <c r="BX258" i="44"/>
  <c r="BY258" i="44"/>
  <c r="BZ258" i="44"/>
  <c r="CA258" i="44"/>
  <c r="BR259" i="44"/>
  <c r="BS259" i="44"/>
  <c r="BT259" i="44"/>
  <c r="BU259" i="44"/>
  <c r="BV259" i="44"/>
  <c r="BW259" i="44"/>
  <c r="BX259" i="44"/>
  <c r="BY259" i="44"/>
  <c r="BZ259" i="44"/>
  <c r="CA259" i="44"/>
  <c r="BR260" i="44"/>
  <c r="BR261" i="44"/>
  <c r="BR263" i="44"/>
  <c r="BS263" i="44"/>
  <c r="BT263" i="44"/>
  <c r="BU263" i="44"/>
  <c r="BV263" i="44"/>
  <c r="BW263" i="44"/>
  <c r="BX263" i="44"/>
  <c r="BY263" i="44"/>
  <c r="BZ263" i="44"/>
  <c r="CA263" i="44"/>
  <c r="BR264" i="44"/>
  <c r="BS264" i="44"/>
  <c r="BT264" i="44"/>
  <c r="BU264" i="44"/>
  <c r="BV264" i="44"/>
  <c r="BW264" i="44"/>
  <c r="BX264" i="44"/>
  <c r="BY264" i="44"/>
  <c r="BZ264" i="44"/>
  <c r="CA264" i="44"/>
  <c r="BR265" i="44"/>
  <c r="BS265" i="44"/>
  <c r="BT265" i="44"/>
  <c r="BU265" i="44"/>
  <c r="BV265" i="44"/>
  <c r="BW265" i="44"/>
  <c r="BX265" i="44"/>
  <c r="BY265" i="44"/>
  <c r="BZ265" i="44"/>
  <c r="CA265" i="44"/>
  <c r="BR266" i="44"/>
  <c r="BS266" i="44"/>
  <c r="BT266" i="44"/>
  <c r="BU266" i="44"/>
  <c r="BV266" i="44"/>
  <c r="BW266" i="44"/>
  <c r="BX266" i="44"/>
  <c r="BY266" i="44"/>
  <c r="BZ266" i="44"/>
  <c r="CA266" i="44"/>
  <c r="BR267" i="44"/>
  <c r="BS267" i="44"/>
  <c r="BT267" i="44"/>
  <c r="BU267" i="44"/>
  <c r="BV267" i="44"/>
  <c r="BW267" i="44"/>
  <c r="BX267" i="44"/>
  <c r="BY267" i="44"/>
  <c r="BZ267" i="44"/>
  <c r="CA267" i="44"/>
  <c r="BR268" i="44"/>
  <c r="BS268" i="44"/>
  <c r="BT268" i="44"/>
  <c r="BU268" i="44"/>
  <c r="BV268" i="44"/>
  <c r="BW268" i="44"/>
  <c r="BX268" i="44"/>
  <c r="BY268" i="44"/>
  <c r="BZ268" i="44"/>
  <c r="CA268" i="44"/>
  <c r="BR269" i="44"/>
  <c r="BS269" i="44"/>
  <c r="BT269" i="44"/>
  <c r="BU269" i="44"/>
  <c r="BV269" i="44"/>
  <c r="BW269" i="44"/>
  <c r="BX269" i="44"/>
  <c r="BY269" i="44"/>
  <c r="BZ269" i="44"/>
  <c r="CA269" i="44"/>
  <c r="BR270" i="44"/>
  <c r="BS270" i="44"/>
  <c r="BT270" i="44"/>
  <c r="BU270" i="44"/>
  <c r="BV270" i="44"/>
  <c r="BW270" i="44"/>
  <c r="BX270" i="44"/>
  <c r="BY270" i="44"/>
  <c r="BZ270" i="44"/>
  <c r="CA270" i="44"/>
  <c r="BR271" i="44"/>
  <c r="BS271" i="44"/>
  <c r="BT271" i="44"/>
  <c r="BU271" i="44"/>
  <c r="BV271" i="44"/>
  <c r="BW271" i="44"/>
  <c r="BX271" i="44"/>
  <c r="BY271" i="44"/>
  <c r="BZ271" i="44"/>
  <c r="CA271" i="44"/>
  <c r="BR272" i="44"/>
  <c r="BS272" i="44"/>
  <c r="BT272" i="44"/>
  <c r="BU272" i="44"/>
  <c r="BV272" i="44"/>
  <c r="BW272" i="44"/>
  <c r="BX272" i="44"/>
  <c r="BY272" i="44"/>
  <c r="BZ272" i="44"/>
  <c r="CA272" i="44"/>
  <c r="BR273" i="44"/>
  <c r="BS273" i="44"/>
  <c r="BT273" i="44"/>
  <c r="BU273" i="44"/>
  <c r="BV273" i="44"/>
  <c r="BW273" i="44"/>
  <c r="BX273" i="44"/>
  <c r="BY273" i="44"/>
  <c r="BZ273" i="44"/>
  <c r="CA273" i="44"/>
  <c r="BR274" i="44"/>
  <c r="BS274" i="44"/>
  <c r="BT274" i="44"/>
  <c r="BU274" i="44"/>
  <c r="BV274" i="44"/>
  <c r="BW274" i="44"/>
  <c r="BX274" i="44"/>
  <c r="BY274" i="44"/>
  <c r="BZ274" i="44"/>
  <c r="CA274" i="44"/>
  <c r="BR275" i="44"/>
  <c r="BS275" i="44"/>
  <c r="BT275" i="44"/>
  <c r="BU275" i="44"/>
  <c r="BV275" i="44"/>
  <c r="BW275" i="44"/>
  <c r="BX275" i="44"/>
  <c r="BY275" i="44"/>
  <c r="BZ275" i="44"/>
  <c r="CA275" i="44"/>
  <c r="BR276" i="44"/>
  <c r="BS276" i="44"/>
  <c r="BT276" i="44"/>
  <c r="BU276" i="44"/>
  <c r="BV276" i="44"/>
  <c r="BW276" i="44"/>
  <c r="BX276" i="44"/>
  <c r="BY276" i="44"/>
  <c r="BZ276" i="44"/>
  <c r="CA276" i="44"/>
  <c r="BR277" i="44"/>
  <c r="BS277" i="44"/>
  <c r="BT277" i="44"/>
  <c r="BU277" i="44"/>
  <c r="BV277" i="44"/>
  <c r="BW277" i="44"/>
  <c r="BX277" i="44"/>
  <c r="BY277" i="44"/>
  <c r="BZ277" i="44"/>
  <c r="CA277" i="44"/>
  <c r="BR278" i="44"/>
  <c r="BS278" i="44"/>
  <c r="BT278" i="44"/>
  <c r="BU278" i="44"/>
  <c r="BV278" i="44"/>
  <c r="BW278" i="44"/>
  <c r="BX278" i="44"/>
  <c r="BY278" i="44"/>
  <c r="BZ278" i="44"/>
  <c r="CA278" i="44"/>
  <c r="BR279" i="44"/>
  <c r="BS279" i="44"/>
  <c r="BT279" i="44"/>
  <c r="BU279" i="44"/>
  <c r="BV279" i="44"/>
  <c r="BW279" i="44"/>
  <c r="BX279" i="44"/>
  <c r="BY279" i="44"/>
  <c r="BZ279" i="44"/>
  <c r="CA279" i="44"/>
  <c r="BR280" i="44"/>
  <c r="BS280" i="44"/>
  <c r="BT280" i="44"/>
  <c r="BU280" i="44"/>
  <c r="BV280" i="44"/>
  <c r="BW280" i="44"/>
  <c r="BX280" i="44"/>
  <c r="BY280" i="44"/>
  <c r="BZ280" i="44"/>
  <c r="CA280" i="44"/>
  <c r="BR281" i="44"/>
  <c r="BS281" i="44"/>
  <c r="BT281" i="44"/>
  <c r="BU281" i="44"/>
  <c r="BV281" i="44"/>
  <c r="BW281" i="44"/>
  <c r="BX281" i="44"/>
  <c r="BY281" i="44"/>
  <c r="BZ281" i="44"/>
  <c r="CA281" i="44"/>
  <c r="BR282" i="44"/>
  <c r="BS282" i="44"/>
  <c r="BT282" i="44"/>
  <c r="BU282" i="44"/>
  <c r="BV282" i="44"/>
  <c r="BW282" i="44"/>
  <c r="BX282" i="44"/>
  <c r="BY282" i="44"/>
  <c r="BZ282" i="44"/>
  <c r="CA282" i="44"/>
  <c r="BR283" i="44"/>
  <c r="BS283" i="44"/>
  <c r="BT283" i="44"/>
  <c r="BU283" i="44"/>
  <c r="BV283" i="44"/>
  <c r="BW283" i="44"/>
  <c r="BX283" i="44"/>
  <c r="BY283" i="44"/>
  <c r="BZ283" i="44"/>
  <c r="CA283" i="44"/>
  <c r="BS215" i="44"/>
  <c r="BT215" i="44"/>
  <c r="BU215" i="44"/>
  <c r="BV215" i="44"/>
  <c r="BW215" i="44"/>
  <c r="BX215" i="44"/>
  <c r="BY215" i="44"/>
  <c r="BZ215" i="44"/>
  <c r="CA215" i="44"/>
  <c r="BR215" i="44"/>
  <c r="BR146" i="44"/>
  <c r="BS146" i="44"/>
  <c r="BT146" i="44"/>
  <c r="BU146" i="44"/>
  <c r="BV146" i="44"/>
  <c r="BW146" i="44"/>
  <c r="BX146" i="44"/>
  <c r="BY146" i="44"/>
  <c r="BZ146" i="44"/>
  <c r="CA146" i="44"/>
  <c r="BR147" i="44"/>
  <c r="BS147" i="44"/>
  <c r="BT147" i="44"/>
  <c r="BU147" i="44"/>
  <c r="BV147" i="44"/>
  <c r="BW147" i="44"/>
  <c r="BX147" i="44"/>
  <c r="BY147" i="44"/>
  <c r="BZ147" i="44"/>
  <c r="CA147" i="44"/>
  <c r="BR148" i="44"/>
  <c r="BS148" i="44"/>
  <c r="BT148" i="44"/>
  <c r="BU148" i="44"/>
  <c r="BV148" i="44"/>
  <c r="BW148" i="44"/>
  <c r="BX148" i="44"/>
  <c r="BY148" i="44"/>
  <c r="BZ148" i="44"/>
  <c r="CA148" i="44"/>
  <c r="BR149" i="44"/>
  <c r="BS149" i="44"/>
  <c r="BT149" i="44"/>
  <c r="BU149" i="44"/>
  <c r="BV149" i="44"/>
  <c r="BW149" i="44"/>
  <c r="BX149" i="44"/>
  <c r="BY149" i="44"/>
  <c r="BZ149" i="44"/>
  <c r="CA149" i="44"/>
  <c r="BR150" i="44"/>
  <c r="BS150" i="44"/>
  <c r="BT150" i="44"/>
  <c r="BU150" i="44"/>
  <c r="BV150" i="44"/>
  <c r="BW150" i="44"/>
  <c r="BX150" i="44"/>
  <c r="BY150" i="44"/>
  <c r="BZ150" i="44"/>
  <c r="CA150" i="44"/>
  <c r="BR151" i="44"/>
  <c r="BS151" i="44"/>
  <c r="BT151" i="44"/>
  <c r="BU151" i="44"/>
  <c r="BV151" i="44"/>
  <c r="BW151" i="44"/>
  <c r="BX151" i="44"/>
  <c r="BY151" i="44"/>
  <c r="BZ151" i="44"/>
  <c r="CA151" i="44"/>
  <c r="BR152" i="44"/>
  <c r="BS152" i="44"/>
  <c r="BT152" i="44"/>
  <c r="BU152" i="44"/>
  <c r="BV152" i="44"/>
  <c r="BW152" i="44"/>
  <c r="BX152" i="44"/>
  <c r="BY152" i="44"/>
  <c r="BZ152" i="44"/>
  <c r="CA152" i="44"/>
  <c r="BR153" i="44"/>
  <c r="BS153" i="44"/>
  <c r="BT153" i="44"/>
  <c r="BU153" i="44"/>
  <c r="BV153" i="44"/>
  <c r="BW153" i="44"/>
  <c r="BX153" i="44"/>
  <c r="BY153" i="44"/>
  <c r="BZ153" i="44"/>
  <c r="CA153" i="44"/>
  <c r="BR154" i="44"/>
  <c r="BS154" i="44"/>
  <c r="BT154" i="44"/>
  <c r="BU154" i="44"/>
  <c r="BV154" i="44"/>
  <c r="BW154" i="44"/>
  <c r="BX154" i="44"/>
  <c r="BY154" i="44"/>
  <c r="BZ154" i="44"/>
  <c r="CA154" i="44"/>
  <c r="BR155" i="44"/>
  <c r="BS155" i="44"/>
  <c r="BT155" i="44"/>
  <c r="BU155" i="44"/>
  <c r="BV155" i="44"/>
  <c r="BW155" i="44"/>
  <c r="BX155" i="44"/>
  <c r="BY155" i="44"/>
  <c r="BZ155" i="44"/>
  <c r="CA155" i="44"/>
  <c r="BR156" i="44"/>
  <c r="BS156" i="44"/>
  <c r="BT156" i="44"/>
  <c r="BU156" i="44"/>
  <c r="BV156" i="44"/>
  <c r="BW156" i="44"/>
  <c r="BX156" i="44"/>
  <c r="BY156" i="44"/>
  <c r="BZ156" i="44"/>
  <c r="CA156" i="44"/>
  <c r="BR157" i="44"/>
  <c r="BS157" i="44"/>
  <c r="BT157" i="44"/>
  <c r="BU157" i="44"/>
  <c r="BV157" i="44"/>
  <c r="BW157" i="44"/>
  <c r="BX157" i="44"/>
  <c r="BY157" i="44"/>
  <c r="BZ157" i="44"/>
  <c r="CA157" i="44"/>
  <c r="BR158" i="44"/>
  <c r="BS158" i="44"/>
  <c r="BT158" i="44"/>
  <c r="BU158" i="44"/>
  <c r="BV158" i="44"/>
  <c r="BW158" i="44"/>
  <c r="BX158" i="44"/>
  <c r="BY158" i="44"/>
  <c r="BZ158" i="44"/>
  <c r="CA158" i="44"/>
  <c r="BR159" i="44"/>
  <c r="BS159" i="44"/>
  <c r="BT159" i="44"/>
  <c r="BU159" i="44"/>
  <c r="BV159" i="44"/>
  <c r="BW159" i="44"/>
  <c r="BX159" i="44"/>
  <c r="BY159" i="44"/>
  <c r="BZ159" i="44"/>
  <c r="CA159" i="44"/>
  <c r="BR160" i="44"/>
  <c r="BS160" i="44"/>
  <c r="BT160" i="44"/>
  <c r="BU160" i="44"/>
  <c r="BV160" i="44"/>
  <c r="BW160" i="44"/>
  <c r="BX160" i="44"/>
  <c r="BY160" i="44"/>
  <c r="BZ160" i="44"/>
  <c r="CA160" i="44"/>
  <c r="BR161" i="44"/>
  <c r="BS161" i="44"/>
  <c r="BT161" i="44"/>
  <c r="BU161" i="44"/>
  <c r="BV161" i="44"/>
  <c r="BW161" i="44"/>
  <c r="BX161" i="44"/>
  <c r="BY161" i="44"/>
  <c r="BZ161" i="44"/>
  <c r="CA161" i="44"/>
  <c r="BR162" i="44"/>
  <c r="BS162" i="44"/>
  <c r="BT162" i="44"/>
  <c r="BU162" i="44"/>
  <c r="BV162" i="44"/>
  <c r="BW162" i="44"/>
  <c r="BX162" i="44"/>
  <c r="BY162" i="44"/>
  <c r="BZ162" i="44"/>
  <c r="CA162" i="44"/>
  <c r="BR163" i="44"/>
  <c r="BS163" i="44"/>
  <c r="BT163" i="44"/>
  <c r="BU163" i="44"/>
  <c r="BV163" i="44"/>
  <c r="BW163" i="44"/>
  <c r="BX163" i="44"/>
  <c r="BY163" i="44"/>
  <c r="BZ163" i="44"/>
  <c r="CA163" i="44"/>
  <c r="BR164" i="44"/>
  <c r="BS164" i="44"/>
  <c r="BT164" i="44"/>
  <c r="BU164" i="44"/>
  <c r="BV164" i="44"/>
  <c r="BW164" i="44"/>
  <c r="BX164" i="44"/>
  <c r="BY164" i="44"/>
  <c r="BZ164" i="44"/>
  <c r="CA164" i="44"/>
  <c r="BR165" i="44"/>
  <c r="BS165" i="44"/>
  <c r="BT165" i="44"/>
  <c r="BU165" i="44"/>
  <c r="BV165" i="44"/>
  <c r="BW165" i="44"/>
  <c r="BX165" i="44"/>
  <c r="BY165" i="44"/>
  <c r="BZ165" i="44"/>
  <c r="CA165" i="44"/>
  <c r="BR166" i="44"/>
  <c r="BS166" i="44"/>
  <c r="BT166" i="44"/>
  <c r="BU166" i="44"/>
  <c r="BV166" i="44"/>
  <c r="BW166" i="44"/>
  <c r="BX166" i="44"/>
  <c r="BY166" i="44"/>
  <c r="BZ166" i="44"/>
  <c r="CA166" i="44"/>
  <c r="BR167" i="44"/>
  <c r="BS167" i="44"/>
  <c r="BT167" i="44"/>
  <c r="BU167" i="44"/>
  <c r="BV167" i="44"/>
  <c r="BW167" i="44"/>
  <c r="BX167" i="44"/>
  <c r="BY167" i="44"/>
  <c r="BZ167" i="44"/>
  <c r="CA167" i="44"/>
  <c r="BR168" i="44"/>
  <c r="BS168" i="44"/>
  <c r="BT168" i="44"/>
  <c r="BU168" i="44"/>
  <c r="BV168" i="44"/>
  <c r="BW168" i="44"/>
  <c r="BX168" i="44"/>
  <c r="BY168" i="44"/>
  <c r="BZ168" i="44"/>
  <c r="CA168" i="44"/>
  <c r="BR169" i="44"/>
  <c r="BS169" i="44"/>
  <c r="BT169" i="44"/>
  <c r="BU169" i="44"/>
  <c r="BV169" i="44"/>
  <c r="BW169" i="44"/>
  <c r="BX169" i="44"/>
  <c r="BY169" i="44"/>
  <c r="BZ169" i="44"/>
  <c r="CA169" i="44"/>
  <c r="BR170" i="44"/>
  <c r="BS170" i="44"/>
  <c r="BT170" i="44"/>
  <c r="BU170" i="44"/>
  <c r="BV170" i="44"/>
  <c r="BW170" i="44"/>
  <c r="BX170" i="44"/>
  <c r="BY170" i="44"/>
  <c r="BZ170" i="44"/>
  <c r="CA170" i="44"/>
  <c r="BR171" i="44"/>
  <c r="BS171" i="44"/>
  <c r="BT171" i="44"/>
  <c r="BU171" i="44"/>
  <c r="BV171" i="44"/>
  <c r="BW171" i="44"/>
  <c r="BX171" i="44"/>
  <c r="BY171" i="44"/>
  <c r="BZ171" i="44"/>
  <c r="CA171" i="44"/>
  <c r="BR172" i="44"/>
  <c r="BS172" i="44"/>
  <c r="BT172" i="44"/>
  <c r="BU172" i="44"/>
  <c r="BV172" i="44"/>
  <c r="BW172" i="44"/>
  <c r="BX172" i="44"/>
  <c r="BY172" i="44"/>
  <c r="BZ172" i="44"/>
  <c r="CA172" i="44"/>
  <c r="BR173" i="44"/>
  <c r="BS173" i="44"/>
  <c r="BT173" i="44"/>
  <c r="BU173" i="44"/>
  <c r="BV173" i="44"/>
  <c r="BW173" i="44"/>
  <c r="BX173" i="44"/>
  <c r="BY173" i="44"/>
  <c r="BZ173" i="44"/>
  <c r="CA173" i="44"/>
  <c r="BR174" i="44"/>
  <c r="BS174" i="44"/>
  <c r="BT174" i="44"/>
  <c r="BU174" i="44"/>
  <c r="BV174" i="44"/>
  <c r="BW174" i="44"/>
  <c r="BX174" i="44"/>
  <c r="BY174" i="44"/>
  <c r="BZ174" i="44"/>
  <c r="CA174" i="44"/>
  <c r="BR175" i="44"/>
  <c r="BS175" i="44"/>
  <c r="BT175" i="44"/>
  <c r="BU175" i="44"/>
  <c r="BV175" i="44"/>
  <c r="BW175" i="44"/>
  <c r="BX175" i="44"/>
  <c r="BY175" i="44"/>
  <c r="BZ175" i="44"/>
  <c r="CA175" i="44"/>
  <c r="BR176" i="44"/>
  <c r="BS176" i="44"/>
  <c r="BT176" i="44"/>
  <c r="BU176" i="44"/>
  <c r="BV176" i="44"/>
  <c r="BW176" i="44"/>
  <c r="BX176" i="44"/>
  <c r="BY176" i="44"/>
  <c r="BZ176" i="44"/>
  <c r="CA176" i="44"/>
  <c r="BR177" i="44"/>
  <c r="BS177" i="44"/>
  <c r="BT177" i="44"/>
  <c r="BU177" i="44"/>
  <c r="BV177" i="44"/>
  <c r="BW177" i="44"/>
  <c r="BX177" i="44"/>
  <c r="BY177" i="44"/>
  <c r="BZ177" i="44"/>
  <c r="CA177" i="44"/>
  <c r="BR178" i="44"/>
  <c r="BS178" i="44"/>
  <c r="BT178" i="44"/>
  <c r="BU178" i="44"/>
  <c r="BV178" i="44"/>
  <c r="BW178" i="44"/>
  <c r="BX178" i="44"/>
  <c r="BY178" i="44"/>
  <c r="BZ178" i="44"/>
  <c r="CA178" i="44"/>
  <c r="BR179" i="44"/>
  <c r="BS179" i="44"/>
  <c r="BT179" i="44"/>
  <c r="BU179" i="44"/>
  <c r="BV179" i="44"/>
  <c r="BW179" i="44"/>
  <c r="BX179" i="44"/>
  <c r="BY179" i="44"/>
  <c r="BZ179" i="44"/>
  <c r="CA179" i="44"/>
  <c r="BR180" i="44"/>
  <c r="BS180" i="44"/>
  <c r="BT180" i="44"/>
  <c r="BU180" i="44"/>
  <c r="BV180" i="44"/>
  <c r="BW180" i="44"/>
  <c r="BX180" i="44"/>
  <c r="BY180" i="44"/>
  <c r="BZ180" i="44"/>
  <c r="CA180" i="44"/>
  <c r="BR181" i="44"/>
  <c r="BS181" i="44"/>
  <c r="BT181" i="44"/>
  <c r="BU181" i="44"/>
  <c r="BV181" i="44"/>
  <c r="BW181" i="44"/>
  <c r="BX181" i="44"/>
  <c r="BY181" i="44"/>
  <c r="BZ181" i="44"/>
  <c r="CA181" i="44"/>
  <c r="BR182" i="44"/>
  <c r="BS182" i="44"/>
  <c r="BT182" i="44"/>
  <c r="BU182" i="44"/>
  <c r="BV182" i="44"/>
  <c r="BW182" i="44"/>
  <c r="BX182" i="44"/>
  <c r="BY182" i="44"/>
  <c r="BZ182" i="44"/>
  <c r="CA182" i="44"/>
  <c r="BR183" i="44"/>
  <c r="BS183" i="44"/>
  <c r="BT183" i="44"/>
  <c r="BU183" i="44"/>
  <c r="BV183" i="44"/>
  <c r="BW183" i="44"/>
  <c r="BX183" i="44"/>
  <c r="BY183" i="44"/>
  <c r="BZ183" i="44"/>
  <c r="CA183" i="44"/>
  <c r="BR184" i="44"/>
  <c r="BS184" i="44"/>
  <c r="BT184" i="44"/>
  <c r="BU184" i="44"/>
  <c r="BV184" i="44"/>
  <c r="BW184" i="44"/>
  <c r="BX184" i="44"/>
  <c r="BY184" i="44"/>
  <c r="BZ184" i="44"/>
  <c r="CA184" i="44"/>
  <c r="BR185" i="44"/>
  <c r="BS185" i="44"/>
  <c r="BT185" i="44"/>
  <c r="BU185" i="44"/>
  <c r="BV185" i="44"/>
  <c r="BW185" i="44"/>
  <c r="BX185" i="44"/>
  <c r="BY185" i="44"/>
  <c r="BZ185" i="44"/>
  <c r="CA185" i="44"/>
  <c r="BR186" i="44"/>
  <c r="BS186" i="44"/>
  <c r="BT186" i="44"/>
  <c r="BU186" i="44"/>
  <c r="BV186" i="44"/>
  <c r="BW186" i="44"/>
  <c r="BX186" i="44"/>
  <c r="BY186" i="44"/>
  <c r="BZ186" i="44"/>
  <c r="CA186" i="44"/>
  <c r="BR187" i="44"/>
  <c r="BS187" i="44"/>
  <c r="BT187" i="44"/>
  <c r="BU187" i="44"/>
  <c r="BV187" i="44"/>
  <c r="BW187" i="44"/>
  <c r="BX187" i="44"/>
  <c r="BY187" i="44"/>
  <c r="BZ187" i="44"/>
  <c r="CA187" i="44"/>
  <c r="BR188" i="44"/>
  <c r="BS188" i="44"/>
  <c r="BT188" i="44"/>
  <c r="BU188" i="44"/>
  <c r="BV188" i="44"/>
  <c r="BW188" i="44"/>
  <c r="BX188" i="44"/>
  <c r="BY188" i="44"/>
  <c r="BZ188" i="44"/>
  <c r="CA188" i="44"/>
  <c r="BR189" i="44"/>
  <c r="BS189" i="44"/>
  <c r="BT189" i="44"/>
  <c r="BU189" i="44"/>
  <c r="BV189" i="44"/>
  <c r="BW189" i="44"/>
  <c r="BX189" i="44"/>
  <c r="BY189" i="44"/>
  <c r="BZ189" i="44"/>
  <c r="CA189" i="44"/>
  <c r="BR190" i="44"/>
  <c r="BS190" i="44"/>
  <c r="BT190" i="44"/>
  <c r="BU190" i="44"/>
  <c r="BV190" i="44"/>
  <c r="BW190" i="44"/>
  <c r="BX190" i="44"/>
  <c r="BY190" i="44"/>
  <c r="BZ190" i="44"/>
  <c r="CA190" i="44"/>
  <c r="BR191" i="44"/>
  <c r="BS191" i="44"/>
  <c r="BT191" i="44"/>
  <c r="BU191" i="44"/>
  <c r="BV191" i="44"/>
  <c r="BW191" i="44"/>
  <c r="BX191" i="44"/>
  <c r="BY191" i="44"/>
  <c r="BZ191" i="44"/>
  <c r="CA191" i="44"/>
  <c r="BR192" i="44"/>
  <c r="BS192" i="44"/>
  <c r="BT192" i="44"/>
  <c r="BU192" i="44"/>
  <c r="BV192" i="44"/>
  <c r="BW192" i="44"/>
  <c r="BX192" i="44"/>
  <c r="BY192" i="44"/>
  <c r="BZ192" i="44"/>
  <c r="CA192" i="44"/>
  <c r="BR193" i="44"/>
  <c r="BS193" i="44"/>
  <c r="BT193" i="44"/>
  <c r="BU193" i="44"/>
  <c r="BV193" i="44"/>
  <c r="BW193" i="44"/>
  <c r="BX193" i="44"/>
  <c r="BY193" i="44"/>
  <c r="BZ193" i="44"/>
  <c r="CA193" i="44"/>
  <c r="BR194" i="44"/>
  <c r="BS194" i="44"/>
  <c r="BT194" i="44"/>
  <c r="BU194" i="44"/>
  <c r="BV194" i="44"/>
  <c r="BW194" i="44"/>
  <c r="BX194" i="44"/>
  <c r="BY194" i="44"/>
  <c r="BZ194" i="44"/>
  <c r="CA194" i="44"/>
  <c r="BR195" i="44"/>
  <c r="BS195" i="44"/>
  <c r="BT195" i="44"/>
  <c r="BU195" i="44"/>
  <c r="BV195" i="44"/>
  <c r="BW195" i="44"/>
  <c r="BX195" i="44"/>
  <c r="BY195" i="44"/>
  <c r="BZ195" i="44"/>
  <c r="CA195" i="44"/>
  <c r="BR196" i="44"/>
  <c r="BS196" i="44"/>
  <c r="BT196" i="44"/>
  <c r="BU196" i="44"/>
  <c r="BV196" i="44"/>
  <c r="BW196" i="44"/>
  <c r="BX196" i="44"/>
  <c r="BY196" i="44"/>
  <c r="BZ196" i="44"/>
  <c r="CA196" i="44"/>
  <c r="BR197" i="44"/>
  <c r="BS197" i="44"/>
  <c r="BT197" i="44"/>
  <c r="BU197" i="44"/>
  <c r="BV197" i="44"/>
  <c r="BW197" i="44"/>
  <c r="BX197" i="44"/>
  <c r="BY197" i="44"/>
  <c r="BZ197" i="44"/>
  <c r="CA197" i="44"/>
  <c r="BR198" i="44"/>
  <c r="BS198" i="44"/>
  <c r="BT198" i="44"/>
  <c r="BU198" i="44"/>
  <c r="BV198" i="44"/>
  <c r="BW198" i="44"/>
  <c r="BX198" i="44"/>
  <c r="BY198" i="44"/>
  <c r="BZ198" i="44"/>
  <c r="CA198" i="44"/>
  <c r="BR199" i="44"/>
  <c r="BS199" i="44"/>
  <c r="BT199" i="44"/>
  <c r="BU199" i="44"/>
  <c r="BV199" i="44"/>
  <c r="BW199" i="44"/>
  <c r="BX199" i="44"/>
  <c r="BY199" i="44"/>
  <c r="BZ199" i="44"/>
  <c r="CA199" i="44"/>
  <c r="BR200" i="44"/>
  <c r="BS200" i="44"/>
  <c r="BT200" i="44"/>
  <c r="BU200" i="44"/>
  <c r="BV200" i="44"/>
  <c r="BW200" i="44"/>
  <c r="BX200" i="44"/>
  <c r="BY200" i="44"/>
  <c r="BZ200" i="44"/>
  <c r="CA200" i="44"/>
  <c r="BR201" i="44"/>
  <c r="BS201" i="44"/>
  <c r="BT201" i="44"/>
  <c r="BU201" i="44"/>
  <c r="BV201" i="44"/>
  <c r="BW201" i="44"/>
  <c r="BX201" i="44"/>
  <c r="BY201" i="44"/>
  <c r="BZ201" i="44"/>
  <c r="CA201" i="44"/>
  <c r="BR202" i="44"/>
  <c r="BS202" i="44"/>
  <c r="BT202" i="44"/>
  <c r="BU202" i="44"/>
  <c r="BV202" i="44"/>
  <c r="BW202" i="44"/>
  <c r="BX202" i="44"/>
  <c r="BY202" i="44"/>
  <c r="BZ202" i="44"/>
  <c r="CA202" i="44"/>
  <c r="BR203" i="44"/>
  <c r="BS203" i="44"/>
  <c r="BT203" i="44"/>
  <c r="BU203" i="44"/>
  <c r="BV203" i="44"/>
  <c r="BW203" i="44"/>
  <c r="BX203" i="44"/>
  <c r="BY203" i="44"/>
  <c r="BZ203" i="44"/>
  <c r="CA203" i="44"/>
  <c r="BR204" i="44"/>
  <c r="BS204" i="44"/>
  <c r="BT204" i="44"/>
  <c r="BU204" i="44"/>
  <c r="BV204" i="44"/>
  <c r="BW204" i="44"/>
  <c r="BX204" i="44"/>
  <c r="BY204" i="44"/>
  <c r="BZ204" i="44"/>
  <c r="CA204" i="44"/>
  <c r="BR205" i="44"/>
  <c r="BS205" i="44"/>
  <c r="BT205" i="44"/>
  <c r="BU205" i="44"/>
  <c r="BV205" i="44"/>
  <c r="BW205" i="44"/>
  <c r="BX205" i="44"/>
  <c r="BY205" i="44"/>
  <c r="BZ205" i="44"/>
  <c r="CA205" i="44"/>
  <c r="BR206" i="44"/>
  <c r="BS206" i="44"/>
  <c r="BT206" i="44"/>
  <c r="BU206" i="44"/>
  <c r="BV206" i="44"/>
  <c r="BW206" i="44"/>
  <c r="BX206" i="44"/>
  <c r="BY206" i="44"/>
  <c r="BZ206" i="44"/>
  <c r="CA206" i="44"/>
  <c r="BR207" i="44"/>
  <c r="BS207" i="44"/>
  <c r="BT207" i="44"/>
  <c r="BU207" i="44"/>
  <c r="BV207" i="44"/>
  <c r="BW207" i="44"/>
  <c r="BX207" i="44"/>
  <c r="BY207" i="44"/>
  <c r="BZ207" i="44"/>
  <c r="CA207" i="44"/>
  <c r="BR208" i="44"/>
  <c r="BS208" i="44"/>
  <c r="BT208" i="44"/>
  <c r="BU208" i="44"/>
  <c r="BV208" i="44"/>
  <c r="BW208" i="44"/>
  <c r="BX208" i="44"/>
  <c r="BY208" i="44"/>
  <c r="BZ208" i="44"/>
  <c r="CA208" i="44"/>
  <c r="BR209" i="44"/>
  <c r="BS209" i="44"/>
  <c r="BT209" i="44"/>
  <c r="BU209" i="44"/>
  <c r="BV209" i="44"/>
  <c r="BW209" i="44"/>
  <c r="BX209" i="44"/>
  <c r="BY209" i="44"/>
  <c r="BZ209" i="44"/>
  <c r="CA209" i="44"/>
  <c r="BR210" i="44"/>
  <c r="BS210" i="44"/>
  <c r="BT210" i="44"/>
  <c r="BU210" i="44"/>
  <c r="BV210" i="44"/>
  <c r="BW210" i="44"/>
  <c r="BX210" i="44"/>
  <c r="BY210" i="44"/>
  <c r="BZ210" i="44"/>
  <c r="CA210" i="44"/>
  <c r="BR211" i="44"/>
  <c r="BS211" i="44"/>
  <c r="BT211" i="44"/>
  <c r="BU211" i="44"/>
  <c r="BV211" i="44"/>
  <c r="BW211" i="44"/>
  <c r="BX211" i="44"/>
  <c r="BY211" i="44"/>
  <c r="BZ211" i="44"/>
  <c r="CA211" i="44"/>
  <c r="BR212" i="44"/>
  <c r="BS212" i="44"/>
  <c r="BT212" i="44"/>
  <c r="BU212" i="44"/>
  <c r="BV212" i="44"/>
  <c r="BW212" i="44"/>
  <c r="BX212" i="44"/>
  <c r="BY212" i="44"/>
  <c r="BZ212" i="44"/>
  <c r="CA212" i="44"/>
  <c r="BR213" i="44"/>
  <c r="BS213" i="44"/>
  <c r="BT213" i="44"/>
  <c r="BU213" i="44"/>
  <c r="BV213" i="44"/>
  <c r="BW213" i="44"/>
  <c r="BX213" i="44"/>
  <c r="BY213" i="44"/>
  <c r="BZ213" i="44"/>
  <c r="CA213" i="44"/>
  <c r="BS145" i="44"/>
  <c r="BT145" i="44"/>
  <c r="BU145" i="44"/>
  <c r="BV145" i="44"/>
  <c r="BW145" i="44"/>
  <c r="BX145" i="44"/>
  <c r="BY145" i="44"/>
  <c r="BZ145" i="44"/>
  <c r="CA145" i="44"/>
  <c r="BR145" i="44"/>
  <c r="BR76" i="44"/>
  <c r="BS76" i="44"/>
  <c r="BT76" i="44"/>
  <c r="BU76" i="44"/>
  <c r="BV76" i="44"/>
  <c r="BW76" i="44"/>
  <c r="BX76" i="44"/>
  <c r="BY76" i="44"/>
  <c r="BZ76" i="44"/>
  <c r="CA76" i="44"/>
  <c r="BR77" i="44"/>
  <c r="BS77" i="44"/>
  <c r="BT77" i="44"/>
  <c r="BU77" i="44"/>
  <c r="BV77" i="44"/>
  <c r="BW77" i="44"/>
  <c r="BX77" i="44"/>
  <c r="BY77" i="44"/>
  <c r="BZ77" i="44"/>
  <c r="CA77" i="44"/>
  <c r="BR78" i="44"/>
  <c r="BS78" i="44"/>
  <c r="BT78" i="44"/>
  <c r="BU78" i="44"/>
  <c r="BV78" i="44"/>
  <c r="BW78" i="44"/>
  <c r="BX78" i="44"/>
  <c r="BY78" i="44"/>
  <c r="BZ78" i="44"/>
  <c r="CA78" i="44"/>
  <c r="BR79" i="44"/>
  <c r="BS79" i="44"/>
  <c r="BT79" i="44"/>
  <c r="BU79" i="44"/>
  <c r="BV79" i="44"/>
  <c r="BW79" i="44"/>
  <c r="BX79" i="44"/>
  <c r="BY79" i="44"/>
  <c r="BZ79" i="44"/>
  <c r="CA79" i="44"/>
  <c r="BR80" i="44"/>
  <c r="BS80" i="44"/>
  <c r="BT80" i="44"/>
  <c r="BU80" i="44"/>
  <c r="BV80" i="44"/>
  <c r="BW80" i="44"/>
  <c r="BX80" i="44"/>
  <c r="BY80" i="44"/>
  <c r="BZ80" i="44"/>
  <c r="CA80" i="44"/>
  <c r="BR81" i="44"/>
  <c r="BS81" i="44"/>
  <c r="BT81" i="44"/>
  <c r="BU81" i="44"/>
  <c r="BV81" i="44"/>
  <c r="BW81" i="44"/>
  <c r="BX81" i="44"/>
  <c r="BY81" i="44"/>
  <c r="BZ81" i="44"/>
  <c r="CA81" i="44"/>
  <c r="BR82" i="44"/>
  <c r="BS82" i="44"/>
  <c r="BT82" i="44"/>
  <c r="BU82" i="44"/>
  <c r="BV82" i="44"/>
  <c r="BW82" i="44"/>
  <c r="BX82" i="44"/>
  <c r="BY82" i="44"/>
  <c r="BZ82" i="44"/>
  <c r="CA82" i="44"/>
  <c r="BR83" i="44"/>
  <c r="BS83" i="44"/>
  <c r="BT83" i="44"/>
  <c r="BU83" i="44"/>
  <c r="BV83" i="44"/>
  <c r="BW83" i="44"/>
  <c r="BX83" i="44"/>
  <c r="BY83" i="44"/>
  <c r="BZ83" i="44"/>
  <c r="CA83" i="44"/>
  <c r="BR84" i="44"/>
  <c r="BS84" i="44"/>
  <c r="BT84" i="44"/>
  <c r="BU84" i="44"/>
  <c r="BV84" i="44"/>
  <c r="BW84" i="44"/>
  <c r="BX84" i="44"/>
  <c r="BY84" i="44"/>
  <c r="BZ84" i="44"/>
  <c r="CA84" i="44"/>
  <c r="BR85" i="44"/>
  <c r="BS85" i="44"/>
  <c r="BT85" i="44"/>
  <c r="BU85" i="44"/>
  <c r="BV85" i="44"/>
  <c r="BW85" i="44"/>
  <c r="BX85" i="44"/>
  <c r="BY85" i="44"/>
  <c r="BZ85" i="44"/>
  <c r="CA85" i="44"/>
  <c r="BR86" i="44"/>
  <c r="BS86" i="44"/>
  <c r="BT86" i="44"/>
  <c r="BU86" i="44"/>
  <c r="BV86" i="44"/>
  <c r="BW86" i="44"/>
  <c r="BX86" i="44"/>
  <c r="BY86" i="44"/>
  <c r="BZ86" i="44"/>
  <c r="CA86" i="44"/>
  <c r="BR87" i="44"/>
  <c r="BS87" i="44"/>
  <c r="BT87" i="44"/>
  <c r="BU87" i="44"/>
  <c r="BV87" i="44"/>
  <c r="BW87" i="44"/>
  <c r="BX87" i="44"/>
  <c r="BY87" i="44"/>
  <c r="BZ87" i="44"/>
  <c r="CA87" i="44"/>
  <c r="BR88" i="44"/>
  <c r="BS88" i="44"/>
  <c r="BT88" i="44"/>
  <c r="BU88" i="44"/>
  <c r="BV88" i="44"/>
  <c r="BW88" i="44"/>
  <c r="BX88" i="44"/>
  <c r="BY88" i="44"/>
  <c r="BZ88" i="44"/>
  <c r="CA88" i="44"/>
  <c r="BR89" i="44"/>
  <c r="BS89" i="44"/>
  <c r="BT89" i="44"/>
  <c r="BU89" i="44"/>
  <c r="BV89" i="44"/>
  <c r="BW89" i="44"/>
  <c r="BX89" i="44"/>
  <c r="BY89" i="44"/>
  <c r="BZ89" i="44"/>
  <c r="CA89" i="44"/>
  <c r="BR90" i="44"/>
  <c r="BS90" i="44"/>
  <c r="BT90" i="44"/>
  <c r="BU90" i="44"/>
  <c r="BV90" i="44"/>
  <c r="BW90" i="44"/>
  <c r="BX90" i="44"/>
  <c r="BY90" i="44"/>
  <c r="BZ90" i="44"/>
  <c r="CA90" i="44"/>
  <c r="BR91" i="44"/>
  <c r="BS91" i="44"/>
  <c r="BT91" i="44"/>
  <c r="BU91" i="44"/>
  <c r="BV91" i="44"/>
  <c r="BW91" i="44"/>
  <c r="BX91" i="44"/>
  <c r="BY91" i="44"/>
  <c r="BZ91" i="44"/>
  <c r="CA91" i="44"/>
  <c r="BR92" i="44"/>
  <c r="BS92" i="44"/>
  <c r="BT92" i="44"/>
  <c r="BU92" i="44"/>
  <c r="BV92" i="44"/>
  <c r="BW92" i="44"/>
  <c r="BX92" i="44"/>
  <c r="BY92" i="44"/>
  <c r="BZ92" i="44"/>
  <c r="CA92" i="44"/>
  <c r="BR93" i="44"/>
  <c r="BS93" i="44"/>
  <c r="BT93" i="44"/>
  <c r="BU93" i="44"/>
  <c r="BV93" i="44"/>
  <c r="BW93" i="44"/>
  <c r="BX93" i="44"/>
  <c r="BY93" i="44"/>
  <c r="BZ93" i="44"/>
  <c r="CA93" i="44"/>
  <c r="BR94" i="44"/>
  <c r="BS94" i="44"/>
  <c r="BT94" i="44"/>
  <c r="BU94" i="44"/>
  <c r="BV94" i="44"/>
  <c r="BW94" i="44"/>
  <c r="BX94" i="44"/>
  <c r="BY94" i="44"/>
  <c r="BZ94" i="44"/>
  <c r="CA94" i="44"/>
  <c r="BR95" i="44"/>
  <c r="BS95" i="44"/>
  <c r="BT95" i="44"/>
  <c r="BU95" i="44"/>
  <c r="BV95" i="44"/>
  <c r="BW95" i="44"/>
  <c r="BX95" i="44"/>
  <c r="BY95" i="44"/>
  <c r="BZ95" i="44"/>
  <c r="CA95" i="44"/>
  <c r="BR96" i="44"/>
  <c r="BS96" i="44"/>
  <c r="BT96" i="44"/>
  <c r="BU96" i="44"/>
  <c r="BV96" i="44"/>
  <c r="BW96" i="44"/>
  <c r="BX96" i="44"/>
  <c r="BY96" i="44"/>
  <c r="BZ96" i="44"/>
  <c r="CA96" i="44"/>
  <c r="BR97" i="44"/>
  <c r="BS97" i="44"/>
  <c r="BT97" i="44"/>
  <c r="BU97" i="44"/>
  <c r="BV97" i="44"/>
  <c r="BW97" i="44"/>
  <c r="BX97" i="44"/>
  <c r="BY97" i="44"/>
  <c r="BZ97" i="44"/>
  <c r="CA97" i="44"/>
  <c r="BR98" i="44"/>
  <c r="BS98" i="44"/>
  <c r="BT98" i="44"/>
  <c r="BU98" i="44"/>
  <c r="BV98" i="44"/>
  <c r="BW98" i="44"/>
  <c r="BX98" i="44"/>
  <c r="BY98" i="44"/>
  <c r="BZ98" i="44"/>
  <c r="CA98" i="44"/>
  <c r="BR99" i="44"/>
  <c r="BS99" i="44"/>
  <c r="BT99" i="44"/>
  <c r="BU99" i="44"/>
  <c r="BV99" i="44"/>
  <c r="BW99" i="44"/>
  <c r="BX99" i="44"/>
  <c r="BY99" i="44"/>
  <c r="BZ99" i="44"/>
  <c r="CA99" i="44"/>
  <c r="BR100" i="44"/>
  <c r="BS100" i="44"/>
  <c r="BT100" i="44"/>
  <c r="BU100" i="44"/>
  <c r="BV100" i="44"/>
  <c r="BW100" i="44"/>
  <c r="BX100" i="44"/>
  <c r="BY100" i="44"/>
  <c r="BZ100" i="44"/>
  <c r="CA100" i="44"/>
  <c r="BR101" i="44"/>
  <c r="BS101" i="44"/>
  <c r="BT101" i="44"/>
  <c r="BU101" i="44"/>
  <c r="BV101" i="44"/>
  <c r="BW101" i="44"/>
  <c r="BX101" i="44"/>
  <c r="BY101" i="44"/>
  <c r="BZ101" i="44"/>
  <c r="CA101" i="44"/>
  <c r="BR102" i="44"/>
  <c r="BS102" i="44"/>
  <c r="BT102" i="44"/>
  <c r="BU102" i="44"/>
  <c r="BV102" i="44"/>
  <c r="BW102" i="44"/>
  <c r="BX102" i="44"/>
  <c r="BY102" i="44"/>
  <c r="BZ102" i="44"/>
  <c r="CA102" i="44"/>
  <c r="BR103" i="44"/>
  <c r="BS103" i="44"/>
  <c r="BT103" i="44"/>
  <c r="BU103" i="44"/>
  <c r="BV103" i="44"/>
  <c r="BW103" i="44"/>
  <c r="BX103" i="44"/>
  <c r="BY103" i="44"/>
  <c r="BZ103" i="44"/>
  <c r="CA103" i="44"/>
  <c r="BR104" i="44"/>
  <c r="BS104" i="44"/>
  <c r="BT104" i="44"/>
  <c r="BU104" i="44"/>
  <c r="BV104" i="44"/>
  <c r="BW104" i="44"/>
  <c r="BX104" i="44"/>
  <c r="BY104" i="44"/>
  <c r="BZ104" i="44"/>
  <c r="CA104" i="44"/>
  <c r="BR105" i="44"/>
  <c r="BS105" i="44"/>
  <c r="BT105" i="44"/>
  <c r="BU105" i="44"/>
  <c r="BV105" i="44"/>
  <c r="BW105" i="44"/>
  <c r="BX105" i="44"/>
  <c r="BY105" i="44"/>
  <c r="BZ105" i="44"/>
  <c r="CA105" i="44"/>
  <c r="BR106" i="44"/>
  <c r="BS106" i="44"/>
  <c r="BT106" i="44"/>
  <c r="BU106" i="44"/>
  <c r="BV106" i="44"/>
  <c r="BW106" i="44"/>
  <c r="BX106" i="44"/>
  <c r="BY106" i="44"/>
  <c r="BZ106" i="44"/>
  <c r="CA106" i="44"/>
  <c r="BR107" i="44"/>
  <c r="BS107" i="44"/>
  <c r="BT107" i="44"/>
  <c r="BU107" i="44"/>
  <c r="BV107" i="44"/>
  <c r="BW107" i="44"/>
  <c r="BX107" i="44"/>
  <c r="BY107" i="44"/>
  <c r="BZ107" i="44"/>
  <c r="CA107" i="44"/>
  <c r="BR108" i="44"/>
  <c r="BS108" i="44"/>
  <c r="BT108" i="44"/>
  <c r="BU108" i="44"/>
  <c r="BV108" i="44"/>
  <c r="BW108" i="44"/>
  <c r="BX108" i="44"/>
  <c r="BY108" i="44"/>
  <c r="BZ108" i="44"/>
  <c r="CA108" i="44"/>
  <c r="BR109" i="44"/>
  <c r="BS109" i="44"/>
  <c r="BT109" i="44"/>
  <c r="BU109" i="44"/>
  <c r="BV109" i="44"/>
  <c r="BW109" i="44"/>
  <c r="BX109" i="44"/>
  <c r="BY109" i="44"/>
  <c r="BZ109" i="44"/>
  <c r="CA109" i="44"/>
  <c r="BR110" i="44"/>
  <c r="BS110" i="44"/>
  <c r="BT110" i="44"/>
  <c r="BU110" i="44"/>
  <c r="BV110" i="44"/>
  <c r="BW110" i="44"/>
  <c r="BX110" i="44"/>
  <c r="BY110" i="44"/>
  <c r="BZ110" i="44"/>
  <c r="CA110" i="44"/>
  <c r="BR111" i="44"/>
  <c r="BS111" i="44"/>
  <c r="BT111" i="44"/>
  <c r="BU111" i="44"/>
  <c r="BV111" i="44"/>
  <c r="BW111" i="44"/>
  <c r="BX111" i="44"/>
  <c r="BY111" i="44"/>
  <c r="BZ111" i="44"/>
  <c r="CA111" i="44"/>
  <c r="BR112" i="44"/>
  <c r="BS112" i="44"/>
  <c r="BT112" i="44"/>
  <c r="BU112" i="44"/>
  <c r="BV112" i="44"/>
  <c r="BW112" i="44"/>
  <c r="BX112" i="44"/>
  <c r="BY112" i="44"/>
  <c r="BZ112" i="44"/>
  <c r="CA112" i="44"/>
  <c r="BR113" i="44"/>
  <c r="BS113" i="44"/>
  <c r="BT113" i="44"/>
  <c r="BU113" i="44"/>
  <c r="BV113" i="44"/>
  <c r="BW113" i="44"/>
  <c r="BX113" i="44"/>
  <c r="BY113" i="44"/>
  <c r="BZ113" i="44"/>
  <c r="CA113" i="44"/>
  <c r="BR114" i="44"/>
  <c r="BS114" i="44"/>
  <c r="BT114" i="44"/>
  <c r="BU114" i="44"/>
  <c r="BV114" i="44"/>
  <c r="BW114" i="44"/>
  <c r="BX114" i="44"/>
  <c r="BY114" i="44"/>
  <c r="BZ114" i="44"/>
  <c r="CA114" i="44"/>
  <c r="BR115" i="44"/>
  <c r="BS115" i="44"/>
  <c r="BT115" i="44"/>
  <c r="BU115" i="44"/>
  <c r="BV115" i="44"/>
  <c r="BW115" i="44"/>
  <c r="BX115" i="44"/>
  <c r="BY115" i="44"/>
  <c r="BZ115" i="44"/>
  <c r="CA115" i="44"/>
  <c r="BR116" i="44"/>
  <c r="BS116" i="44"/>
  <c r="BT116" i="44"/>
  <c r="BU116" i="44"/>
  <c r="BV116" i="44"/>
  <c r="BW116" i="44"/>
  <c r="BX116" i="44"/>
  <c r="BY116" i="44"/>
  <c r="BZ116" i="44"/>
  <c r="CA116" i="44"/>
  <c r="BR117" i="44"/>
  <c r="BS117" i="44"/>
  <c r="BT117" i="44"/>
  <c r="BU117" i="44"/>
  <c r="BV117" i="44"/>
  <c r="BW117" i="44"/>
  <c r="BX117" i="44"/>
  <c r="BY117" i="44"/>
  <c r="BZ117" i="44"/>
  <c r="CA117" i="44"/>
  <c r="BR118" i="44"/>
  <c r="BS118" i="44"/>
  <c r="BT118" i="44"/>
  <c r="BU118" i="44"/>
  <c r="BV118" i="44"/>
  <c r="BW118" i="44"/>
  <c r="BX118" i="44"/>
  <c r="BY118" i="44"/>
  <c r="BZ118" i="44"/>
  <c r="CA118" i="44"/>
  <c r="BR119" i="44"/>
  <c r="BS119" i="44"/>
  <c r="BT119" i="44"/>
  <c r="BU119" i="44"/>
  <c r="BV119" i="44"/>
  <c r="BW119" i="44"/>
  <c r="BX119" i="44"/>
  <c r="BY119" i="44"/>
  <c r="BZ119" i="44"/>
  <c r="CA119" i="44"/>
  <c r="BR120" i="44"/>
  <c r="BS120" i="44"/>
  <c r="BT120" i="44"/>
  <c r="BU120" i="44"/>
  <c r="BV120" i="44"/>
  <c r="BW120" i="44"/>
  <c r="BX120" i="44"/>
  <c r="BY120" i="44"/>
  <c r="BZ120" i="44"/>
  <c r="CA120" i="44"/>
  <c r="BR121" i="44"/>
  <c r="BS121" i="44"/>
  <c r="BT121" i="44"/>
  <c r="BU121" i="44"/>
  <c r="BV121" i="44"/>
  <c r="BW121" i="44"/>
  <c r="BX121" i="44"/>
  <c r="BY121" i="44"/>
  <c r="BZ121" i="44"/>
  <c r="CA121" i="44"/>
  <c r="BR122" i="44"/>
  <c r="BS122" i="44"/>
  <c r="BT122" i="44"/>
  <c r="BU122" i="44"/>
  <c r="BV122" i="44"/>
  <c r="BW122" i="44"/>
  <c r="BX122" i="44"/>
  <c r="BY122" i="44"/>
  <c r="BZ122" i="44"/>
  <c r="CA122" i="44"/>
  <c r="BR123" i="44"/>
  <c r="BS123" i="44"/>
  <c r="BT123" i="44"/>
  <c r="BU123" i="44"/>
  <c r="BV123" i="44"/>
  <c r="BW123" i="44"/>
  <c r="BX123" i="44"/>
  <c r="BY123" i="44"/>
  <c r="BZ123" i="44"/>
  <c r="CA123" i="44"/>
  <c r="BR124" i="44"/>
  <c r="BS124" i="44"/>
  <c r="BT124" i="44"/>
  <c r="BU124" i="44"/>
  <c r="BV124" i="44"/>
  <c r="BW124" i="44"/>
  <c r="BX124" i="44"/>
  <c r="BY124" i="44"/>
  <c r="BZ124" i="44"/>
  <c r="CA124" i="44"/>
  <c r="BR125" i="44"/>
  <c r="BS125" i="44"/>
  <c r="BT125" i="44"/>
  <c r="BU125" i="44"/>
  <c r="BV125" i="44"/>
  <c r="BW125" i="44"/>
  <c r="BX125" i="44"/>
  <c r="BY125" i="44"/>
  <c r="BZ125" i="44"/>
  <c r="CA125" i="44"/>
  <c r="BR126" i="44"/>
  <c r="BS126" i="44"/>
  <c r="BT126" i="44"/>
  <c r="BU126" i="44"/>
  <c r="BV126" i="44"/>
  <c r="BW126" i="44"/>
  <c r="BX126" i="44"/>
  <c r="BY126" i="44"/>
  <c r="BZ126" i="44"/>
  <c r="CA126" i="44"/>
  <c r="BR127" i="44"/>
  <c r="BS127" i="44"/>
  <c r="BT127" i="44"/>
  <c r="BU127" i="44"/>
  <c r="BV127" i="44"/>
  <c r="BW127" i="44"/>
  <c r="BX127" i="44"/>
  <c r="BY127" i="44"/>
  <c r="BZ127" i="44"/>
  <c r="CA127" i="44"/>
  <c r="BR128" i="44"/>
  <c r="BS128" i="44"/>
  <c r="BT128" i="44"/>
  <c r="BU128" i="44"/>
  <c r="BV128" i="44"/>
  <c r="BW128" i="44"/>
  <c r="BX128" i="44"/>
  <c r="BY128" i="44"/>
  <c r="BZ128" i="44"/>
  <c r="CA128" i="44"/>
  <c r="BR129" i="44"/>
  <c r="BS129" i="44"/>
  <c r="BT129" i="44"/>
  <c r="BU129" i="44"/>
  <c r="BV129" i="44"/>
  <c r="BW129" i="44"/>
  <c r="BX129" i="44"/>
  <c r="BY129" i="44"/>
  <c r="BZ129" i="44"/>
  <c r="CA129" i="44"/>
  <c r="BR130" i="44"/>
  <c r="BS130" i="44"/>
  <c r="BT130" i="44"/>
  <c r="BU130" i="44"/>
  <c r="BV130" i="44"/>
  <c r="BW130" i="44"/>
  <c r="BX130" i="44"/>
  <c r="BY130" i="44"/>
  <c r="BZ130" i="44"/>
  <c r="CA130" i="44"/>
  <c r="BR131" i="44"/>
  <c r="BS131" i="44"/>
  <c r="BT131" i="44"/>
  <c r="BU131" i="44"/>
  <c r="BV131" i="44"/>
  <c r="BW131" i="44"/>
  <c r="BX131" i="44"/>
  <c r="BY131" i="44"/>
  <c r="BZ131" i="44"/>
  <c r="CA131" i="44"/>
  <c r="BR132" i="44"/>
  <c r="BS132" i="44"/>
  <c r="BT132" i="44"/>
  <c r="BU132" i="44"/>
  <c r="BV132" i="44"/>
  <c r="BW132" i="44"/>
  <c r="BX132" i="44"/>
  <c r="BY132" i="44"/>
  <c r="BZ132" i="44"/>
  <c r="CA132" i="44"/>
  <c r="BR133" i="44"/>
  <c r="BS133" i="44"/>
  <c r="BT133" i="44"/>
  <c r="BU133" i="44"/>
  <c r="BV133" i="44"/>
  <c r="BW133" i="44"/>
  <c r="BX133" i="44"/>
  <c r="BY133" i="44"/>
  <c r="BZ133" i="44"/>
  <c r="CA133" i="44"/>
  <c r="BR134" i="44"/>
  <c r="BS134" i="44"/>
  <c r="BT134" i="44"/>
  <c r="BU134" i="44"/>
  <c r="BV134" i="44"/>
  <c r="BW134" i="44"/>
  <c r="BX134" i="44"/>
  <c r="BY134" i="44"/>
  <c r="BZ134" i="44"/>
  <c r="CA134" i="44"/>
  <c r="BR135" i="44"/>
  <c r="BS135" i="44"/>
  <c r="BT135" i="44"/>
  <c r="BU135" i="44"/>
  <c r="BV135" i="44"/>
  <c r="BW135" i="44"/>
  <c r="BX135" i="44"/>
  <c r="BY135" i="44"/>
  <c r="BZ135" i="44"/>
  <c r="CA135" i="44"/>
  <c r="BR136" i="44"/>
  <c r="BS136" i="44"/>
  <c r="BT136" i="44"/>
  <c r="BU136" i="44"/>
  <c r="BV136" i="44"/>
  <c r="BW136" i="44"/>
  <c r="BX136" i="44"/>
  <c r="BY136" i="44"/>
  <c r="BZ136" i="44"/>
  <c r="CA136" i="44"/>
  <c r="BR137" i="44"/>
  <c r="BS137" i="44"/>
  <c r="BT137" i="44"/>
  <c r="BU137" i="44"/>
  <c r="BV137" i="44"/>
  <c r="BW137" i="44"/>
  <c r="BX137" i="44"/>
  <c r="BY137" i="44"/>
  <c r="BZ137" i="44"/>
  <c r="CA137" i="44"/>
  <c r="BR138" i="44"/>
  <c r="BS138" i="44"/>
  <c r="BT138" i="44"/>
  <c r="BU138" i="44"/>
  <c r="BV138" i="44"/>
  <c r="BW138" i="44"/>
  <c r="BX138" i="44"/>
  <c r="BY138" i="44"/>
  <c r="BZ138" i="44"/>
  <c r="CA138" i="44"/>
  <c r="BR139" i="44"/>
  <c r="BS139" i="44"/>
  <c r="BT139" i="44"/>
  <c r="BU139" i="44"/>
  <c r="BV139" i="44"/>
  <c r="BW139" i="44"/>
  <c r="BX139" i="44"/>
  <c r="BY139" i="44"/>
  <c r="BZ139" i="44"/>
  <c r="CA139" i="44"/>
  <c r="BR140" i="44"/>
  <c r="BS140" i="44"/>
  <c r="BT140" i="44"/>
  <c r="BU140" i="44"/>
  <c r="BV140" i="44"/>
  <c r="BW140" i="44"/>
  <c r="BX140" i="44"/>
  <c r="BY140" i="44"/>
  <c r="BZ140" i="44"/>
  <c r="CA140" i="44"/>
  <c r="BR141" i="44"/>
  <c r="BS141" i="44"/>
  <c r="BT141" i="44"/>
  <c r="BU141" i="44"/>
  <c r="BV141" i="44"/>
  <c r="BW141" i="44"/>
  <c r="BX141" i="44"/>
  <c r="BY141" i="44"/>
  <c r="BZ141" i="44"/>
  <c r="CA141" i="44"/>
  <c r="BR142" i="44"/>
  <c r="BS142" i="44"/>
  <c r="BT142" i="44"/>
  <c r="BU142" i="44"/>
  <c r="BV142" i="44"/>
  <c r="BW142" i="44"/>
  <c r="BX142" i="44"/>
  <c r="BY142" i="44"/>
  <c r="BZ142" i="44"/>
  <c r="CA142" i="44"/>
  <c r="BR143" i="44"/>
  <c r="BS143" i="44"/>
  <c r="BT143" i="44"/>
  <c r="BU143" i="44"/>
  <c r="BV143" i="44"/>
  <c r="BW143" i="44"/>
  <c r="BX143" i="44"/>
  <c r="BY143" i="44"/>
  <c r="BZ143" i="44"/>
  <c r="CA143" i="44"/>
  <c r="CA75" i="44"/>
  <c r="BS75" i="44"/>
  <c r="BT75" i="44"/>
  <c r="BU75" i="44"/>
  <c r="BV75" i="44"/>
  <c r="BW75" i="44"/>
  <c r="BX75" i="44"/>
  <c r="BY75" i="44"/>
  <c r="BZ75" i="44"/>
  <c r="BR75" i="44"/>
  <c r="BR6" i="44"/>
  <c r="BS6" i="44"/>
  <c r="BT6" i="44"/>
  <c r="BU6" i="44"/>
  <c r="BV6" i="44"/>
  <c r="BW6" i="44"/>
  <c r="BX6" i="44"/>
  <c r="BY6" i="44"/>
  <c r="BZ6" i="44"/>
  <c r="CA6" i="44"/>
  <c r="BR7" i="44"/>
  <c r="BS7" i="44"/>
  <c r="BT7" i="44"/>
  <c r="BU7" i="44"/>
  <c r="BV7" i="44"/>
  <c r="BW7" i="44"/>
  <c r="BX7" i="44"/>
  <c r="BY7" i="44"/>
  <c r="BZ7" i="44"/>
  <c r="CA7" i="44"/>
  <c r="BR8" i="44"/>
  <c r="BS8" i="44"/>
  <c r="BT8" i="44"/>
  <c r="BU8" i="44"/>
  <c r="BV8" i="44"/>
  <c r="BW8" i="44"/>
  <c r="BX8" i="44"/>
  <c r="BY8" i="44"/>
  <c r="BZ8" i="44"/>
  <c r="CA8" i="44"/>
  <c r="BR9" i="44"/>
  <c r="BS9" i="44"/>
  <c r="BT9" i="44"/>
  <c r="BU9" i="44"/>
  <c r="BV9" i="44"/>
  <c r="BW9" i="44"/>
  <c r="BX9" i="44"/>
  <c r="BY9" i="44"/>
  <c r="BZ9" i="44"/>
  <c r="CA9" i="44"/>
  <c r="BR10" i="44"/>
  <c r="BS10" i="44"/>
  <c r="BT10" i="44"/>
  <c r="BU10" i="44"/>
  <c r="BV10" i="44"/>
  <c r="BW10" i="44"/>
  <c r="BX10" i="44"/>
  <c r="BY10" i="44"/>
  <c r="BZ10" i="44"/>
  <c r="CA10" i="44"/>
  <c r="BR11" i="44"/>
  <c r="BS11" i="44"/>
  <c r="BT11" i="44"/>
  <c r="BU11" i="44"/>
  <c r="BV11" i="44"/>
  <c r="BW11" i="44"/>
  <c r="BX11" i="44"/>
  <c r="BY11" i="44"/>
  <c r="BZ11" i="44"/>
  <c r="CA11" i="44"/>
  <c r="BR12" i="44"/>
  <c r="BS12" i="44"/>
  <c r="BT12" i="44"/>
  <c r="BU12" i="44"/>
  <c r="BV12" i="44"/>
  <c r="BW12" i="44"/>
  <c r="BX12" i="44"/>
  <c r="BY12" i="44"/>
  <c r="BZ12" i="44"/>
  <c r="CA12" i="44"/>
  <c r="BR13" i="44"/>
  <c r="BS13" i="44"/>
  <c r="BT13" i="44"/>
  <c r="BU13" i="44"/>
  <c r="BV13" i="44"/>
  <c r="BW13" i="44"/>
  <c r="BX13" i="44"/>
  <c r="BY13" i="44"/>
  <c r="BZ13" i="44"/>
  <c r="CA13" i="44"/>
  <c r="BR14" i="44"/>
  <c r="BS14" i="44"/>
  <c r="BT14" i="44"/>
  <c r="BU14" i="44"/>
  <c r="BV14" i="44"/>
  <c r="BW14" i="44"/>
  <c r="BX14" i="44"/>
  <c r="BY14" i="44"/>
  <c r="BZ14" i="44"/>
  <c r="CA14" i="44"/>
  <c r="BR15" i="44"/>
  <c r="BS15" i="44"/>
  <c r="BT15" i="44"/>
  <c r="BU15" i="44"/>
  <c r="BV15" i="44"/>
  <c r="BW15" i="44"/>
  <c r="BX15" i="44"/>
  <c r="BY15" i="44"/>
  <c r="BZ15" i="44"/>
  <c r="CA15" i="44"/>
  <c r="BR16" i="44"/>
  <c r="BS16" i="44"/>
  <c r="BT16" i="44"/>
  <c r="BU16" i="44"/>
  <c r="BV16" i="44"/>
  <c r="BW16" i="44"/>
  <c r="BX16" i="44"/>
  <c r="BY16" i="44"/>
  <c r="BZ16" i="44"/>
  <c r="CA16" i="44"/>
  <c r="BR17" i="44"/>
  <c r="BS17" i="44"/>
  <c r="BT17" i="44"/>
  <c r="BU17" i="44"/>
  <c r="BV17" i="44"/>
  <c r="BW17" i="44"/>
  <c r="BX17" i="44"/>
  <c r="BY17" i="44"/>
  <c r="BZ17" i="44"/>
  <c r="CA17" i="44"/>
  <c r="BR18" i="44"/>
  <c r="BS18" i="44"/>
  <c r="BT18" i="44"/>
  <c r="BU18" i="44"/>
  <c r="BV18" i="44"/>
  <c r="BW18" i="44"/>
  <c r="BX18" i="44"/>
  <c r="BY18" i="44"/>
  <c r="BZ18" i="44"/>
  <c r="CA18" i="44"/>
  <c r="BR19" i="44"/>
  <c r="BS19" i="44"/>
  <c r="BT19" i="44"/>
  <c r="BU19" i="44"/>
  <c r="BV19" i="44"/>
  <c r="BW19" i="44"/>
  <c r="BX19" i="44"/>
  <c r="BY19" i="44"/>
  <c r="BZ19" i="44"/>
  <c r="CA19" i="44"/>
  <c r="BR20" i="44"/>
  <c r="BS20" i="44"/>
  <c r="BT20" i="44"/>
  <c r="BU20" i="44"/>
  <c r="BV20" i="44"/>
  <c r="BW20" i="44"/>
  <c r="BX20" i="44"/>
  <c r="BY20" i="44"/>
  <c r="BZ20" i="44"/>
  <c r="CA20" i="44"/>
  <c r="BR21" i="44"/>
  <c r="BS21" i="44"/>
  <c r="BT21" i="44"/>
  <c r="BU21" i="44"/>
  <c r="BV21" i="44"/>
  <c r="BW21" i="44"/>
  <c r="BX21" i="44"/>
  <c r="BY21" i="44"/>
  <c r="BZ21" i="44"/>
  <c r="CA21" i="44"/>
  <c r="BR22" i="44"/>
  <c r="BS22" i="44"/>
  <c r="BT22" i="44"/>
  <c r="BU22" i="44"/>
  <c r="BV22" i="44"/>
  <c r="BW22" i="44"/>
  <c r="BX22" i="44"/>
  <c r="BY22" i="44"/>
  <c r="BZ22" i="44"/>
  <c r="CA22" i="44"/>
  <c r="BR23" i="44"/>
  <c r="BS23" i="44"/>
  <c r="BT23" i="44"/>
  <c r="BU23" i="44"/>
  <c r="BV23" i="44"/>
  <c r="BW23" i="44"/>
  <c r="BX23" i="44"/>
  <c r="BY23" i="44"/>
  <c r="BZ23" i="44"/>
  <c r="CA23" i="44"/>
  <c r="BR24" i="44"/>
  <c r="BS24" i="44"/>
  <c r="BT24" i="44"/>
  <c r="BU24" i="44"/>
  <c r="BV24" i="44"/>
  <c r="BW24" i="44"/>
  <c r="BX24" i="44"/>
  <c r="BY24" i="44"/>
  <c r="BZ24" i="44"/>
  <c r="CA24" i="44"/>
  <c r="BR25" i="44"/>
  <c r="BS25" i="44"/>
  <c r="BT25" i="44"/>
  <c r="BU25" i="44"/>
  <c r="BV25" i="44"/>
  <c r="BW25" i="44"/>
  <c r="BX25" i="44"/>
  <c r="BY25" i="44"/>
  <c r="BZ25" i="44"/>
  <c r="CA25" i="44"/>
  <c r="BR26" i="44"/>
  <c r="BS26" i="44"/>
  <c r="BT26" i="44"/>
  <c r="BU26" i="44"/>
  <c r="BV26" i="44"/>
  <c r="BW26" i="44"/>
  <c r="BX26" i="44"/>
  <c r="BY26" i="44"/>
  <c r="BZ26" i="44"/>
  <c r="CA26" i="44"/>
  <c r="BR27" i="44"/>
  <c r="BS27" i="44"/>
  <c r="BT27" i="44"/>
  <c r="BU27" i="44"/>
  <c r="BV27" i="44"/>
  <c r="BW27" i="44"/>
  <c r="BX27" i="44"/>
  <c r="BY27" i="44"/>
  <c r="BZ27" i="44"/>
  <c r="CA27" i="44"/>
  <c r="BS28" i="44"/>
  <c r="BT28" i="44"/>
  <c r="BU28" i="44"/>
  <c r="BV28" i="44"/>
  <c r="BW28" i="44"/>
  <c r="BX28" i="44"/>
  <c r="BY28" i="44"/>
  <c r="BZ28" i="44"/>
  <c r="CA28" i="44"/>
  <c r="BR29" i="44"/>
  <c r="BS29" i="44"/>
  <c r="BT29" i="44"/>
  <c r="BU29" i="44"/>
  <c r="BV29" i="44"/>
  <c r="BW29" i="44"/>
  <c r="BX29" i="44"/>
  <c r="BY29" i="44"/>
  <c r="BZ29" i="44"/>
  <c r="CA29" i="44"/>
  <c r="BR30" i="44"/>
  <c r="BS30" i="44"/>
  <c r="BT30" i="44"/>
  <c r="BU30" i="44"/>
  <c r="BV30" i="44"/>
  <c r="BW30" i="44"/>
  <c r="BX30" i="44"/>
  <c r="BY30" i="44"/>
  <c r="BZ30" i="44"/>
  <c r="CA30" i="44"/>
  <c r="BR31" i="44"/>
  <c r="BS31" i="44"/>
  <c r="BT31" i="44"/>
  <c r="BU31" i="44"/>
  <c r="BV31" i="44"/>
  <c r="BW31" i="44"/>
  <c r="BX31" i="44"/>
  <c r="BY31" i="44"/>
  <c r="BZ31" i="44"/>
  <c r="CA31" i="44"/>
  <c r="BR32" i="44"/>
  <c r="BS32" i="44"/>
  <c r="BT32" i="44"/>
  <c r="BU32" i="44"/>
  <c r="BV32" i="44"/>
  <c r="BW32" i="44"/>
  <c r="BX32" i="44"/>
  <c r="BY32" i="44"/>
  <c r="BZ32" i="44"/>
  <c r="CA32" i="44"/>
  <c r="BR33" i="44"/>
  <c r="BS33" i="44"/>
  <c r="BT33" i="44"/>
  <c r="BU33" i="44"/>
  <c r="BV33" i="44"/>
  <c r="BW33" i="44"/>
  <c r="BX33" i="44"/>
  <c r="BY33" i="44"/>
  <c r="BZ33" i="44"/>
  <c r="CA33" i="44"/>
  <c r="BR34" i="44"/>
  <c r="BS34" i="44"/>
  <c r="BT34" i="44"/>
  <c r="BU34" i="44"/>
  <c r="BV34" i="44"/>
  <c r="BW34" i="44"/>
  <c r="BX34" i="44"/>
  <c r="BY34" i="44"/>
  <c r="BZ34" i="44"/>
  <c r="CA34" i="44"/>
  <c r="BR35" i="44"/>
  <c r="BS35" i="44"/>
  <c r="BT35" i="44"/>
  <c r="BU35" i="44"/>
  <c r="BV35" i="44"/>
  <c r="BW35" i="44"/>
  <c r="BX35" i="44"/>
  <c r="BY35" i="44"/>
  <c r="BZ35" i="44"/>
  <c r="CA35" i="44"/>
  <c r="BR36" i="44"/>
  <c r="BS36" i="44"/>
  <c r="BT36" i="44"/>
  <c r="BU36" i="44"/>
  <c r="BV36" i="44"/>
  <c r="BW36" i="44"/>
  <c r="BX36" i="44"/>
  <c r="BY36" i="44"/>
  <c r="BZ36" i="44"/>
  <c r="CA36" i="44"/>
  <c r="BR37" i="44"/>
  <c r="BS37" i="44"/>
  <c r="BT37" i="44"/>
  <c r="BU37" i="44"/>
  <c r="BV37" i="44"/>
  <c r="BW37" i="44"/>
  <c r="BX37" i="44"/>
  <c r="BY37" i="44"/>
  <c r="BZ37" i="44"/>
  <c r="CA37" i="44"/>
  <c r="BR38" i="44"/>
  <c r="BS38" i="44"/>
  <c r="BT38" i="44"/>
  <c r="BU38" i="44"/>
  <c r="BV38" i="44"/>
  <c r="BW38" i="44"/>
  <c r="BX38" i="44"/>
  <c r="BY38" i="44"/>
  <c r="BZ38" i="44"/>
  <c r="CA38" i="44"/>
  <c r="BR39" i="44"/>
  <c r="BS39" i="44"/>
  <c r="BT39" i="44"/>
  <c r="BU39" i="44"/>
  <c r="BV39" i="44"/>
  <c r="BW39" i="44"/>
  <c r="BX39" i="44"/>
  <c r="BY39" i="44"/>
  <c r="BZ39" i="44"/>
  <c r="CA39" i="44"/>
  <c r="BR40" i="44"/>
  <c r="BS40" i="44"/>
  <c r="BT40" i="44"/>
  <c r="BU40" i="44"/>
  <c r="BV40" i="44"/>
  <c r="BW40" i="44"/>
  <c r="BX40" i="44"/>
  <c r="BY40" i="44"/>
  <c r="BZ40" i="44"/>
  <c r="CA40" i="44"/>
  <c r="BR41" i="44"/>
  <c r="BS41" i="44"/>
  <c r="BT41" i="44"/>
  <c r="BU41" i="44"/>
  <c r="BV41" i="44"/>
  <c r="BW41" i="44"/>
  <c r="BX41" i="44"/>
  <c r="BY41" i="44"/>
  <c r="BZ41" i="44"/>
  <c r="CA41" i="44"/>
  <c r="BR42" i="44"/>
  <c r="BS42" i="44"/>
  <c r="BT42" i="44"/>
  <c r="BU42" i="44"/>
  <c r="BV42" i="44"/>
  <c r="BW42" i="44"/>
  <c r="BX42" i="44"/>
  <c r="BY42" i="44"/>
  <c r="BZ42" i="44"/>
  <c r="CA42" i="44"/>
  <c r="BR43" i="44"/>
  <c r="BS43" i="44"/>
  <c r="BT43" i="44"/>
  <c r="BU43" i="44"/>
  <c r="BV43" i="44"/>
  <c r="BW43" i="44"/>
  <c r="BX43" i="44"/>
  <c r="BY43" i="44"/>
  <c r="BZ43" i="44"/>
  <c r="CA43" i="44"/>
  <c r="BR44" i="44"/>
  <c r="BS44" i="44"/>
  <c r="BT44" i="44"/>
  <c r="BU44" i="44"/>
  <c r="BV44" i="44"/>
  <c r="BW44" i="44"/>
  <c r="BX44" i="44"/>
  <c r="BY44" i="44"/>
  <c r="BZ44" i="44"/>
  <c r="CA44" i="44"/>
  <c r="BR45" i="44"/>
  <c r="BS45" i="44"/>
  <c r="BT45" i="44"/>
  <c r="BU45" i="44"/>
  <c r="BV45" i="44"/>
  <c r="BW45" i="44"/>
  <c r="BX45" i="44"/>
  <c r="BY45" i="44"/>
  <c r="BZ45" i="44"/>
  <c r="CA45" i="44"/>
  <c r="BR46" i="44"/>
  <c r="BS46" i="44"/>
  <c r="BT46" i="44"/>
  <c r="BU46" i="44"/>
  <c r="BV46" i="44"/>
  <c r="BW46" i="44"/>
  <c r="BX46" i="44"/>
  <c r="BY46" i="44"/>
  <c r="BZ46" i="44"/>
  <c r="CA46" i="44"/>
  <c r="BR47" i="44"/>
  <c r="BS47" i="44"/>
  <c r="BT47" i="44"/>
  <c r="BU47" i="44"/>
  <c r="BV47" i="44"/>
  <c r="BW47" i="44"/>
  <c r="BX47" i="44"/>
  <c r="BY47" i="44"/>
  <c r="BZ47" i="44"/>
  <c r="CA47" i="44"/>
  <c r="BR48" i="44"/>
  <c r="BS48" i="44"/>
  <c r="BT48" i="44"/>
  <c r="BU48" i="44"/>
  <c r="BV48" i="44"/>
  <c r="BW48" i="44"/>
  <c r="BX48" i="44"/>
  <c r="BY48" i="44"/>
  <c r="BZ48" i="44"/>
  <c r="CA48" i="44"/>
  <c r="BR49" i="44"/>
  <c r="BS49" i="44"/>
  <c r="BT49" i="44"/>
  <c r="BU49" i="44"/>
  <c r="BV49" i="44"/>
  <c r="BW49" i="44"/>
  <c r="BX49" i="44"/>
  <c r="BY49" i="44"/>
  <c r="BZ49" i="44"/>
  <c r="CA49" i="44"/>
  <c r="BR50" i="44"/>
  <c r="BS50" i="44"/>
  <c r="BT50" i="44"/>
  <c r="BU50" i="44"/>
  <c r="BV50" i="44"/>
  <c r="BW50" i="44"/>
  <c r="BX50" i="44"/>
  <c r="BY50" i="44"/>
  <c r="BZ50" i="44"/>
  <c r="CA50" i="44"/>
  <c r="BR51" i="44"/>
  <c r="BS51" i="44"/>
  <c r="BT51" i="44"/>
  <c r="BU51" i="44"/>
  <c r="BV51" i="44"/>
  <c r="BW51" i="44"/>
  <c r="BX51" i="44"/>
  <c r="BY51" i="44"/>
  <c r="BZ51" i="44"/>
  <c r="CA51" i="44"/>
  <c r="BR52" i="44"/>
  <c r="BS52" i="44"/>
  <c r="BT52" i="44"/>
  <c r="BU52" i="44"/>
  <c r="BV52" i="44"/>
  <c r="BW52" i="44"/>
  <c r="BX52" i="44"/>
  <c r="BY52" i="44"/>
  <c r="BZ52" i="44"/>
  <c r="CA52" i="44"/>
  <c r="BR53" i="44"/>
  <c r="BS53" i="44"/>
  <c r="BT53" i="44"/>
  <c r="BU53" i="44"/>
  <c r="BV53" i="44"/>
  <c r="BW53" i="44"/>
  <c r="BX53" i="44"/>
  <c r="BY53" i="44"/>
  <c r="BZ53" i="44"/>
  <c r="CA53" i="44"/>
  <c r="BR54" i="44"/>
  <c r="BS54" i="44"/>
  <c r="BT54" i="44"/>
  <c r="BU54" i="44"/>
  <c r="BV54" i="44"/>
  <c r="BW54" i="44"/>
  <c r="BX54" i="44"/>
  <c r="BY54" i="44"/>
  <c r="BZ54" i="44"/>
  <c r="CA54" i="44"/>
  <c r="BR55" i="44"/>
  <c r="BS55" i="44"/>
  <c r="BT55" i="44"/>
  <c r="BU55" i="44"/>
  <c r="BV55" i="44"/>
  <c r="BW55" i="44"/>
  <c r="BX55" i="44"/>
  <c r="BY55" i="44"/>
  <c r="BZ55" i="44"/>
  <c r="CA55" i="44"/>
  <c r="BR56" i="44"/>
  <c r="BS56" i="44"/>
  <c r="BT56" i="44"/>
  <c r="BU56" i="44"/>
  <c r="BV56" i="44"/>
  <c r="BW56" i="44"/>
  <c r="BX56" i="44"/>
  <c r="BY56" i="44"/>
  <c r="BZ56" i="44"/>
  <c r="CA56" i="44"/>
  <c r="BR57" i="44"/>
  <c r="BS57" i="44"/>
  <c r="BT57" i="44"/>
  <c r="BU57" i="44"/>
  <c r="BV57" i="44"/>
  <c r="BW57" i="44"/>
  <c r="BX57" i="44"/>
  <c r="BY57" i="44"/>
  <c r="BZ57" i="44"/>
  <c r="CA57" i="44"/>
  <c r="BR58" i="44"/>
  <c r="BS58" i="44"/>
  <c r="BT58" i="44"/>
  <c r="BU58" i="44"/>
  <c r="BV58" i="44"/>
  <c r="BW58" i="44"/>
  <c r="BX58" i="44"/>
  <c r="BY58" i="44"/>
  <c r="BZ58" i="44"/>
  <c r="CA58" i="44"/>
  <c r="BR59" i="44"/>
  <c r="BS59" i="44"/>
  <c r="BT59" i="44"/>
  <c r="BU59" i="44"/>
  <c r="BV59" i="44"/>
  <c r="BW59" i="44"/>
  <c r="BX59" i="44"/>
  <c r="BY59" i="44"/>
  <c r="BZ59" i="44"/>
  <c r="CA59" i="44"/>
  <c r="BR60" i="44"/>
  <c r="BS60" i="44"/>
  <c r="BT60" i="44"/>
  <c r="BU60" i="44"/>
  <c r="BV60" i="44"/>
  <c r="BW60" i="44"/>
  <c r="BX60" i="44"/>
  <c r="BY60" i="44"/>
  <c r="BZ60" i="44"/>
  <c r="CA60" i="44"/>
  <c r="BR61" i="44"/>
  <c r="BS61" i="44"/>
  <c r="BT61" i="44"/>
  <c r="BU61" i="44"/>
  <c r="BV61" i="44"/>
  <c r="BW61" i="44"/>
  <c r="BX61" i="44"/>
  <c r="BY61" i="44"/>
  <c r="BZ61" i="44"/>
  <c r="CA61" i="44"/>
  <c r="BR62" i="44"/>
  <c r="BS62" i="44"/>
  <c r="BT62" i="44"/>
  <c r="BU62" i="44"/>
  <c r="BV62" i="44"/>
  <c r="BW62" i="44"/>
  <c r="BX62" i="44"/>
  <c r="BY62" i="44"/>
  <c r="BZ62" i="44"/>
  <c r="CA62" i="44"/>
  <c r="BR63" i="44"/>
  <c r="BS63" i="44"/>
  <c r="BT63" i="44"/>
  <c r="BU63" i="44"/>
  <c r="BV63" i="44"/>
  <c r="BW63" i="44"/>
  <c r="BX63" i="44"/>
  <c r="BY63" i="44"/>
  <c r="BZ63" i="44"/>
  <c r="CA63" i="44"/>
  <c r="BR64" i="44"/>
  <c r="BS64" i="44"/>
  <c r="BT64" i="44"/>
  <c r="BU64" i="44"/>
  <c r="BV64" i="44"/>
  <c r="BW64" i="44"/>
  <c r="BX64" i="44"/>
  <c r="BY64" i="44"/>
  <c r="BZ64" i="44"/>
  <c r="CA64" i="44"/>
  <c r="BR65" i="44"/>
  <c r="BS65" i="44"/>
  <c r="BT65" i="44"/>
  <c r="BU65" i="44"/>
  <c r="BV65" i="44"/>
  <c r="BW65" i="44"/>
  <c r="BX65" i="44"/>
  <c r="BY65" i="44"/>
  <c r="BZ65" i="44"/>
  <c r="CA65" i="44"/>
  <c r="BR66" i="44"/>
  <c r="BS66" i="44"/>
  <c r="BT66" i="44"/>
  <c r="BU66" i="44"/>
  <c r="BV66" i="44"/>
  <c r="BW66" i="44"/>
  <c r="BX66" i="44"/>
  <c r="BY66" i="44"/>
  <c r="BZ66" i="44"/>
  <c r="CA66" i="44"/>
  <c r="BR67" i="44"/>
  <c r="BS67" i="44"/>
  <c r="BT67" i="44"/>
  <c r="BU67" i="44"/>
  <c r="BV67" i="44"/>
  <c r="BW67" i="44"/>
  <c r="BX67" i="44"/>
  <c r="BY67" i="44"/>
  <c r="BZ67" i="44"/>
  <c r="CA67" i="44"/>
  <c r="BR68" i="44"/>
  <c r="BS68" i="44"/>
  <c r="BT68" i="44"/>
  <c r="BU68" i="44"/>
  <c r="BV68" i="44"/>
  <c r="BW68" i="44"/>
  <c r="BX68" i="44"/>
  <c r="BY68" i="44"/>
  <c r="BZ68" i="44"/>
  <c r="CA68" i="44"/>
  <c r="BR69" i="44"/>
  <c r="BS69" i="44"/>
  <c r="BT69" i="44"/>
  <c r="BU69" i="44"/>
  <c r="BV69" i="44"/>
  <c r="BW69" i="44"/>
  <c r="BX69" i="44"/>
  <c r="BY69" i="44"/>
  <c r="BZ69" i="44"/>
  <c r="CA69" i="44"/>
  <c r="BR70" i="44"/>
  <c r="BS70" i="44"/>
  <c r="BT70" i="44"/>
  <c r="BU70" i="44"/>
  <c r="BV70" i="44"/>
  <c r="BW70" i="44"/>
  <c r="BX70" i="44"/>
  <c r="BY70" i="44"/>
  <c r="BZ70" i="44"/>
  <c r="CA70" i="44"/>
  <c r="BR71" i="44"/>
  <c r="BS71" i="44"/>
  <c r="BT71" i="44"/>
  <c r="BU71" i="44"/>
  <c r="BV71" i="44"/>
  <c r="BW71" i="44"/>
  <c r="BX71" i="44"/>
  <c r="BY71" i="44"/>
  <c r="BZ71" i="44"/>
  <c r="CA71" i="44"/>
  <c r="BR72" i="44"/>
  <c r="BS72" i="44"/>
  <c r="BT72" i="44"/>
  <c r="BU72" i="44"/>
  <c r="BV72" i="44"/>
  <c r="BW72" i="44"/>
  <c r="BX72" i="44"/>
  <c r="BY72" i="44"/>
  <c r="BZ72" i="44"/>
  <c r="CA72" i="44"/>
  <c r="BR73" i="44"/>
  <c r="BS73" i="44"/>
  <c r="BT73" i="44"/>
  <c r="BU73" i="44"/>
  <c r="BV73" i="44"/>
  <c r="BW73" i="44"/>
  <c r="BX73" i="44"/>
  <c r="BY73" i="44"/>
  <c r="BZ73" i="44"/>
  <c r="CA73" i="44"/>
  <c r="BS5" i="44"/>
  <c r="BT5" i="44"/>
  <c r="BU5" i="44"/>
  <c r="BV5" i="44"/>
  <c r="BW5" i="44"/>
  <c r="BX5" i="44"/>
  <c r="BY5" i="44"/>
  <c r="BZ5" i="44"/>
  <c r="CA5" i="44"/>
  <c r="BR5" i="44"/>
  <c r="AF245" i="44"/>
  <c r="AU245" i="44" s="1"/>
  <c r="AG245" i="44"/>
  <c r="AV245" i="44" s="1"/>
  <c r="AH245" i="44"/>
  <c r="AW245" i="44" s="1"/>
  <c r="AI245" i="44"/>
  <c r="AX245" i="44" s="1"/>
  <c r="BW261" i="44"/>
  <c r="AK245" i="44"/>
  <c r="AZ245" i="44" s="1"/>
  <c r="AL245" i="44"/>
  <c r="BA245" i="44" s="1"/>
  <c r="BZ261" i="44"/>
  <c r="AN245" i="44"/>
  <c r="BC245" i="44" s="1"/>
  <c r="BS248" i="44"/>
  <c r="AG246" i="44"/>
  <c r="AV246" i="44" s="1"/>
  <c r="AH246" i="44"/>
  <c r="AW246" i="44" s="1"/>
  <c r="AI246" i="44"/>
  <c r="AX246" i="44" s="1"/>
  <c r="AJ246" i="44"/>
  <c r="AY246" i="44" s="1"/>
  <c r="AK246" i="44"/>
  <c r="AZ246" i="44" s="1"/>
  <c r="AL246" i="44"/>
  <c r="BA246" i="44" s="1"/>
  <c r="BZ248" i="44"/>
  <c r="AN246" i="44"/>
  <c r="BC246" i="44" s="1"/>
  <c r="AF247" i="44"/>
  <c r="AU247" i="44" s="1"/>
  <c r="AG247" i="44"/>
  <c r="AV247" i="44" s="1"/>
  <c r="AH247" i="44"/>
  <c r="AW247" i="44" s="1"/>
  <c r="BV240" i="44"/>
  <c r="AJ247" i="44"/>
  <c r="AY247" i="44" s="1"/>
  <c r="AK247" i="44"/>
  <c r="AZ247" i="44" s="1"/>
  <c r="BY240" i="44"/>
  <c r="AM247" i="44"/>
  <c r="BB247" i="44" s="1"/>
  <c r="AN247" i="44"/>
  <c r="BC247" i="44" s="1"/>
  <c r="BS262" i="44"/>
  <c r="BT262" i="44"/>
  <c r="BU262" i="44"/>
  <c r="BV262" i="44"/>
  <c r="AJ248" i="44"/>
  <c r="AY248" i="44" s="1"/>
  <c r="BX262" i="44"/>
  <c r="BY262" i="44"/>
  <c r="CK52" i="44" s="1"/>
  <c r="BZ262" i="44"/>
  <c r="AN248" i="44"/>
  <c r="BC248" i="44" s="1"/>
  <c r="BS254" i="44"/>
  <c r="BT254" i="44"/>
  <c r="BU254" i="44"/>
  <c r="CG44" i="44" s="1"/>
  <c r="BV254" i="44"/>
  <c r="BW254" i="44"/>
  <c r="AK249" i="44"/>
  <c r="AZ249" i="44" s="1"/>
  <c r="BY254" i="44"/>
  <c r="BZ254" i="44"/>
  <c r="CA254" i="44"/>
  <c r="BS241" i="44"/>
  <c r="BT241" i="44"/>
  <c r="AH250" i="44"/>
  <c r="AW250" i="44" s="1"/>
  <c r="BV241" i="44"/>
  <c r="AJ250" i="44"/>
  <c r="AY250" i="44" s="1"/>
  <c r="BX241" i="44"/>
  <c r="BY241" i="44"/>
  <c r="CK31" i="44" s="1"/>
  <c r="BZ241" i="44"/>
  <c r="CA241" i="44"/>
  <c r="AF251" i="44"/>
  <c r="AU251" i="44" s="1"/>
  <c r="AG251" i="44"/>
  <c r="AV251" i="44" s="1"/>
  <c r="AH251" i="44"/>
  <c r="AW251" i="44" s="1"/>
  <c r="BV238" i="44"/>
  <c r="AJ251" i="44"/>
  <c r="AY251" i="44" s="1"/>
  <c r="AK251" i="44"/>
  <c r="AZ251" i="44" s="1"/>
  <c r="AL251" i="44"/>
  <c r="BA251" i="44" s="1"/>
  <c r="AM251" i="44"/>
  <c r="BB251" i="44" s="1"/>
  <c r="AN251" i="44"/>
  <c r="BC251" i="44" s="1"/>
  <c r="AF252" i="44"/>
  <c r="AU252" i="44" s="1"/>
  <c r="AG252" i="44"/>
  <c r="AV252" i="44" s="1"/>
  <c r="AH252" i="44"/>
  <c r="AW252" i="44" s="1"/>
  <c r="AI252" i="44"/>
  <c r="AX252" i="44" s="1"/>
  <c r="AJ252" i="44"/>
  <c r="AY252" i="44" s="1"/>
  <c r="AK252" i="44"/>
  <c r="AZ252" i="44" s="1"/>
  <c r="BY260" i="44"/>
  <c r="BZ260" i="44"/>
  <c r="AN252" i="44"/>
  <c r="BC252" i="44" s="1"/>
  <c r="BS253" i="44"/>
  <c r="CE43" i="44" s="1"/>
  <c r="AG253" i="44"/>
  <c r="AV253" i="44" s="1"/>
  <c r="BU253" i="44"/>
  <c r="BV253" i="44"/>
  <c r="AJ253" i="44"/>
  <c r="AY253" i="44" s="1"/>
  <c r="BX253" i="44"/>
  <c r="AL253" i="44"/>
  <c r="BA253" i="44" s="1"/>
  <c r="AM253" i="44"/>
  <c r="BB253" i="44" s="1"/>
  <c r="CA253" i="44"/>
  <c r="BS224" i="44"/>
  <c r="BT224" i="44"/>
  <c r="CF14" i="44" s="1"/>
  <c r="AH254" i="44"/>
  <c r="AW254" i="44" s="1"/>
  <c r="BV224" i="44"/>
  <c r="BW224" i="44"/>
  <c r="BX224" i="44"/>
  <c r="BY224" i="44"/>
  <c r="AM254" i="44"/>
  <c r="BB254" i="44" s="1"/>
  <c r="CA224" i="44"/>
  <c r="CM14" i="44" s="1"/>
  <c r="AF255" i="44"/>
  <c r="AU255" i="44" s="1"/>
  <c r="AG255" i="44"/>
  <c r="AV255" i="44" s="1"/>
  <c r="BU256" i="44"/>
  <c r="BV256" i="44"/>
  <c r="AJ255" i="44"/>
  <c r="AY255" i="44" s="1"/>
  <c r="AK255" i="44"/>
  <c r="AZ255" i="44" s="1"/>
  <c r="AL255" i="44"/>
  <c r="BA255" i="44" s="1"/>
  <c r="AM255" i="44"/>
  <c r="BB255" i="44" s="1"/>
  <c r="AN255" i="44"/>
  <c r="BC255" i="44" s="1"/>
  <c r="BS243" i="44"/>
  <c r="BT243" i="44"/>
  <c r="BU243" i="44"/>
  <c r="BV243" i="44"/>
  <c r="AJ256" i="44"/>
  <c r="AY256" i="44" s="1"/>
  <c r="BX243" i="44"/>
  <c r="BY243" i="44"/>
  <c r="BZ243" i="44"/>
  <c r="CA243" i="44"/>
  <c r="AF257" i="44"/>
  <c r="AU257" i="44" s="1"/>
  <c r="AG257" i="44"/>
  <c r="AV257" i="44" s="1"/>
  <c r="AH257" i="44"/>
  <c r="AW257" i="44" s="1"/>
  <c r="AI257" i="44"/>
  <c r="AX257" i="44" s="1"/>
  <c r="AJ257" i="44"/>
  <c r="AY257" i="44" s="1"/>
  <c r="AK257" i="44"/>
  <c r="AZ257" i="44" s="1"/>
  <c r="AL257" i="44"/>
  <c r="BA257" i="44" s="1"/>
  <c r="AM257" i="44"/>
  <c r="BB257" i="44" s="1"/>
  <c r="CA247" i="44"/>
  <c r="BS222" i="44"/>
  <c r="BT222" i="44"/>
  <c r="AH258" i="44"/>
  <c r="AW258" i="44" s="1"/>
  <c r="BV222" i="44"/>
  <c r="CH12" i="44" s="1"/>
  <c r="BW222" i="44"/>
  <c r="CI12" i="44" s="1"/>
  <c r="BX222" i="44"/>
  <c r="BY222" i="44"/>
  <c r="BZ222" i="44"/>
  <c r="CA222" i="44"/>
  <c r="AF259" i="44"/>
  <c r="AU259" i="44" s="1"/>
  <c r="AG259" i="44"/>
  <c r="AV259" i="44" s="1"/>
  <c r="AH259" i="44"/>
  <c r="AW259" i="44" s="1"/>
  <c r="BV249" i="44"/>
  <c r="BW249" i="44"/>
  <c r="AK259" i="44"/>
  <c r="AZ259" i="44" s="1"/>
  <c r="AL259" i="44"/>
  <c r="BA259" i="44" s="1"/>
  <c r="BZ249" i="44"/>
  <c r="AN259" i="44"/>
  <c r="BC259" i="44" s="1"/>
  <c r="AF260" i="44"/>
  <c r="AU260" i="44" s="1"/>
  <c r="AG260" i="44"/>
  <c r="AV260" i="44" s="1"/>
  <c r="AH260" i="44"/>
  <c r="AW260" i="44" s="1"/>
  <c r="AI260" i="44"/>
  <c r="AX260" i="44" s="1"/>
  <c r="BW216" i="44"/>
  <c r="BX216" i="44"/>
  <c r="BY216" i="44"/>
  <c r="AM260" i="44"/>
  <c r="BB260" i="44" s="1"/>
  <c r="AN260" i="44"/>
  <c r="BC260" i="44" s="1"/>
  <c r="BT257" i="44"/>
  <c r="BU257" i="44"/>
  <c r="BV257" i="44"/>
  <c r="BW257" i="44"/>
  <c r="BX257" i="44"/>
  <c r="BY257" i="44"/>
  <c r="BZ257" i="44"/>
  <c r="CA257" i="44"/>
  <c r="CM47" i="44" s="1"/>
  <c r="BS257" i="44"/>
  <c r="BT318" i="44"/>
  <c r="BU318" i="44"/>
  <c r="BV318" i="44"/>
  <c r="BW318" i="44"/>
  <c r="BX318" i="44"/>
  <c r="BY318" i="44"/>
  <c r="BZ318" i="44"/>
  <c r="AN262" i="44"/>
  <c r="BC262" i="44" s="1"/>
  <c r="BT317" i="44"/>
  <c r="BU317" i="44"/>
  <c r="BV317" i="44"/>
  <c r="AJ263" i="44"/>
  <c r="AY263" i="44" s="1"/>
  <c r="BX317" i="44"/>
  <c r="BY317" i="44"/>
  <c r="BZ317" i="44"/>
  <c r="CA317" i="44"/>
  <c r="AG264" i="44"/>
  <c r="AV264" i="44" s="1"/>
  <c r="AH264" i="44"/>
  <c r="AW264" i="44" s="1"/>
  <c r="BV326" i="44"/>
  <c r="AJ264" i="44"/>
  <c r="AY264" i="44" s="1"/>
  <c r="AK264" i="44"/>
  <c r="AZ264" i="44" s="1"/>
  <c r="BY326" i="44"/>
  <c r="BZ326" i="44"/>
  <c r="CA326" i="44"/>
  <c r="BT310" i="44"/>
  <c r="BU310" i="44"/>
  <c r="AI265" i="44"/>
  <c r="AX265" i="44" s="1"/>
  <c r="BW310" i="44"/>
  <c r="BX310" i="44"/>
  <c r="AL265" i="44"/>
  <c r="BA265" i="44" s="1"/>
  <c r="BZ310" i="44"/>
  <c r="AN265" i="44"/>
  <c r="BC265" i="44" s="1"/>
  <c r="BT286" i="44"/>
  <c r="BU286" i="44"/>
  <c r="BV286" i="44"/>
  <c r="BW286" i="44"/>
  <c r="BX286" i="44"/>
  <c r="BY286" i="44"/>
  <c r="BZ286" i="44"/>
  <c r="CA286" i="44"/>
  <c r="BS317" i="44"/>
  <c r="BS326" i="44"/>
  <c r="BS310" i="44"/>
  <c r="BS286" i="44"/>
  <c r="AF262" i="44"/>
  <c r="AU262" i="44" s="1"/>
  <c r="Q5" i="6"/>
  <c r="AE35" i="44"/>
  <c r="AT35" i="44" s="1"/>
  <c r="AF35" i="44"/>
  <c r="AU35" i="44" s="1"/>
  <c r="AG35" i="44"/>
  <c r="AV35" i="44" s="1"/>
  <c r="AH35" i="44"/>
  <c r="AW35" i="44" s="1"/>
  <c r="AI35" i="44"/>
  <c r="AX35" i="44" s="1"/>
  <c r="AJ35" i="44"/>
  <c r="AY35" i="44" s="1"/>
  <c r="AK35" i="44"/>
  <c r="AZ35" i="44" s="1"/>
  <c r="AL35" i="44"/>
  <c r="BA35" i="44" s="1"/>
  <c r="AM35" i="44"/>
  <c r="BB35" i="44" s="1"/>
  <c r="AN35" i="44"/>
  <c r="BC35" i="44" s="1"/>
  <c r="AE36" i="44"/>
  <c r="AT36" i="44" s="1"/>
  <c r="AF36" i="44"/>
  <c r="AU36" i="44" s="1"/>
  <c r="AG36" i="44"/>
  <c r="AV36" i="44" s="1"/>
  <c r="AH36" i="44"/>
  <c r="AW36" i="44" s="1"/>
  <c r="AI36" i="44"/>
  <c r="AX36" i="44" s="1"/>
  <c r="AJ36" i="44"/>
  <c r="AY36" i="44" s="1"/>
  <c r="AK36" i="44"/>
  <c r="AZ36" i="44" s="1"/>
  <c r="AL36" i="44"/>
  <c r="BA36" i="44" s="1"/>
  <c r="AM36" i="44"/>
  <c r="BB36" i="44" s="1"/>
  <c r="AN36" i="44"/>
  <c r="BC36" i="44" s="1"/>
  <c r="AE37" i="44"/>
  <c r="AT37" i="44" s="1"/>
  <c r="AF37" i="44"/>
  <c r="AU37" i="44" s="1"/>
  <c r="AG37" i="44"/>
  <c r="AV37" i="44" s="1"/>
  <c r="AH37" i="44"/>
  <c r="AW37" i="44" s="1"/>
  <c r="AI37" i="44"/>
  <c r="AX37" i="44" s="1"/>
  <c r="AJ37" i="44"/>
  <c r="AY37" i="44" s="1"/>
  <c r="AK37" i="44"/>
  <c r="AZ37" i="44" s="1"/>
  <c r="AL37" i="44"/>
  <c r="BA37" i="44" s="1"/>
  <c r="AM37" i="44"/>
  <c r="BB37" i="44" s="1"/>
  <c r="AN37" i="44"/>
  <c r="BC37" i="44" s="1"/>
  <c r="AE38" i="44"/>
  <c r="AT38" i="44" s="1"/>
  <c r="AF38" i="44"/>
  <c r="AU38" i="44" s="1"/>
  <c r="AG38" i="44"/>
  <c r="AV38" i="44" s="1"/>
  <c r="AH38" i="44"/>
  <c r="AW38" i="44" s="1"/>
  <c r="AI38" i="44"/>
  <c r="AX38" i="44" s="1"/>
  <c r="AJ38" i="44"/>
  <c r="AY38" i="44" s="1"/>
  <c r="AK38" i="44"/>
  <c r="AZ38" i="44" s="1"/>
  <c r="AL38" i="44"/>
  <c r="BA38" i="44" s="1"/>
  <c r="AM38" i="44"/>
  <c r="BB38" i="44" s="1"/>
  <c r="AN38" i="44"/>
  <c r="BC38" i="44" s="1"/>
  <c r="AE39" i="44"/>
  <c r="AT39" i="44" s="1"/>
  <c r="AF39" i="44"/>
  <c r="AU39" i="44" s="1"/>
  <c r="AG39" i="44"/>
  <c r="AV39" i="44" s="1"/>
  <c r="AH39" i="44"/>
  <c r="AW39" i="44" s="1"/>
  <c r="AI39" i="44"/>
  <c r="AX39" i="44" s="1"/>
  <c r="AJ39" i="44"/>
  <c r="AY39" i="44" s="1"/>
  <c r="AK39" i="44"/>
  <c r="AZ39" i="44" s="1"/>
  <c r="AL39" i="44"/>
  <c r="BA39" i="44" s="1"/>
  <c r="AM39" i="44"/>
  <c r="BB39" i="44" s="1"/>
  <c r="AN39" i="44"/>
  <c r="BC39" i="44" s="1"/>
  <c r="AE40" i="44"/>
  <c r="AT40" i="44" s="1"/>
  <c r="AF40" i="44"/>
  <c r="AU40" i="44" s="1"/>
  <c r="AG40" i="44"/>
  <c r="AV40" i="44" s="1"/>
  <c r="AH40" i="44"/>
  <c r="AW40" i="44" s="1"/>
  <c r="AI40" i="44"/>
  <c r="AX40" i="44" s="1"/>
  <c r="AJ40" i="44"/>
  <c r="AY40" i="44" s="1"/>
  <c r="AK40" i="44"/>
  <c r="AZ40" i="44" s="1"/>
  <c r="AL40" i="44"/>
  <c r="BA40" i="44" s="1"/>
  <c r="AM40" i="44"/>
  <c r="BB40" i="44" s="1"/>
  <c r="AN40" i="44"/>
  <c r="BC40" i="44" s="1"/>
  <c r="AE41" i="44"/>
  <c r="AT41" i="44" s="1"/>
  <c r="AF41" i="44"/>
  <c r="AU41" i="44" s="1"/>
  <c r="AG41" i="44"/>
  <c r="AV41" i="44" s="1"/>
  <c r="AH41" i="44"/>
  <c r="AW41" i="44" s="1"/>
  <c r="AI41" i="44"/>
  <c r="AX41" i="44" s="1"/>
  <c r="AJ41" i="44"/>
  <c r="AY41" i="44" s="1"/>
  <c r="AK41" i="44"/>
  <c r="AZ41" i="44" s="1"/>
  <c r="AL41" i="44"/>
  <c r="BA41" i="44" s="1"/>
  <c r="AM41" i="44"/>
  <c r="BB41" i="44" s="1"/>
  <c r="AN41" i="44"/>
  <c r="BC41" i="44" s="1"/>
  <c r="AE42" i="44"/>
  <c r="AT42" i="44" s="1"/>
  <c r="AF42" i="44"/>
  <c r="AU42" i="44" s="1"/>
  <c r="AG42" i="44"/>
  <c r="AV42" i="44" s="1"/>
  <c r="AH42" i="44"/>
  <c r="AW42" i="44" s="1"/>
  <c r="AI42" i="44"/>
  <c r="AX42" i="44" s="1"/>
  <c r="AJ42" i="44"/>
  <c r="AY42" i="44" s="1"/>
  <c r="AK42" i="44"/>
  <c r="AZ42" i="44" s="1"/>
  <c r="AL42" i="44"/>
  <c r="BA42" i="44" s="1"/>
  <c r="AM42" i="44"/>
  <c r="BB42" i="44" s="1"/>
  <c r="AN42" i="44"/>
  <c r="BC42" i="44" s="1"/>
  <c r="AE43" i="44"/>
  <c r="AT43" i="44" s="1"/>
  <c r="AF43" i="44"/>
  <c r="AU43" i="44" s="1"/>
  <c r="AG43" i="44"/>
  <c r="AV43" i="44" s="1"/>
  <c r="AH43" i="44"/>
  <c r="AW43" i="44" s="1"/>
  <c r="AI43" i="44"/>
  <c r="AX43" i="44" s="1"/>
  <c r="AJ43" i="44"/>
  <c r="AY43" i="44" s="1"/>
  <c r="AK43" i="44"/>
  <c r="AZ43" i="44" s="1"/>
  <c r="AL43" i="44"/>
  <c r="BA43" i="44" s="1"/>
  <c r="AM43" i="44"/>
  <c r="BB43" i="44" s="1"/>
  <c r="AN43" i="44"/>
  <c r="BC43" i="44" s="1"/>
  <c r="AE44" i="44"/>
  <c r="AT44" i="44" s="1"/>
  <c r="AF44" i="44"/>
  <c r="AU44" i="44" s="1"/>
  <c r="AG44" i="44"/>
  <c r="AV44" i="44" s="1"/>
  <c r="AH44" i="44"/>
  <c r="AW44" i="44" s="1"/>
  <c r="AI44" i="44"/>
  <c r="AX44" i="44" s="1"/>
  <c r="AJ44" i="44"/>
  <c r="AY44" i="44" s="1"/>
  <c r="AK44" i="44"/>
  <c r="AZ44" i="44" s="1"/>
  <c r="AL44" i="44"/>
  <c r="BA44" i="44" s="1"/>
  <c r="AM44" i="44"/>
  <c r="BB44" i="44" s="1"/>
  <c r="AN44" i="44"/>
  <c r="BC44" i="44" s="1"/>
  <c r="AE45" i="44"/>
  <c r="AT45" i="44" s="1"/>
  <c r="AF45" i="44"/>
  <c r="AU45" i="44" s="1"/>
  <c r="AG45" i="44"/>
  <c r="AV45" i="44" s="1"/>
  <c r="AH45" i="44"/>
  <c r="AW45" i="44" s="1"/>
  <c r="AI45" i="44"/>
  <c r="AX45" i="44" s="1"/>
  <c r="AJ45" i="44"/>
  <c r="AY45" i="44" s="1"/>
  <c r="AK45" i="44"/>
  <c r="AZ45" i="44" s="1"/>
  <c r="AL45" i="44"/>
  <c r="BA45" i="44" s="1"/>
  <c r="AM45" i="44"/>
  <c r="BB45" i="44" s="1"/>
  <c r="AN45" i="44"/>
  <c r="BC45" i="44" s="1"/>
  <c r="AE46" i="44"/>
  <c r="AT46" i="44" s="1"/>
  <c r="AF46" i="44"/>
  <c r="AU46" i="44" s="1"/>
  <c r="AG46" i="44"/>
  <c r="AV46" i="44" s="1"/>
  <c r="AH46" i="44"/>
  <c r="AW46" i="44" s="1"/>
  <c r="AI46" i="44"/>
  <c r="AX46" i="44" s="1"/>
  <c r="AJ46" i="44"/>
  <c r="AY46" i="44" s="1"/>
  <c r="AK46" i="44"/>
  <c r="AZ46" i="44" s="1"/>
  <c r="AL46" i="44"/>
  <c r="BA46" i="44" s="1"/>
  <c r="AM46" i="44"/>
  <c r="BB46" i="44" s="1"/>
  <c r="AN46" i="44"/>
  <c r="BC46" i="44" s="1"/>
  <c r="AE47" i="44"/>
  <c r="AT47" i="44" s="1"/>
  <c r="AF47" i="44"/>
  <c r="AU47" i="44" s="1"/>
  <c r="AG47" i="44"/>
  <c r="AV47" i="44" s="1"/>
  <c r="AH47" i="44"/>
  <c r="AW47" i="44" s="1"/>
  <c r="AI47" i="44"/>
  <c r="AX47" i="44" s="1"/>
  <c r="AJ47" i="44"/>
  <c r="AY47" i="44" s="1"/>
  <c r="AK47" i="44"/>
  <c r="AZ47" i="44" s="1"/>
  <c r="AL47" i="44"/>
  <c r="BA47" i="44" s="1"/>
  <c r="AM47" i="44"/>
  <c r="BB47" i="44" s="1"/>
  <c r="AN47" i="44"/>
  <c r="BC47" i="44" s="1"/>
  <c r="AE48" i="44"/>
  <c r="AT48" i="44" s="1"/>
  <c r="AF48" i="44"/>
  <c r="AU48" i="44" s="1"/>
  <c r="AG48" i="44"/>
  <c r="AV48" i="44" s="1"/>
  <c r="AH48" i="44"/>
  <c r="AW48" i="44" s="1"/>
  <c r="AI48" i="44"/>
  <c r="AX48" i="44" s="1"/>
  <c r="AJ48" i="44"/>
  <c r="AY48" i="44" s="1"/>
  <c r="AK48" i="44"/>
  <c r="AZ48" i="44" s="1"/>
  <c r="AL48" i="44"/>
  <c r="BA48" i="44" s="1"/>
  <c r="AM48" i="44"/>
  <c r="BB48" i="44" s="1"/>
  <c r="AN48" i="44"/>
  <c r="BC48" i="44" s="1"/>
  <c r="AE49" i="44"/>
  <c r="AT49" i="44" s="1"/>
  <c r="AF49" i="44"/>
  <c r="AU49" i="44" s="1"/>
  <c r="AG49" i="44"/>
  <c r="AV49" i="44" s="1"/>
  <c r="AH49" i="44"/>
  <c r="AW49" i="44" s="1"/>
  <c r="AI49" i="44"/>
  <c r="AX49" i="44" s="1"/>
  <c r="AJ49" i="44"/>
  <c r="AY49" i="44" s="1"/>
  <c r="AK49" i="44"/>
  <c r="AZ49" i="44" s="1"/>
  <c r="AL49" i="44"/>
  <c r="BA49" i="44" s="1"/>
  <c r="AM49" i="44"/>
  <c r="BB49" i="44" s="1"/>
  <c r="AN49" i="44"/>
  <c r="BC49" i="44" s="1"/>
  <c r="AE50" i="44"/>
  <c r="AT50" i="44" s="1"/>
  <c r="AF50" i="44"/>
  <c r="AU50" i="44" s="1"/>
  <c r="AG50" i="44"/>
  <c r="AV50" i="44" s="1"/>
  <c r="AH50" i="44"/>
  <c r="AW50" i="44" s="1"/>
  <c r="AI50" i="44"/>
  <c r="AX50" i="44" s="1"/>
  <c r="AJ50" i="44"/>
  <c r="AY50" i="44" s="1"/>
  <c r="AK50" i="44"/>
  <c r="AZ50" i="44" s="1"/>
  <c r="AL50" i="44"/>
  <c r="BA50" i="44" s="1"/>
  <c r="AM50" i="44"/>
  <c r="BB50" i="44" s="1"/>
  <c r="AN50" i="44"/>
  <c r="BC50" i="44" s="1"/>
  <c r="AE51" i="44"/>
  <c r="AT51" i="44" s="1"/>
  <c r="AF51" i="44"/>
  <c r="AU51" i="44" s="1"/>
  <c r="AG51" i="44"/>
  <c r="AV51" i="44" s="1"/>
  <c r="AH51" i="44"/>
  <c r="AW51" i="44" s="1"/>
  <c r="AI51" i="44"/>
  <c r="AX51" i="44" s="1"/>
  <c r="AJ51" i="44"/>
  <c r="AY51" i="44" s="1"/>
  <c r="AK51" i="44"/>
  <c r="AZ51" i="44" s="1"/>
  <c r="AL51" i="44"/>
  <c r="BA51" i="44" s="1"/>
  <c r="AM51" i="44"/>
  <c r="BB51" i="44" s="1"/>
  <c r="AN51" i="44"/>
  <c r="BC51" i="44" s="1"/>
  <c r="AE52" i="44"/>
  <c r="AT52" i="44" s="1"/>
  <c r="AF52" i="44"/>
  <c r="AU52" i="44" s="1"/>
  <c r="AG52" i="44"/>
  <c r="AV52" i="44" s="1"/>
  <c r="AH52" i="44"/>
  <c r="AW52" i="44" s="1"/>
  <c r="AI52" i="44"/>
  <c r="AX52" i="44" s="1"/>
  <c r="AJ52" i="44"/>
  <c r="AY52" i="44" s="1"/>
  <c r="AK52" i="44"/>
  <c r="AZ52" i="44" s="1"/>
  <c r="AL52" i="44"/>
  <c r="BA52" i="44" s="1"/>
  <c r="AM52" i="44"/>
  <c r="BB52" i="44" s="1"/>
  <c r="AN52" i="44"/>
  <c r="BC52" i="44" s="1"/>
  <c r="AE53" i="44"/>
  <c r="AT53" i="44" s="1"/>
  <c r="AF53" i="44"/>
  <c r="AU53" i="44" s="1"/>
  <c r="AG53" i="44"/>
  <c r="AV53" i="44" s="1"/>
  <c r="AH53" i="44"/>
  <c r="AW53" i="44" s="1"/>
  <c r="AI53" i="44"/>
  <c r="AX53" i="44" s="1"/>
  <c r="AJ53" i="44"/>
  <c r="AY53" i="44" s="1"/>
  <c r="AK53" i="44"/>
  <c r="AZ53" i="44" s="1"/>
  <c r="AL53" i="44"/>
  <c r="BA53" i="44" s="1"/>
  <c r="AM53" i="44"/>
  <c r="BB53" i="44" s="1"/>
  <c r="AN53" i="44"/>
  <c r="BC53" i="44" s="1"/>
  <c r="AE54" i="44"/>
  <c r="AT54" i="44" s="1"/>
  <c r="AF54" i="44"/>
  <c r="AU54" i="44" s="1"/>
  <c r="AG54" i="44"/>
  <c r="AV54" i="44" s="1"/>
  <c r="AH54" i="44"/>
  <c r="AW54" i="44" s="1"/>
  <c r="AI54" i="44"/>
  <c r="AX54" i="44" s="1"/>
  <c r="AJ54" i="44"/>
  <c r="AY54" i="44" s="1"/>
  <c r="AK54" i="44"/>
  <c r="AZ54" i="44" s="1"/>
  <c r="AL54" i="44"/>
  <c r="BA54" i="44" s="1"/>
  <c r="AM54" i="44"/>
  <c r="BB54" i="44" s="1"/>
  <c r="AN54" i="44"/>
  <c r="BC54" i="44" s="1"/>
  <c r="AE55" i="44"/>
  <c r="AT55" i="44" s="1"/>
  <c r="AF55" i="44"/>
  <c r="AU55" i="44" s="1"/>
  <c r="AG55" i="44"/>
  <c r="AV55" i="44" s="1"/>
  <c r="AH55" i="44"/>
  <c r="AW55" i="44" s="1"/>
  <c r="AI55" i="44"/>
  <c r="AX55" i="44" s="1"/>
  <c r="AJ55" i="44"/>
  <c r="AY55" i="44" s="1"/>
  <c r="AK55" i="44"/>
  <c r="AZ55" i="44" s="1"/>
  <c r="AL55" i="44"/>
  <c r="BA55" i="44" s="1"/>
  <c r="AM55" i="44"/>
  <c r="BB55" i="44" s="1"/>
  <c r="AN55" i="44"/>
  <c r="BC55" i="44" s="1"/>
  <c r="AE56" i="44"/>
  <c r="AT56" i="44" s="1"/>
  <c r="AF56" i="44"/>
  <c r="AU56" i="44" s="1"/>
  <c r="AG56" i="44"/>
  <c r="AV56" i="44" s="1"/>
  <c r="AH56" i="44"/>
  <c r="AW56" i="44" s="1"/>
  <c r="AI56" i="44"/>
  <c r="AX56" i="44" s="1"/>
  <c r="AJ56" i="44"/>
  <c r="AY56" i="44" s="1"/>
  <c r="AK56" i="44"/>
  <c r="AZ56" i="44" s="1"/>
  <c r="AL56" i="44"/>
  <c r="BA56" i="44" s="1"/>
  <c r="AM56" i="44"/>
  <c r="BB56" i="44" s="1"/>
  <c r="AN56" i="44"/>
  <c r="BC56" i="44" s="1"/>
  <c r="AE57" i="44"/>
  <c r="AT57" i="44" s="1"/>
  <c r="AF57" i="44"/>
  <c r="AU57" i="44" s="1"/>
  <c r="AG57" i="44"/>
  <c r="AV57" i="44" s="1"/>
  <c r="AH57" i="44"/>
  <c r="AW57" i="44" s="1"/>
  <c r="AI57" i="44"/>
  <c r="AX57" i="44" s="1"/>
  <c r="AJ57" i="44"/>
  <c r="AY57" i="44" s="1"/>
  <c r="AK57" i="44"/>
  <c r="AZ57" i="44" s="1"/>
  <c r="AL57" i="44"/>
  <c r="BA57" i="44" s="1"/>
  <c r="AM57" i="44"/>
  <c r="BB57" i="44" s="1"/>
  <c r="AN57" i="44"/>
  <c r="BC57" i="44" s="1"/>
  <c r="AE58" i="44"/>
  <c r="AT58" i="44" s="1"/>
  <c r="AF58" i="44"/>
  <c r="AU58" i="44" s="1"/>
  <c r="AG58" i="44"/>
  <c r="AV58" i="44" s="1"/>
  <c r="AH58" i="44"/>
  <c r="AW58" i="44" s="1"/>
  <c r="AI58" i="44"/>
  <c r="AX58" i="44" s="1"/>
  <c r="AJ58" i="44"/>
  <c r="AY58" i="44" s="1"/>
  <c r="AK58" i="44"/>
  <c r="AZ58" i="44" s="1"/>
  <c r="AL58" i="44"/>
  <c r="BA58" i="44" s="1"/>
  <c r="AM58" i="44"/>
  <c r="BB58" i="44" s="1"/>
  <c r="AN58" i="44"/>
  <c r="BC58" i="44" s="1"/>
  <c r="AE59" i="44"/>
  <c r="AT59" i="44" s="1"/>
  <c r="AF59" i="44"/>
  <c r="AU59" i="44" s="1"/>
  <c r="AG59" i="44"/>
  <c r="AV59" i="44" s="1"/>
  <c r="AH59" i="44"/>
  <c r="AW59" i="44" s="1"/>
  <c r="AI59" i="44"/>
  <c r="AX59" i="44" s="1"/>
  <c r="AJ59" i="44"/>
  <c r="AY59" i="44" s="1"/>
  <c r="AK59" i="44"/>
  <c r="AZ59" i="44" s="1"/>
  <c r="AL59" i="44"/>
  <c r="BA59" i="44" s="1"/>
  <c r="AM59" i="44"/>
  <c r="BB59" i="44" s="1"/>
  <c r="AN59" i="44"/>
  <c r="BC59" i="44" s="1"/>
  <c r="AE60" i="44"/>
  <c r="AT60" i="44" s="1"/>
  <c r="AF60" i="44"/>
  <c r="AU60" i="44" s="1"/>
  <c r="AG60" i="44"/>
  <c r="AV60" i="44" s="1"/>
  <c r="AH60" i="44"/>
  <c r="AW60" i="44" s="1"/>
  <c r="AI60" i="44"/>
  <c r="AX60" i="44" s="1"/>
  <c r="AJ60" i="44"/>
  <c r="AY60" i="44" s="1"/>
  <c r="AK60" i="44"/>
  <c r="AZ60" i="44" s="1"/>
  <c r="AL60" i="44"/>
  <c r="BA60" i="44" s="1"/>
  <c r="AM60" i="44"/>
  <c r="BB60" i="44" s="1"/>
  <c r="AN60" i="44"/>
  <c r="BC60" i="44" s="1"/>
  <c r="AE61" i="44"/>
  <c r="AT61" i="44" s="1"/>
  <c r="AF61" i="44"/>
  <c r="AU61" i="44" s="1"/>
  <c r="AG61" i="44"/>
  <c r="AV61" i="44" s="1"/>
  <c r="AH61" i="44"/>
  <c r="AW61" i="44" s="1"/>
  <c r="AI61" i="44"/>
  <c r="AX61" i="44" s="1"/>
  <c r="AJ61" i="44"/>
  <c r="AY61" i="44" s="1"/>
  <c r="AK61" i="44"/>
  <c r="AZ61" i="44" s="1"/>
  <c r="AL61" i="44"/>
  <c r="BA61" i="44" s="1"/>
  <c r="AM61" i="44"/>
  <c r="BB61" i="44" s="1"/>
  <c r="AN61" i="44"/>
  <c r="BC61" i="44" s="1"/>
  <c r="AE62" i="44"/>
  <c r="AT62" i="44" s="1"/>
  <c r="AF62" i="44"/>
  <c r="AU62" i="44" s="1"/>
  <c r="AG62" i="44"/>
  <c r="AV62" i="44" s="1"/>
  <c r="AH62" i="44"/>
  <c r="AW62" i="44" s="1"/>
  <c r="AI62" i="44"/>
  <c r="AX62" i="44" s="1"/>
  <c r="AJ62" i="44"/>
  <c r="AY62" i="44" s="1"/>
  <c r="AK62" i="44"/>
  <c r="AZ62" i="44" s="1"/>
  <c r="AL62" i="44"/>
  <c r="BA62" i="44" s="1"/>
  <c r="AM62" i="44"/>
  <c r="BB62" i="44" s="1"/>
  <c r="AN62" i="44"/>
  <c r="BC62" i="44" s="1"/>
  <c r="AE63" i="44"/>
  <c r="AT63" i="44" s="1"/>
  <c r="AF63" i="44"/>
  <c r="AU63" i="44" s="1"/>
  <c r="AG63" i="44"/>
  <c r="AV63" i="44" s="1"/>
  <c r="AH63" i="44"/>
  <c r="AW63" i="44" s="1"/>
  <c r="AI63" i="44"/>
  <c r="AX63" i="44" s="1"/>
  <c r="AJ63" i="44"/>
  <c r="AY63" i="44" s="1"/>
  <c r="AK63" i="44"/>
  <c r="AZ63" i="44" s="1"/>
  <c r="AL63" i="44"/>
  <c r="BA63" i="44" s="1"/>
  <c r="AM63" i="44"/>
  <c r="BB63" i="44" s="1"/>
  <c r="AN63" i="44"/>
  <c r="BC63" i="44" s="1"/>
  <c r="AE64" i="44"/>
  <c r="AT64" i="44" s="1"/>
  <c r="AF64" i="44"/>
  <c r="AU64" i="44" s="1"/>
  <c r="AG64" i="44"/>
  <c r="AV64" i="44" s="1"/>
  <c r="AH64" i="44"/>
  <c r="AW64" i="44" s="1"/>
  <c r="AI64" i="44"/>
  <c r="AX64" i="44" s="1"/>
  <c r="AJ64" i="44"/>
  <c r="AY64" i="44" s="1"/>
  <c r="AK64" i="44"/>
  <c r="AZ64" i="44" s="1"/>
  <c r="AL64" i="44"/>
  <c r="BA64" i="44" s="1"/>
  <c r="AM64" i="44"/>
  <c r="BB64" i="44" s="1"/>
  <c r="AN64" i="44"/>
  <c r="BC64" i="44" s="1"/>
  <c r="AE65" i="44"/>
  <c r="AT65" i="44" s="1"/>
  <c r="AF65" i="44"/>
  <c r="AU65" i="44" s="1"/>
  <c r="AG65" i="44"/>
  <c r="AV65" i="44" s="1"/>
  <c r="AH65" i="44"/>
  <c r="AW65" i="44" s="1"/>
  <c r="AI65" i="44"/>
  <c r="AX65" i="44" s="1"/>
  <c r="AJ65" i="44"/>
  <c r="AY65" i="44" s="1"/>
  <c r="AK65" i="44"/>
  <c r="AZ65" i="44" s="1"/>
  <c r="AL65" i="44"/>
  <c r="BA65" i="44" s="1"/>
  <c r="AM65" i="44"/>
  <c r="BB65" i="44" s="1"/>
  <c r="AN65" i="44"/>
  <c r="BC65" i="44" s="1"/>
  <c r="AE66" i="44"/>
  <c r="AT66" i="44" s="1"/>
  <c r="AF66" i="44"/>
  <c r="AU66" i="44" s="1"/>
  <c r="AG66" i="44"/>
  <c r="AV66" i="44" s="1"/>
  <c r="AH66" i="44"/>
  <c r="AW66" i="44" s="1"/>
  <c r="AI66" i="44"/>
  <c r="AX66" i="44" s="1"/>
  <c r="AJ66" i="44"/>
  <c r="AY66" i="44" s="1"/>
  <c r="AK66" i="44"/>
  <c r="AZ66" i="44" s="1"/>
  <c r="AL66" i="44"/>
  <c r="BA66" i="44" s="1"/>
  <c r="AM66" i="44"/>
  <c r="BB66" i="44" s="1"/>
  <c r="AN66" i="44"/>
  <c r="BC66" i="44" s="1"/>
  <c r="AE67" i="44"/>
  <c r="AT67" i="44" s="1"/>
  <c r="AF67" i="44"/>
  <c r="AU67" i="44" s="1"/>
  <c r="AG67" i="44"/>
  <c r="AV67" i="44" s="1"/>
  <c r="AH67" i="44"/>
  <c r="AW67" i="44" s="1"/>
  <c r="AI67" i="44"/>
  <c r="AX67" i="44" s="1"/>
  <c r="AJ67" i="44"/>
  <c r="AY67" i="44" s="1"/>
  <c r="AK67" i="44"/>
  <c r="AZ67" i="44" s="1"/>
  <c r="AL67" i="44"/>
  <c r="BA67" i="44" s="1"/>
  <c r="AM67" i="44"/>
  <c r="BB67" i="44" s="1"/>
  <c r="AN67" i="44"/>
  <c r="BC67" i="44" s="1"/>
  <c r="AE68" i="44"/>
  <c r="AT68" i="44" s="1"/>
  <c r="AF68" i="44"/>
  <c r="AU68" i="44" s="1"/>
  <c r="AG68" i="44"/>
  <c r="AV68" i="44" s="1"/>
  <c r="AH68" i="44"/>
  <c r="AW68" i="44" s="1"/>
  <c r="AI68" i="44"/>
  <c r="AX68" i="44" s="1"/>
  <c r="AJ68" i="44"/>
  <c r="AY68" i="44" s="1"/>
  <c r="AK68" i="44"/>
  <c r="AZ68" i="44" s="1"/>
  <c r="AL68" i="44"/>
  <c r="BA68" i="44" s="1"/>
  <c r="AM68" i="44"/>
  <c r="BB68" i="44" s="1"/>
  <c r="AN68" i="44"/>
  <c r="BC68" i="44" s="1"/>
  <c r="AE69" i="44"/>
  <c r="AT69" i="44" s="1"/>
  <c r="AF69" i="44"/>
  <c r="AU69" i="44" s="1"/>
  <c r="AG69" i="44"/>
  <c r="AV69" i="44" s="1"/>
  <c r="AH69" i="44"/>
  <c r="AW69" i="44" s="1"/>
  <c r="AI69" i="44"/>
  <c r="AX69" i="44" s="1"/>
  <c r="AJ69" i="44"/>
  <c r="AY69" i="44" s="1"/>
  <c r="AK69" i="44"/>
  <c r="AZ69" i="44" s="1"/>
  <c r="AL69" i="44"/>
  <c r="BA69" i="44" s="1"/>
  <c r="AM69" i="44"/>
  <c r="BB69" i="44" s="1"/>
  <c r="AN69" i="44"/>
  <c r="BC69" i="44" s="1"/>
  <c r="AE71" i="44"/>
  <c r="AT71" i="44" s="1"/>
  <c r="AF71" i="44"/>
  <c r="AU71" i="44" s="1"/>
  <c r="AG71" i="44"/>
  <c r="AV71" i="44" s="1"/>
  <c r="AH71" i="44"/>
  <c r="AW71" i="44" s="1"/>
  <c r="AI71" i="44"/>
  <c r="AX71" i="44" s="1"/>
  <c r="AJ71" i="44"/>
  <c r="AY71" i="44" s="1"/>
  <c r="AK71" i="44"/>
  <c r="AZ71" i="44" s="1"/>
  <c r="AL71" i="44"/>
  <c r="BA71" i="44" s="1"/>
  <c r="AM71" i="44"/>
  <c r="BB71" i="44" s="1"/>
  <c r="AN71" i="44"/>
  <c r="BC71" i="44" s="1"/>
  <c r="AE72" i="44"/>
  <c r="AT72" i="44" s="1"/>
  <c r="AF72" i="44"/>
  <c r="AU72" i="44" s="1"/>
  <c r="AG72" i="44"/>
  <c r="AV72" i="44" s="1"/>
  <c r="AH72" i="44"/>
  <c r="AW72" i="44" s="1"/>
  <c r="AI72" i="44"/>
  <c r="AX72" i="44" s="1"/>
  <c r="AJ72" i="44"/>
  <c r="AY72" i="44" s="1"/>
  <c r="AK72" i="44"/>
  <c r="AZ72" i="44" s="1"/>
  <c r="AL72" i="44"/>
  <c r="BA72" i="44" s="1"/>
  <c r="AM72" i="44"/>
  <c r="BB72" i="44" s="1"/>
  <c r="AN72" i="44"/>
  <c r="BC72" i="44" s="1"/>
  <c r="AE73" i="44"/>
  <c r="AT73" i="44" s="1"/>
  <c r="AF73" i="44"/>
  <c r="AU73" i="44" s="1"/>
  <c r="AG73" i="44"/>
  <c r="AV73" i="44" s="1"/>
  <c r="AH73" i="44"/>
  <c r="AW73" i="44" s="1"/>
  <c r="AI73" i="44"/>
  <c r="AX73" i="44" s="1"/>
  <c r="AJ73" i="44"/>
  <c r="AY73" i="44" s="1"/>
  <c r="AK73" i="44"/>
  <c r="AZ73" i="44" s="1"/>
  <c r="AL73" i="44"/>
  <c r="BA73" i="44" s="1"/>
  <c r="AM73" i="44"/>
  <c r="BB73" i="44" s="1"/>
  <c r="AN73" i="44"/>
  <c r="BC73" i="44" s="1"/>
  <c r="AE74" i="44"/>
  <c r="AT74" i="44" s="1"/>
  <c r="AF74" i="44"/>
  <c r="AU74" i="44" s="1"/>
  <c r="AG74" i="44"/>
  <c r="AV74" i="44" s="1"/>
  <c r="AH74" i="44"/>
  <c r="AW74" i="44" s="1"/>
  <c r="AI74" i="44"/>
  <c r="AX74" i="44" s="1"/>
  <c r="AJ74" i="44"/>
  <c r="AY74" i="44" s="1"/>
  <c r="AK74" i="44"/>
  <c r="AZ74" i="44" s="1"/>
  <c r="AL74" i="44"/>
  <c r="BA74" i="44" s="1"/>
  <c r="AM74" i="44"/>
  <c r="BB74" i="44" s="1"/>
  <c r="AN74" i="44"/>
  <c r="BC74" i="44" s="1"/>
  <c r="AE75" i="44"/>
  <c r="AT75" i="44" s="1"/>
  <c r="AF75" i="44"/>
  <c r="AU75" i="44" s="1"/>
  <c r="AG75" i="44"/>
  <c r="AV75" i="44" s="1"/>
  <c r="AH75" i="44"/>
  <c r="AW75" i="44" s="1"/>
  <c r="AI75" i="44"/>
  <c r="AX75" i="44" s="1"/>
  <c r="AJ75" i="44"/>
  <c r="AY75" i="44" s="1"/>
  <c r="AK75" i="44"/>
  <c r="AZ75" i="44" s="1"/>
  <c r="AL75" i="44"/>
  <c r="BA75" i="44" s="1"/>
  <c r="AM75" i="44"/>
  <c r="BB75" i="44" s="1"/>
  <c r="AN75" i="44"/>
  <c r="BC75" i="44" s="1"/>
  <c r="AE76" i="44"/>
  <c r="AT76" i="44" s="1"/>
  <c r="AF76" i="44"/>
  <c r="AU76" i="44" s="1"/>
  <c r="AG76" i="44"/>
  <c r="AV76" i="44" s="1"/>
  <c r="AH76" i="44"/>
  <c r="AW76" i="44" s="1"/>
  <c r="AI76" i="44"/>
  <c r="AX76" i="44" s="1"/>
  <c r="AJ76" i="44"/>
  <c r="AY76" i="44" s="1"/>
  <c r="AK76" i="44"/>
  <c r="AZ76" i="44" s="1"/>
  <c r="AL76" i="44"/>
  <c r="BA76" i="44" s="1"/>
  <c r="AM76" i="44"/>
  <c r="BB76" i="44" s="1"/>
  <c r="AN76" i="44"/>
  <c r="BC76" i="44" s="1"/>
  <c r="AE77" i="44"/>
  <c r="AT77" i="44" s="1"/>
  <c r="AF77" i="44"/>
  <c r="AU77" i="44" s="1"/>
  <c r="AG77" i="44"/>
  <c r="AV77" i="44" s="1"/>
  <c r="AH77" i="44"/>
  <c r="AW77" i="44" s="1"/>
  <c r="AI77" i="44"/>
  <c r="AX77" i="44" s="1"/>
  <c r="AJ77" i="44"/>
  <c r="AY77" i="44" s="1"/>
  <c r="AK77" i="44"/>
  <c r="AZ77" i="44" s="1"/>
  <c r="AL77" i="44"/>
  <c r="BA77" i="44" s="1"/>
  <c r="AM77" i="44"/>
  <c r="BB77" i="44" s="1"/>
  <c r="AN77" i="44"/>
  <c r="BC77" i="44" s="1"/>
  <c r="AE78" i="44"/>
  <c r="AT78" i="44" s="1"/>
  <c r="AF78" i="44"/>
  <c r="AU78" i="44" s="1"/>
  <c r="AG78" i="44"/>
  <c r="AV78" i="44" s="1"/>
  <c r="AH78" i="44"/>
  <c r="AW78" i="44" s="1"/>
  <c r="AI78" i="44"/>
  <c r="AX78" i="44" s="1"/>
  <c r="AJ78" i="44"/>
  <c r="AY78" i="44" s="1"/>
  <c r="AK78" i="44"/>
  <c r="AZ78" i="44" s="1"/>
  <c r="AL78" i="44"/>
  <c r="BA78" i="44" s="1"/>
  <c r="AM78" i="44"/>
  <c r="BB78" i="44" s="1"/>
  <c r="AN78" i="44"/>
  <c r="BC78" i="44" s="1"/>
  <c r="AE79" i="44"/>
  <c r="AT79" i="44" s="1"/>
  <c r="AF79" i="44"/>
  <c r="AU79" i="44" s="1"/>
  <c r="AG79" i="44"/>
  <c r="AV79" i="44" s="1"/>
  <c r="AH79" i="44"/>
  <c r="AW79" i="44" s="1"/>
  <c r="AI79" i="44"/>
  <c r="AX79" i="44" s="1"/>
  <c r="AJ79" i="44"/>
  <c r="AY79" i="44" s="1"/>
  <c r="AK79" i="44"/>
  <c r="AZ79" i="44" s="1"/>
  <c r="AL79" i="44"/>
  <c r="BA79" i="44" s="1"/>
  <c r="AM79" i="44"/>
  <c r="BB79" i="44" s="1"/>
  <c r="AN79" i="44"/>
  <c r="BC79" i="44" s="1"/>
  <c r="AE80" i="44"/>
  <c r="AT80" i="44" s="1"/>
  <c r="AF80" i="44"/>
  <c r="AU80" i="44" s="1"/>
  <c r="AG80" i="44"/>
  <c r="AV80" i="44" s="1"/>
  <c r="AH80" i="44"/>
  <c r="AW80" i="44" s="1"/>
  <c r="AI80" i="44"/>
  <c r="AX80" i="44" s="1"/>
  <c r="AJ80" i="44"/>
  <c r="AY80" i="44" s="1"/>
  <c r="AK80" i="44"/>
  <c r="AZ80" i="44" s="1"/>
  <c r="AL80" i="44"/>
  <c r="BA80" i="44" s="1"/>
  <c r="AM80" i="44"/>
  <c r="BB80" i="44" s="1"/>
  <c r="AN80" i="44"/>
  <c r="BC80" i="44" s="1"/>
  <c r="AE81" i="44"/>
  <c r="AT81" i="44" s="1"/>
  <c r="AF81" i="44"/>
  <c r="AU81" i="44" s="1"/>
  <c r="AG81" i="44"/>
  <c r="AV81" i="44" s="1"/>
  <c r="AH81" i="44"/>
  <c r="AW81" i="44" s="1"/>
  <c r="AI81" i="44"/>
  <c r="AX81" i="44" s="1"/>
  <c r="AJ81" i="44"/>
  <c r="AY81" i="44" s="1"/>
  <c r="AK81" i="44"/>
  <c r="AZ81" i="44" s="1"/>
  <c r="AL81" i="44"/>
  <c r="BA81" i="44" s="1"/>
  <c r="AM81" i="44"/>
  <c r="BB81" i="44" s="1"/>
  <c r="AN81" i="44"/>
  <c r="BC81" i="44" s="1"/>
  <c r="AE82" i="44"/>
  <c r="AT82" i="44" s="1"/>
  <c r="AF82" i="44"/>
  <c r="AU82" i="44" s="1"/>
  <c r="AG82" i="44"/>
  <c r="AV82" i="44" s="1"/>
  <c r="AH82" i="44"/>
  <c r="AW82" i="44" s="1"/>
  <c r="AI82" i="44"/>
  <c r="AX82" i="44" s="1"/>
  <c r="AJ82" i="44"/>
  <c r="AY82" i="44" s="1"/>
  <c r="AK82" i="44"/>
  <c r="AZ82" i="44" s="1"/>
  <c r="AL82" i="44"/>
  <c r="BA82" i="44" s="1"/>
  <c r="AM82" i="44"/>
  <c r="BB82" i="44" s="1"/>
  <c r="AN82" i="44"/>
  <c r="BC82" i="44" s="1"/>
  <c r="AE83" i="44"/>
  <c r="AT83" i="44" s="1"/>
  <c r="AF83" i="44"/>
  <c r="AU83" i="44" s="1"/>
  <c r="AG83" i="44"/>
  <c r="AV83" i="44" s="1"/>
  <c r="AH83" i="44"/>
  <c r="AW83" i="44" s="1"/>
  <c r="AI83" i="44"/>
  <c r="AX83" i="44" s="1"/>
  <c r="AJ83" i="44"/>
  <c r="AY83" i="44" s="1"/>
  <c r="AK83" i="44"/>
  <c r="AZ83" i="44" s="1"/>
  <c r="AL83" i="44"/>
  <c r="BA83" i="44" s="1"/>
  <c r="AM83" i="44"/>
  <c r="BB83" i="44" s="1"/>
  <c r="AN83" i="44"/>
  <c r="BC83" i="44" s="1"/>
  <c r="AE84" i="44"/>
  <c r="AT84" i="44" s="1"/>
  <c r="AF84" i="44"/>
  <c r="AU84" i="44" s="1"/>
  <c r="AG84" i="44"/>
  <c r="AV84" i="44" s="1"/>
  <c r="AH84" i="44"/>
  <c r="AW84" i="44" s="1"/>
  <c r="AI84" i="44"/>
  <c r="AX84" i="44" s="1"/>
  <c r="AJ84" i="44"/>
  <c r="AY84" i="44" s="1"/>
  <c r="AK84" i="44"/>
  <c r="AZ84" i="44" s="1"/>
  <c r="AL84" i="44"/>
  <c r="BA84" i="44" s="1"/>
  <c r="AM84" i="44"/>
  <c r="BB84" i="44" s="1"/>
  <c r="AN84" i="44"/>
  <c r="BC84" i="44" s="1"/>
  <c r="AE85" i="44"/>
  <c r="AT85" i="44" s="1"/>
  <c r="AF85" i="44"/>
  <c r="AU85" i="44" s="1"/>
  <c r="AG85" i="44"/>
  <c r="AV85" i="44" s="1"/>
  <c r="AH85" i="44"/>
  <c r="AW85" i="44" s="1"/>
  <c r="AI85" i="44"/>
  <c r="AX85" i="44" s="1"/>
  <c r="AJ85" i="44"/>
  <c r="AY85" i="44" s="1"/>
  <c r="AK85" i="44"/>
  <c r="AZ85" i="44" s="1"/>
  <c r="AL85" i="44"/>
  <c r="BA85" i="44" s="1"/>
  <c r="AM85" i="44"/>
  <c r="BB85" i="44" s="1"/>
  <c r="AN85" i="44"/>
  <c r="BC85" i="44" s="1"/>
  <c r="AE86" i="44"/>
  <c r="AT86" i="44" s="1"/>
  <c r="AF86" i="44"/>
  <c r="AU86" i="44" s="1"/>
  <c r="AG86" i="44"/>
  <c r="AV86" i="44" s="1"/>
  <c r="AH86" i="44"/>
  <c r="AW86" i="44" s="1"/>
  <c r="AI86" i="44"/>
  <c r="AX86" i="44" s="1"/>
  <c r="AJ86" i="44"/>
  <c r="AY86" i="44" s="1"/>
  <c r="AK86" i="44"/>
  <c r="AZ86" i="44" s="1"/>
  <c r="AL86" i="44"/>
  <c r="BA86" i="44" s="1"/>
  <c r="AM86" i="44"/>
  <c r="BB86" i="44" s="1"/>
  <c r="AN86" i="44"/>
  <c r="BC86" i="44" s="1"/>
  <c r="AE87" i="44"/>
  <c r="AT87" i="44" s="1"/>
  <c r="AF87" i="44"/>
  <c r="AU87" i="44" s="1"/>
  <c r="AG87" i="44"/>
  <c r="AV87" i="44" s="1"/>
  <c r="AH87" i="44"/>
  <c r="AW87" i="44" s="1"/>
  <c r="AI87" i="44"/>
  <c r="AX87" i="44" s="1"/>
  <c r="AJ87" i="44"/>
  <c r="AY87" i="44" s="1"/>
  <c r="AK87" i="44"/>
  <c r="AZ87" i="44" s="1"/>
  <c r="AL87" i="44"/>
  <c r="BA87" i="44" s="1"/>
  <c r="AM87" i="44"/>
  <c r="BB87" i="44" s="1"/>
  <c r="AN87" i="44"/>
  <c r="BC87" i="44" s="1"/>
  <c r="AE88" i="44"/>
  <c r="AT88" i="44" s="1"/>
  <c r="AF88" i="44"/>
  <c r="AU88" i="44" s="1"/>
  <c r="AG88" i="44"/>
  <c r="AV88" i="44" s="1"/>
  <c r="AH88" i="44"/>
  <c r="AW88" i="44" s="1"/>
  <c r="AI88" i="44"/>
  <c r="AX88" i="44" s="1"/>
  <c r="AJ88" i="44"/>
  <c r="AY88" i="44" s="1"/>
  <c r="AK88" i="44"/>
  <c r="AZ88" i="44" s="1"/>
  <c r="AL88" i="44"/>
  <c r="BA88" i="44" s="1"/>
  <c r="AM88" i="44"/>
  <c r="BB88" i="44" s="1"/>
  <c r="AN88" i="44"/>
  <c r="BC88" i="44" s="1"/>
  <c r="AE89" i="44"/>
  <c r="AT89" i="44" s="1"/>
  <c r="AF89" i="44"/>
  <c r="AU89" i="44" s="1"/>
  <c r="AG89" i="44"/>
  <c r="AV89" i="44" s="1"/>
  <c r="AH89" i="44"/>
  <c r="AW89" i="44" s="1"/>
  <c r="AI89" i="44"/>
  <c r="AX89" i="44" s="1"/>
  <c r="AJ89" i="44"/>
  <c r="AY89" i="44" s="1"/>
  <c r="AK89" i="44"/>
  <c r="AZ89" i="44" s="1"/>
  <c r="AL89" i="44"/>
  <c r="BA89" i="44" s="1"/>
  <c r="AM89" i="44"/>
  <c r="BB89" i="44" s="1"/>
  <c r="AN89" i="44"/>
  <c r="BC89" i="44" s="1"/>
  <c r="AE90" i="44"/>
  <c r="AT90" i="44" s="1"/>
  <c r="AF90" i="44"/>
  <c r="AU90" i="44" s="1"/>
  <c r="AG90" i="44"/>
  <c r="AV90" i="44" s="1"/>
  <c r="AH90" i="44"/>
  <c r="AW90" i="44" s="1"/>
  <c r="AI90" i="44"/>
  <c r="AX90" i="44" s="1"/>
  <c r="AJ90" i="44"/>
  <c r="AY90" i="44" s="1"/>
  <c r="AK90" i="44"/>
  <c r="AZ90" i="44" s="1"/>
  <c r="AL90" i="44"/>
  <c r="BA90" i="44" s="1"/>
  <c r="AM90" i="44"/>
  <c r="BB90" i="44" s="1"/>
  <c r="AN90" i="44"/>
  <c r="BC90" i="44" s="1"/>
  <c r="AE91" i="44"/>
  <c r="AT91" i="44" s="1"/>
  <c r="AF91" i="44"/>
  <c r="AU91" i="44" s="1"/>
  <c r="AG91" i="44"/>
  <c r="AV91" i="44" s="1"/>
  <c r="AH91" i="44"/>
  <c r="AW91" i="44" s="1"/>
  <c r="AI91" i="44"/>
  <c r="AX91" i="44" s="1"/>
  <c r="AJ91" i="44"/>
  <c r="AY91" i="44" s="1"/>
  <c r="AK91" i="44"/>
  <c r="AZ91" i="44" s="1"/>
  <c r="AL91" i="44"/>
  <c r="BA91" i="44" s="1"/>
  <c r="AM91" i="44"/>
  <c r="BB91" i="44" s="1"/>
  <c r="AN91" i="44"/>
  <c r="BC91" i="44" s="1"/>
  <c r="AE92" i="44"/>
  <c r="AT92" i="44" s="1"/>
  <c r="AF92" i="44"/>
  <c r="AU92" i="44" s="1"/>
  <c r="AG92" i="44"/>
  <c r="AV92" i="44" s="1"/>
  <c r="AH92" i="44"/>
  <c r="AW92" i="44" s="1"/>
  <c r="AI92" i="44"/>
  <c r="AX92" i="44" s="1"/>
  <c r="AJ92" i="44"/>
  <c r="AY92" i="44" s="1"/>
  <c r="AK92" i="44"/>
  <c r="AZ92" i="44" s="1"/>
  <c r="AL92" i="44"/>
  <c r="BA92" i="44" s="1"/>
  <c r="AM92" i="44"/>
  <c r="BB92" i="44" s="1"/>
  <c r="AN92" i="44"/>
  <c r="BC92" i="44" s="1"/>
  <c r="AE93" i="44"/>
  <c r="AT93" i="44" s="1"/>
  <c r="AF93" i="44"/>
  <c r="AU93" i="44" s="1"/>
  <c r="AG93" i="44"/>
  <c r="AV93" i="44" s="1"/>
  <c r="AH93" i="44"/>
  <c r="AW93" i="44" s="1"/>
  <c r="AI93" i="44"/>
  <c r="AX93" i="44" s="1"/>
  <c r="AJ93" i="44"/>
  <c r="AY93" i="44" s="1"/>
  <c r="AK93" i="44"/>
  <c r="AZ93" i="44" s="1"/>
  <c r="AL93" i="44"/>
  <c r="BA93" i="44" s="1"/>
  <c r="AM93" i="44"/>
  <c r="BB93" i="44" s="1"/>
  <c r="AN93" i="44"/>
  <c r="BC93" i="44" s="1"/>
  <c r="AE94" i="44"/>
  <c r="AT94" i="44" s="1"/>
  <c r="AF94" i="44"/>
  <c r="AU94" i="44" s="1"/>
  <c r="AG94" i="44"/>
  <c r="AV94" i="44" s="1"/>
  <c r="AH94" i="44"/>
  <c r="AW94" i="44" s="1"/>
  <c r="AI94" i="44"/>
  <c r="AX94" i="44" s="1"/>
  <c r="AJ94" i="44"/>
  <c r="AY94" i="44" s="1"/>
  <c r="AK94" i="44"/>
  <c r="AZ94" i="44" s="1"/>
  <c r="AL94" i="44"/>
  <c r="BA94" i="44" s="1"/>
  <c r="AM94" i="44"/>
  <c r="BB94" i="44" s="1"/>
  <c r="AN94" i="44"/>
  <c r="BC94" i="44" s="1"/>
  <c r="AE95" i="44"/>
  <c r="AT95" i="44" s="1"/>
  <c r="AF95" i="44"/>
  <c r="AU95" i="44" s="1"/>
  <c r="AG95" i="44"/>
  <c r="AV95" i="44" s="1"/>
  <c r="AH95" i="44"/>
  <c r="AW95" i="44" s="1"/>
  <c r="AI95" i="44"/>
  <c r="AX95" i="44" s="1"/>
  <c r="AJ95" i="44"/>
  <c r="AY95" i="44" s="1"/>
  <c r="AK95" i="44"/>
  <c r="AZ95" i="44" s="1"/>
  <c r="AL95" i="44"/>
  <c r="BA95" i="44" s="1"/>
  <c r="AM95" i="44"/>
  <c r="BB95" i="44" s="1"/>
  <c r="AN95" i="44"/>
  <c r="BC95" i="44" s="1"/>
  <c r="AE96" i="44"/>
  <c r="AT96" i="44" s="1"/>
  <c r="AF96" i="44"/>
  <c r="AU96" i="44" s="1"/>
  <c r="AG96" i="44"/>
  <c r="AV96" i="44" s="1"/>
  <c r="AH96" i="44"/>
  <c r="AW96" i="44" s="1"/>
  <c r="AI96" i="44"/>
  <c r="AX96" i="44" s="1"/>
  <c r="AJ96" i="44"/>
  <c r="AY96" i="44" s="1"/>
  <c r="AK96" i="44"/>
  <c r="AZ96" i="44" s="1"/>
  <c r="AL96" i="44"/>
  <c r="BA96" i="44" s="1"/>
  <c r="AM96" i="44"/>
  <c r="BB96" i="44" s="1"/>
  <c r="AN96" i="44"/>
  <c r="BC96" i="44" s="1"/>
  <c r="AE97" i="44"/>
  <c r="AT97" i="44" s="1"/>
  <c r="AF97" i="44"/>
  <c r="AU97" i="44" s="1"/>
  <c r="AG97" i="44"/>
  <c r="AV97" i="44" s="1"/>
  <c r="AH97" i="44"/>
  <c r="AW97" i="44" s="1"/>
  <c r="AI97" i="44"/>
  <c r="AX97" i="44" s="1"/>
  <c r="AJ97" i="44"/>
  <c r="AY97" i="44" s="1"/>
  <c r="AK97" i="44"/>
  <c r="AZ97" i="44" s="1"/>
  <c r="AL97" i="44"/>
  <c r="BA97" i="44" s="1"/>
  <c r="AM97" i="44"/>
  <c r="BB97" i="44" s="1"/>
  <c r="AN97" i="44"/>
  <c r="BC97" i="44" s="1"/>
  <c r="AE98" i="44"/>
  <c r="AT98" i="44" s="1"/>
  <c r="AF98" i="44"/>
  <c r="AU98" i="44" s="1"/>
  <c r="AG98" i="44"/>
  <c r="AV98" i="44" s="1"/>
  <c r="AH98" i="44"/>
  <c r="AW98" i="44" s="1"/>
  <c r="AI98" i="44"/>
  <c r="AX98" i="44" s="1"/>
  <c r="AJ98" i="44"/>
  <c r="AY98" i="44" s="1"/>
  <c r="AK98" i="44"/>
  <c r="AZ98" i="44" s="1"/>
  <c r="AL98" i="44"/>
  <c r="BA98" i="44" s="1"/>
  <c r="AM98" i="44"/>
  <c r="BB98" i="44" s="1"/>
  <c r="AN98" i="44"/>
  <c r="BC98" i="44" s="1"/>
  <c r="AE99" i="44"/>
  <c r="AT99" i="44" s="1"/>
  <c r="AF99" i="44"/>
  <c r="AU99" i="44" s="1"/>
  <c r="AG99" i="44"/>
  <c r="AV99" i="44" s="1"/>
  <c r="AH99" i="44"/>
  <c r="AW99" i="44" s="1"/>
  <c r="AI99" i="44"/>
  <c r="AX99" i="44" s="1"/>
  <c r="AJ99" i="44"/>
  <c r="AY99" i="44" s="1"/>
  <c r="AK99" i="44"/>
  <c r="AZ99" i="44" s="1"/>
  <c r="AL99" i="44"/>
  <c r="BA99" i="44" s="1"/>
  <c r="AM99" i="44"/>
  <c r="BB99" i="44" s="1"/>
  <c r="AN99" i="44"/>
  <c r="BC99" i="44" s="1"/>
  <c r="AE100" i="44"/>
  <c r="AT100" i="44" s="1"/>
  <c r="AF100" i="44"/>
  <c r="AU100" i="44" s="1"/>
  <c r="AG100" i="44"/>
  <c r="AV100" i="44" s="1"/>
  <c r="AH100" i="44"/>
  <c r="AW100" i="44" s="1"/>
  <c r="AI100" i="44"/>
  <c r="AX100" i="44" s="1"/>
  <c r="AJ100" i="44"/>
  <c r="AY100" i="44" s="1"/>
  <c r="AK100" i="44"/>
  <c r="AZ100" i="44" s="1"/>
  <c r="AL100" i="44"/>
  <c r="BA100" i="44" s="1"/>
  <c r="AM100" i="44"/>
  <c r="BB100" i="44" s="1"/>
  <c r="AN100" i="44"/>
  <c r="BC100" i="44" s="1"/>
  <c r="AE101" i="44"/>
  <c r="AT101" i="44" s="1"/>
  <c r="AF101" i="44"/>
  <c r="AU101" i="44" s="1"/>
  <c r="AG101" i="44"/>
  <c r="AV101" i="44" s="1"/>
  <c r="AH101" i="44"/>
  <c r="AW101" i="44" s="1"/>
  <c r="AI101" i="44"/>
  <c r="AX101" i="44" s="1"/>
  <c r="AJ101" i="44"/>
  <c r="AY101" i="44" s="1"/>
  <c r="AK101" i="44"/>
  <c r="AZ101" i="44" s="1"/>
  <c r="AL101" i="44"/>
  <c r="BA101" i="44" s="1"/>
  <c r="AM101" i="44"/>
  <c r="BB101" i="44" s="1"/>
  <c r="AN101" i="44"/>
  <c r="BC101" i="44" s="1"/>
  <c r="AE102" i="44"/>
  <c r="AT102" i="44" s="1"/>
  <c r="AF102" i="44"/>
  <c r="AU102" i="44" s="1"/>
  <c r="AG102" i="44"/>
  <c r="AV102" i="44" s="1"/>
  <c r="AH102" i="44"/>
  <c r="AW102" i="44" s="1"/>
  <c r="AI102" i="44"/>
  <c r="AX102" i="44" s="1"/>
  <c r="AJ102" i="44"/>
  <c r="AY102" i="44" s="1"/>
  <c r="AK102" i="44"/>
  <c r="AZ102" i="44" s="1"/>
  <c r="AL102" i="44"/>
  <c r="BA102" i="44" s="1"/>
  <c r="AM102" i="44"/>
  <c r="BB102" i="44" s="1"/>
  <c r="AN102" i="44"/>
  <c r="BC102" i="44" s="1"/>
  <c r="AE103" i="44"/>
  <c r="AT103" i="44" s="1"/>
  <c r="AF103" i="44"/>
  <c r="AU103" i="44" s="1"/>
  <c r="AG103" i="44"/>
  <c r="AV103" i="44" s="1"/>
  <c r="AH103" i="44"/>
  <c r="AW103" i="44" s="1"/>
  <c r="AI103" i="44"/>
  <c r="AX103" i="44" s="1"/>
  <c r="AJ103" i="44"/>
  <c r="AY103" i="44" s="1"/>
  <c r="AK103" i="44"/>
  <c r="AZ103" i="44" s="1"/>
  <c r="AL103" i="44"/>
  <c r="BA103" i="44" s="1"/>
  <c r="AM103" i="44"/>
  <c r="BB103" i="44" s="1"/>
  <c r="AN103" i="44"/>
  <c r="BC103" i="44" s="1"/>
  <c r="AE104" i="44"/>
  <c r="AT104" i="44" s="1"/>
  <c r="AF104" i="44"/>
  <c r="AU104" i="44" s="1"/>
  <c r="AG104" i="44"/>
  <c r="AV104" i="44" s="1"/>
  <c r="AH104" i="44"/>
  <c r="AW104" i="44" s="1"/>
  <c r="AI104" i="44"/>
  <c r="AX104" i="44" s="1"/>
  <c r="AJ104" i="44"/>
  <c r="AY104" i="44" s="1"/>
  <c r="AK104" i="44"/>
  <c r="AZ104" i="44" s="1"/>
  <c r="AL104" i="44"/>
  <c r="BA104" i="44" s="1"/>
  <c r="AM104" i="44"/>
  <c r="BB104" i="44" s="1"/>
  <c r="AN104" i="44"/>
  <c r="BC104" i="44" s="1"/>
  <c r="AE105" i="44"/>
  <c r="AT105" i="44" s="1"/>
  <c r="AF105" i="44"/>
  <c r="AU105" i="44" s="1"/>
  <c r="AG105" i="44"/>
  <c r="AV105" i="44" s="1"/>
  <c r="AH105" i="44"/>
  <c r="AW105" i="44" s="1"/>
  <c r="AI105" i="44"/>
  <c r="AX105" i="44" s="1"/>
  <c r="AJ105" i="44"/>
  <c r="AY105" i="44" s="1"/>
  <c r="AK105" i="44"/>
  <c r="AZ105" i="44" s="1"/>
  <c r="AL105" i="44"/>
  <c r="BA105" i="44" s="1"/>
  <c r="AM105" i="44"/>
  <c r="BB105" i="44" s="1"/>
  <c r="AN105" i="44"/>
  <c r="BC105" i="44" s="1"/>
  <c r="AE106" i="44"/>
  <c r="AT106" i="44" s="1"/>
  <c r="AF106" i="44"/>
  <c r="AU106" i="44" s="1"/>
  <c r="AG106" i="44"/>
  <c r="AV106" i="44" s="1"/>
  <c r="AH106" i="44"/>
  <c r="AW106" i="44" s="1"/>
  <c r="AI106" i="44"/>
  <c r="AX106" i="44" s="1"/>
  <c r="AJ106" i="44"/>
  <c r="AY106" i="44" s="1"/>
  <c r="AK106" i="44"/>
  <c r="AZ106" i="44" s="1"/>
  <c r="AL106" i="44"/>
  <c r="BA106" i="44" s="1"/>
  <c r="AM106" i="44"/>
  <c r="BB106" i="44" s="1"/>
  <c r="AN106" i="44"/>
  <c r="BC106" i="44" s="1"/>
  <c r="AE107" i="44"/>
  <c r="AT107" i="44" s="1"/>
  <c r="AF107" i="44"/>
  <c r="AU107" i="44" s="1"/>
  <c r="AG107" i="44"/>
  <c r="AV107" i="44" s="1"/>
  <c r="AH107" i="44"/>
  <c r="AW107" i="44" s="1"/>
  <c r="AI107" i="44"/>
  <c r="AX107" i="44" s="1"/>
  <c r="AJ107" i="44"/>
  <c r="AY107" i="44" s="1"/>
  <c r="AK107" i="44"/>
  <c r="AZ107" i="44" s="1"/>
  <c r="AL107" i="44"/>
  <c r="BA107" i="44" s="1"/>
  <c r="AM107" i="44"/>
  <c r="BB107" i="44" s="1"/>
  <c r="AN107" i="44"/>
  <c r="BC107" i="44" s="1"/>
  <c r="AE108" i="44"/>
  <c r="AT108" i="44" s="1"/>
  <c r="AF108" i="44"/>
  <c r="AU108" i="44" s="1"/>
  <c r="AG108" i="44"/>
  <c r="AV108" i="44" s="1"/>
  <c r="AH108" i="44"/>
  <c r="AW108" i="44" s="1"/>
  <c r="AI108" i="44"/>
  <c r="AX108" i="44" s="1"/>
  <c r="AJ108" i="44"/>
  <c r="AY108" i="44" s="1"/>
  <c r="AK108" i="44"/>
  <c r="AZ108" i="44" s="1"/>
  <c r="AL108" i="44"/>
  <c r="BA108" i="44" s="1"/>
  <c r="AM108" i="44"/>
  <c r="BB108" i="44" s="1"/>
  <c r="AN108" i="44"/>
  <c r="BC108" i="44" s="1"/>
  <c r="AE109" i="44"/>
  <c r="AT109" i="44" s="1"/>
  <c r="AF109" i="44"/>
  <c r="AU109" i="44" s="1"/>
  <c r="AG109" i="44"/>
  <c r="AV109" i="44" s="1"/>
  <c r="AH109" i="44"/>
  <c r="AW109" i="44" s="1"/>
  <c r="AI109" i="44"/>
  <c r="AX109" i="44" s="1"/>
  <c r="AJ109" i="44"/>
  <c r="AY109" i="44" s="1"/>
  <c r="AK109" i="44"/>
  <c r="AZ109" i="44" s="1"/>
  <c r="AL109" i="44"/>
  <c r="BA109" i="44" s="1"/>
  <c r="AM109" i="44"/>
  <c r="BB109" i="44" s="1"/>
  <c r="AN109" i="44"/>
  <c r="BC109" i="44" s="1"/>
  <c r="AE110" i="44"/>
  <c r="AT110" i="44" s="1"/>
  <c r="AF110" i="44"/>
  <c r="AU110" i="44" s="1"/>
  <c r="AG110" i="44"/>
  <c r="AV110" i="44" s="1"/>
  <c r="AH110" i="44"/>
  <c r="AW110" i="44" s="1"/>
  <c r="AI110" i="44"/>
  <c r="AX110" i="44" s="1"/>
  <c r="AJ110" i="44"/>
  <c r="AY110" i="44" s="1"/>
  <c r="AK110" i="44"/>
  <c r="AZ110" i="44" s="1"/>
  <c r="AL110" i="44"/>
  <c r="BA110" i="44" s="1"/>
  <c r="AM110" i="44"/>
  <c r="BB110" i="44" s="1"/>
  <c r="AN110" i="44"/>
  <c r="BC110" i="44" s="1"/>
  <c r="AE111" i="44"/>
  <c r="AT111" i="44" s="1"/>
  <c r="AF111" i="44"/>
  <c r="AU111" i="44" s="1"/>
  <c r="AG111" i="44"/>
  <c r="AV111" i="44" s="1"/>
  <c r="AH111" i="44"/>
  <c r="AW111" i="44" s="1"/>
  <c r="AI111" i="44"/>
  <c r="AX111" i="44" s="1"/>
  <c r="AJ111" i="44"/>
  <c r="AY111" i="44" s="1"/>
  <c r="AK111" i="44"/>
  <c r="AZ111" i="44" s="1"/>
  <c r="AL111" i="44"/>
  <c r="BA111" i="44" s="1"/>
  <c r="AM111" i="44"/>
  <c r="BB111" i="44" s="1"/>
  <c r="AN111" i="44"/>
  <c r="BC111" i="44" s="1"/>
  <c r="AE112" i="44"/>
  <c r="AT112" i="44" s="1"/>
  <c r="AF112" i="44"/>
  <c r="AU112" i="44" s="1"/>
  <c r="AG112" i="44"/>
  <c r="AV112" i="44" s="1"/>
  <c r="AH112" i="44"/>
  <c r="AW112" i="44" s="1"/>
  <c r="AI112" i="44"/>
  <c r="AX112" i="44" s="1"/>
  <c r="AJ112" i="44"/>
  <c r="AY112" i="44" s="1"/>
  <c r="AK112" i="44"/>
  <c r="AZ112" i="44" s="1"/>
  <c r="AL112" i="44"/>
  <c r="BA112" i="44" s="1"/>
  <c r="AM112" i="44"/>
  <c r="BB112" i="44" s="1"/>
  <c r="AN112" i="44"/>
  <c r="BC112" i="44" s="1"/>
  <c r="AE113" i="44"/>
  <c r="AT113" i="44" s="1"/>
  <c r="AF113" i="44"/>
  <c r="AU113" i="44" s="1"/>
  <c r="AG113" i="44"/>
  <c r="AV113" i="44" s="1"/>
  <c r="AH113" i="44"/>
  <c r="AW113" i="44" s="1"/>
  <c r="AI113" i="44"/>
  <c r="AX113" i="44" s="1"/>
  <c r="AJ113" i="44"/>
  <c r="AY113" i="44" s="1"/>
  <c r="AK113" i="44"/>
  <c r="AZ113" i="44" s="1"/>
  <c r="AL113" i="44"/>
  <c r="BA113" i="44" s="1"/>
  <c r="AM113" i="44"/>
  <c r="BB113" i="44" s="1"/>
  <c r="AN113" i="44"/>
  <c r="BC113" i="44" s="1"/>
  <c r="AE114" i="44"/>
  <c r="AT114" i="44" s="1"/>
  <c r="AF114" i="44"/>
  <c r="AU114" i="44" s="1"/>
  <c r="AG114" i="44"/>
  <c r="AV114" i="44" s="1"/>
  <c r="AH114" i="44"/>
  <c r="AW114" i="44" s="1"/>
  <c r="AI114" i="44"/>
  <c r="AX114" i="44" s="1"/>
  <c r="AJ114" i="44"/>
  <c r="AY114" i="44" s="1"/>
  <c r="AK114" i="44"/>
  <c r="AZ114" i="44" s="1"/>
  <c r="AL114" i="44"/>
  <c r="BA114" i="44" s="1"/>
  <c r="AM114" i="44"/>
  <c r="BB114" i="44" s="1"/>
  <c r="AN114" i="44"/>
  <c r="BC114" i="44" s="1"/>
  <c r="AE115" i="44"/>
  <c r="AT115" i="44" s="1"/>
  <c r="AF115" i="44"/>
  <c r="AU115" i="44" s="1"/>
  <c r="AG115" i="44"/>
  <c r="AV115" i="44" s="1"/>
  <c r="AH115" i="44"/>
  <c r="AW115" i="44" s="1"/>
  <c r="AI115" i="44"/>
  <c r="AX115" i="44" s="1"/>
  <c r="AJ115" i="44"/>
  <c r="AY115" i="44" s="1"/>
  <c r="AK115" i="44"/>
  <c r="AZ115" i="44" s="1"/>
  <c r="AL115" i="44"/>
  <c r="BA115" i="44" s="1"/>
  <c r="AM115" i="44"/>
  <c r="BB115" i="44" s="1"/>
  <c r="AN115" i="44"/>
  <c r="BC115" i="44" s="1"/>
  <c r="AE116" i="44"/>
  <c r="AT116" i="44" s="1"/>
  <c r="AF116" i="44"/>
  <c r="AU116" i="44" s="1"/>
  <c r="AG116" i="44"/>
  <c r="AV116" i="44" s="1"/>
  <c r="AH116" i="44"/>
  <c r="AW116" i="44" s="1"/>
  <c r="AI116" i="44"/>
  <c r="AX116" i="44" s="1"/>
  <c r="AJ116" i="44"/>
  <c r="AY116" i="44" s="1"/>
  <c r="AK116" i="44"/>
  <c r="AZ116" i="44" s="1"/>
  <c r="AL116" i="44"/>
  <c r="BA116" i="44" s="1"/>
  <c r="AM116" i="44"/>
  <c r="BB116" i="44" s="1"/>
  <c r="AN116" i="44"/>
  <c r="BC116" i="44" s="1"/>
  <c r="AE117" i="44"/>
  <c r="AT117" i="44" s="1"/>
  <c r="AF117" i="44"/>
  <c r="AU117" i="44" s="1"/>
  <c r="AG117" i="44"/>
  <c r="AV117" i="44" s="1"/>
  <c r="AH117" i="44"/>
  <c r="AW117" i="44" s="1"/>
  <c r="AI117" i="44"/>
  <c r="AX117" i="44" s="1"/>
  <c r="AJ117" i="44"/>
  <c r="AY117" i="44" s="1"/>
  <c r="AK117" i="44"/>
  <c r="AZ117" i="44" s="1"/>
  <c r="AL117" i="44"/>
  <c r="BA117" i="44" s="1"/>
  <c r="AM117" i="44"/>
  <c r="BB117" i="44" s="1"/>
  <c r="AN117" i="44"/>
  <c r="BC117" i="44" s="1"/>
  <c r="AE118" i="44"/>
  <c r="AT118" i="44" s="1"/>
  <c r="AF118" i="44"/>
  <c r="AU118" i="44" s="1"/>
  <c r="AG118" i="44"/>
  <c r="AV118" i="44" s="1"/>
  <c r="AH118" i="44"/>
  <c r="AW118" i="44" s="1"/>
  <c r="AI118" i="44"/>
  <c r="AX118" i="44" s="1"/>
  <c r="AJ118" i="44"/>
  <c r="AY118" i="44" s="1"/>
  <c r="AK118" i="44"/>
  <c r="AZ118" i="44" s="1"/>
  <c r="AL118" i="44"/>
  <c r="BA118" i="44" s="1"/>
  <c r="AM118" i="44"/>
  <c r="BB118" i="44" s="1"/>
  <c r="AN118" i="44"/>
  <c r="BC118" i="44" s="1"/>
  <c r="AE119" i="44"/>
  <c r="AT119" i="44" s="1"/>
  <c r="AF119" i="44"/>
  <c r="AU119" i="44" s="1"/>
  <c r="AG119" i="44"/>
  <c r="AV119" i="44" s="1"/>
  <c r="AH119" i="44"/>
  <c r="AW119" i="44" s="1"/>
  <c r="AI119" i="44"/>
  <c r="AX119" i="44" s="1"/>
  <c r="AJ119" i="44"/>
  <c r="AY119" i="44" s="1"/>
  <c r="AK119" i="44"/>
  <c r="AZ119" i="44" s="1"/>
  <c r="AL119" i="44"/>
  <c r="BA119" i="44" s="1"/>
  <c r="AM119" i="44"/>
  <c r="BB119" i="44" s="1"/>
  <c r="AN119" i="44"/>
  <c r="BC119" i="44" s="1"/>
  <c r="AE120" i="44"/>
  <c r="AT120" i="44" s="1"/>
  <c r="AF120" i="44"/>
  <c r="AU120" i="44" s="1"/>
  <c r="AG120" i="44"/>
  <c r="AV120" i="44" s="1"/>
  <c r="AH120" i="44"/>
  <c r="AW120" i="44" s="1"/>
  <c r="AI120" i="44"/>
  <c r="AX120" i="44" s="1"/>
  <c r="AJ120" i="44"/>
  <c r="AY120" i="44" s="1"/>
  <c r="AK120" i="44"/>
  <c r="AZ120" i="44" s="1"/>
  <c r="AL120" i="44"/>
  <c r="BA120" i="44" s="1"/>
  <c r="AM120" i="44"/>
  <c r="BB120" i="44" s="1"/>
  <c r="AN120" i="44"/>
  <c r="BC120" i="44" s="1"/>
  <c r="AE121" i="44"/>
  <c r="AT121" i="44" s="1"/>
  <c r="AF121" i="44"/>
  <c r="AU121" i="44" s="1"/>
  <c r="AG121" i="44"/>
  <c r="AV121" i="44" s="1"/>
  <c r="AH121" i="44"/>
  <c r="AW121" i="44" s="1"/>
  <c r="AI121" i="44"/>
  <c r="AX121" i="44" s="1"/>
  <c r="AJ121" i="44"/>
  <c r="AY121" i="44" s="1"/>
  <c r="AK121" i="44"/>
  <c r="AZ121" i="44" s="1"/>
  <c r="AL121" i="44"/>
  <c r="BA121" i="44" s="1"/>
  <c r="AM121" i="44"/>
  <c r="BB121" i="44" s="1"/>
  <c r="AN121" i="44"/>
  <c r="BC121" i="44" s="1"/>
  <c r="AE122" i="44"/>
  <c r="AT122" i="44" s="1"/>
  <c r="AF122" i="44"/>
  <c r="AU122" i="44" s="1"/>
  <c r="AG122" i="44"/>
  <c r="AV122" i="44" s="1"/>
  <c r="AH122" i="44"/>
  <c r="AW122" i="44" s="1"/>
  <c r="AI122" i="44"/>
  <c r="AX122" i="44" s="1"/>
  <c r="AJ122" i="44"/>
  <c r="AY122" i="44" s="1"/>
  <c r="AK122" i="44"/>
  <c r="AZ122" i="44" s="1"/>
  <c r="AL122" i="44"/>
  <c r="BA122" i="44" s="1"/>
  <c r="AM122" i="44"/>
  <c r="BB122" i="44" s="1"/>
  <c r="AN122" i="44"/>
  <c r="BC122" i="44" s="1"/>
  <c r="AE123" i="44"/>
  <c r="AT123" i="44" s="1"/>
  <c r="AF123" i="44"/>
  <c r="AU123" i="44" s="1"/>
  <c r="AG123" i="44"/>
  <c r="AV123" i="44" s="1"/>
  <c r="AH123" i="44"/>
  <c r="AW123" i="44" s="1"/>
  <c r="AI123" i="44"/>
  <c r="AX123" i="44" s="1"/>
  <c r="AJ123" i="44"/>
  <c r="AY123" i="44" s="1"/>
  <c r="AK123" i="44"/>
  <c r="AZ123" i="44" s="1"/>
  <c r="AL123" i="44"/>
  <c r="BA123" i="44" s="1"/>
  <c r="AM123" i="44"/>
  <c r="BB123" i="44" s="1"/>
  <c r="AN123" i="44"/>
  <c r="BC123" i="44" s="1"/>
  <c r="AE124" i="44"/>
  <c r="AT124" i="44" s="1"/>
  <c r="AF124" i="44"/>
  <c r="AU124" i="44" s="1"/>
  <c r="AG124" i="44"/>
  <c r="AV124" i="44" s="1"/>
  <c r="AH124" i="44"/>
  <c r="AW124" i="44" s="1"/>
  <c r="AI124" i="44"/>
  <c r="AX124" i="44" s="1"/>
  <c r="AJ124" i="44"/>
  <c r="AY124" i="44" s="1"/>
  <c r="AK124" i="44"/>
  <c r="AZ124" i="44" s="1"/>
  <c r="AL124" i="44"/>
  <c r="BA124" i="44" s="1"/>
  <c r="AM124" i="44"/>
  <c r="BB124" i="44" s="1"/>
  <c r="AN124" i="44"/>
  <c r="BC124" i="44" s="1"/>
  <c r="AE125" i="44"/>
  <c r="AT125" i="44" s="1"/>
  <c r="AF125" i="44"/>
  <c r="AU125" i="44" s="1"/>
  <c r="AG125" i="44"/>
  <c r="AV125" i="44" s="1"/>
  <c r="AH125" i="44"/>
  <c r="AW125" i="44" s="1"/>
  <c r="AI125" i="44"/>
  <c r="AX125" i="44" s="1"/>
  <c r="AJ125" i="44"/>
  <c r="AY125" i="44" s="1"/>
  <c r="AK125" i="44"/>
  <c r="AZ125" i="44" s="1"/>
  <c r="AL125" i="44"/>
  <c r="BA125" i="44" s="1"/>
  <c r="AM125" i="44"/>
  <c r="BB125" i="44" s="1"/>
  <c r="AN125" i="44"/>
  <c r="BC125" i="44" s="1"/>
  <c r="AE126" i="44"/>
  <c r="AT126" i="44" s="1"/>
  <c r="AF126" i="44"/>
  <c r="AU126" i="44" s="1"/>
  <c r="AG126" i="44"/>
  <c r="AV126" i="44" s="1"/>
  <c r="AH126" i="44"/>
  <c r="AW126" i="44" s="1"/>
  <c r="AI126" i="44"/>
  <c r="AX126" i="44" s="1"/>
  <c r="AJ126" i="44"/>
  <c r="AY126" i="44" s="1"/>
  <c r="AK126" i="44"/>
  <c r="AZ126" i="44" s="1"/>
  <c r="AL126" i="44"/>
  <c r="BA126" i="44" s="1"/>
  <c r="AM126" i="44"/>
  <c r="BB126" i="44" s="1"/>
  <c r="AN126" i="44"/>
  <c r="BC126" i="44" s="1"/>
  <c r="AE127" i="44"/>
  <c r="AT127" i="44" s="1"/>
  <c r="AF127" i="44"/>
  <c r="AU127" i="44" s="1"/>
  <c r="AG127" i="44"/>
  <c r="AV127" i="44" s="1"/>
  <c r="AH127" i="44"/>
  <c r="AW127" i="44" s="1"/>
  <c r="AI127" i="44"/>
  <c r="AX127" i="44" s="1"/>
  <c r="AJ127" i="44"/>
  <c r="AY127" i="44" s="1"/>
  <c r="AK127" i="44"/>
  <c r="AZ127" i="44" s="1"/>
  <c r="AL127" i="44"/>
  <c r="BA127" i="44" s="1"/>
  <c r="AM127" i="44"/>
  <c r="BB127" i="44" s="1"/>
  <c r="AN127" i="44"/>
  <c r="BC127" i="44" s="1"/>
  <c r="AE128" i="44"/>
  <c r="AT128" i="44" s="1"/>
  <c r="AF128" i="44"/>
  <c r="AU128" i="44" s="1"/>
  <c r="AG128" i="44"/>
  <c r="AV128" i="44" s="1"/>
  <c r="AH128" i="44"/>
  <c r="AW128" i="44" s="1"/>
  <c r="AI128" i="44"/>
  <c r="AX128" i="44" s="1"/>
  <c r="AJ128" i="44"/>
  <c r="AY128" i="44" s="1"/>
  <c r="AK128" i="44"/>
  <c r="AZ128" i="44" s="1"/>
  <c r="AL128" i="44"/>
  <c r="BA128" i="44" s="1"/>
  <c r="AM128" i="44"/>
  <c r="BB128" i="44" s="1"/>
  <c r="AN128" i="44"/>
  <c r="BC128" i="44" s="1"/>
  <c r="AE129" i="44"/>
  <c r="AT129" i="44" s="1"/>
  <c r="AF129" i="44"/>
  <c r="AU129" i="44" s="1"/>
  <c r="AG129" i="44"/>
  <c r="AV129" i="44" s="1"/>
  <c r="AH129" i="44"/>
  <c r="AW129" i="44" s="1"/>
  <c r="AI129" i="44"/>
  <c r="AX129" i="44" s="1"/>
  <c r="AJ129" i="44"/>
  <c r="AY129" i="44" s="1"/>
  <c r="AK129" i="44"/>
  <c r="AZ129" i="44" s="1"/>
  <c r="AL129" i="44"/>
  <c r="BA129" i="44" s="1"/>
  <c r="AM129" i="44"/>
  <c r="BB129" i="44" s="1"/>
  <c r="AN129" i="44"/>
  <c r="BC129" i="44" s="1"/>
  <c r="AE130" i="44"/>
  <c r="AT130" i="44" s="1"/>
  <c r="AF130" i="44"/>
  <c r="AU130" i="44" s="1"/>
  <c r="AG130" i="44"/>
  <c r="AV130" i="44" s="1"/>
  <c r="AH130" i="44"/>
  <c r="AW130" i="44" s="1"/>
  <c r="AI130" i="44"/>
  <c r="AX130" i="44" s="1"/>
  <c r="AJ130" i="44"/>
  <c r="AY130" i="44" s="1"/>
  <c r="AK130" i="44"/>
  <c r="AZ130" i="44" s="1"/>
  <c r="AL130" i="44"/>
  <c r="BA130" i="44" s="1"/>
  <c r="AM130" i="44"/>
  <c r="BB130" i="44" s="1"/>
  <c r="AN130" i="44"/>
  <c r="BC130" i="44" s="1"/>
  <c r="AE131" i="44"/>
  <c r="AT131" i="44" s="1"/>
  <c r="AF131" i="44"/>
  <c r="AU131" i="44" s="1"/>
  <c r="AG131" i="44"/>
  <c r="AV131" i="44" s="1"/>
  <c r="AH131" i="44"/>
  <c r="AW131" i="44" s="1"/>
  <c r="AI131" i="44"/>
  <c r="AX131" i="44" s="1"/>
  <c r="AJ131" i="44"/>
  <c r="AY131" i="44" s="1"/>
  <c r="AK131" i="44"/>
  <c r="AZ131" i="44" s="1"/>
  <c r="AL131" i="44"/>
  <c r="BA131" i="44" s="1"/>
  <c r="AM131" i="44"/>
  <c r="BB131" i="44" s="1"/>
  <c r="AN131" i="44"/>
  <c r="BC131" i="44" s="1"/>
  <c r="AE132" i="44"/>
  <c r="AT132" i="44" s="1"/>
  <c r="AF132" i="44"/>
  <c r="AU132" i="44" s="1"/>
  <c r="AG132" i="44"/>
  <c r="AV132" i="44" s="1"/>
  <c r="AH132" i="44"/>
  <c r="AW132" i="44" s="1"/>
  <c r="AI132" i="44"/>
  <c r="AX132" i="44" s="1"/>
  <c r="AJ132" i="44"/>
  <c r="AY132" i="44" s="1"/>
  <c r="AK132" i="44"/>
  <c r="AZ132" i="44" s="1"/>
  <c r="AL132" i="44"/>
  <c r="BA132" i="44" s="1"/>
  <c r="AM132" i="44"/>
  <c r="BB132" i="44" s="1"/>
  <c r="AN132" i="44"/>
  <c r="BC132" i="44" s="1"/>
  <c r="AE133" i="44"/>
  <c r="AT133" i="44" s="1"/>
  <c r="AF133" i="44"/>
  <c r="AU133" i="44" s="1"/>
  <c r="AG133" i="44"/>
  <c r="AV133" i="44" s="1"/>
  <c r="AH133" i="44"/>
  <c r="AW133" i="44" s="1"/>
  <c r="AI133" i="44"/>
  <c r="AX133" i="44" s="1"/>
  <c r="AJ133" i="44"/>
  <c r="AY133" i="44" s="1"/>
  <c r="AK133" i="44"/>
  <c r="AZ133" i="44" s="1"/>
  <c r="AL133" i="44"/>
  <c r="BA133" i="44" s="1"/>
  <c r="AM133" i="44"/>
  <c r="BB133" i="44" s="1"/>
  <c r="AN133" i="44"/>
  <c r="BC133" i="44" s="1"/>
  <c r="AE134" i="44"/>
  <c r="AT134" i="44" s="1"/>
  <c r="AF134" i="44"/>
  <c r="AU134" i="44" s="1"/>
  <c r="AG134" i="44"/>
  <c r="AV134" i="44" s="1"/>
  <c r="AH134" i="44"/>
  <c r="AW134" i="44" s="1"/>
  <c r="AI134" i="44"/>
  <c r="AX134" i="44" s="1"/>
  <c r="AJ134" i="44"/>
  <c r="AY134" i="44" s="1"/>
  <c r="AK134" i="44"/>
  <c r="AZ134" i="44" s="1"/>
  <c r="AL134" i="44"/>
  <c r="BA134" i="44" s="1"/>
  <c r="AM134" i="44"/>
  <c r="BB134" i="44" s="1"/>
  <c r="AN134" i="44"/>
  <c r="BC134" i="44" s="1"/>
  <c r="AE135" i="44"/>
  <c r="AT135" i="44" s="1"/>
  <c r="AF135" i="44"/>
  <c r="AU135" i="44" s="1"/>
  <c r="AG135" i="44"/>
  <c r="AV135" i="44" s="1"/>
  <c r="AH135" i="44"/>
  <c r="AW135" i="44" s="1"/>
  <c r="AI135" i="44"/>
  <c r="AX135" i="44" s="1"/>
  <c r="AJ135" i="44"/>
  <c r="AY135" i="44" s="1"/>
  <c r="AK135" i="44"/>
  <c r="AZ135" i="44" s="1"/>
  <c r="AL135" i="44"/>
  <c r="BA135" i="44" s="1"/>
  <c r="AM135" i="44"/>
  <c r="BB135" i="44" s="1"/>
  <c r="AN135" i="44"/>
  <c r="BC135" i="44" s="1"/>
  <c r="AE137" i="44"/>
  <c r="AT137" i="44" s="1"/>
  <c r="AF137" i="44"/>
  <c r="AU137" i="44" s="1"/>
  <c r="AG137" i="44"/>
  <c r="AV137" i="44" s="1"/>
  <c r="AH137" i="44"/>
  <c r="AW137" i="44" s="1"/>
  <c r="AI137" i="44"/>
  <c r="AX137" i="44" s="1"/>
  <c r="AJ137" i="44"/>
  <c r="AY137" i="44" s="1"/>
  <c r="AK137" i="44"/>
  <c r="AZ137" i="44" s="1"/>
  <c r="AL137" i="44"/>
  <c r="BA137" i="44" s="1"/>
  <c r="AM137" i="44"/>
  <c r="BB137" i="44" s="1"/>
  <c r="AN137" i="44"/>
  <c r="BC137" i="44" s="1"/>
  <c r="AE138" i="44"/>
  <c r="AT138" i="44" s="1"/>
  <c r="AF138" i="44"/>
  <c r="AU138" i="44" s="1"/>
  <c r="AG138" i="44"/>
  <c r="AV138" i="44" s="1"/>
  <c r="AH138" i="44"/>
  <c r="AW138" i="44" s="1"/>
  <c r="AI138" i="44"/>
  <c r="AX138" i="44" s="1"/>
  <c r="AJ138" i="44"/>
  <c r="AY138" i="44" s="1"/>
  <c r="AK138" i="44"/>
  <c r="AZ138" i="44" s="1"/>
  <c r="AL138" i="44"/>
  <c r="BA138" i="44" s="1"/>
  <c r="AM138" i="44"/>
  <c r="BB138" i="44" s="1"/>
  <c r="AN138" i="44"/>
  <c r="BC138" i="44" s="1"/>
  <c r="AE139" i="44"/>
  <c r="AT139" i="44" s="1"/>
  <c r="AF139" i="44"/>
  <c r="AU139" i="44" s="1"/>
  <c r="AG139" i="44"/>
  <c r="AV139" i="44" s="1"/>
  <c r="AH139" i="44"/>
  <c r="AW139" i="44" s="1"/>
  <c r="AI139" i="44"/>
  <c r="AX139" i="44" s="1"/>
  <c r="AJ139" i="44"/>
  <c r="AY139" i="44" s="1"/>
  <c r="AK139" i="44"/>
  <c r="AZ139" i="44" s="1"/>
  <c r="AL139" i="44"/>
  <c r="BA139" i="44" s="1"/>
  <c r="AM139" i="44"/>
  <c r="BB139" i="44" s="1"/>
  <c r="AN139" i="44"/>
  <c r="BC139" i="44" s="1"/>
  <c r="AE140" i="44"/>
  <c r="AT140" i="44" s="1"/>
  <c r="AF140" i="44"/>
  <c r="AU140" i="44" s="1"/>
  <c r="AG140" i="44"/>
  <c r="AV140" i="44" s="1"/>
  <c r="AH140" i="44"/>
  <c r="AW140" i="44" s="1"/>
  <c r="AI140" i="44"/>
  <c r="AX140" i="44" s="1"/>
  <c r="AJ140" i="44"/>
  <c r="AY140" i="44" s="1"/>
  <c r="AK140" i="44"/>
  <c r="AZ140" i="44" s="1"/>
  <c r="AL140" i="44"/>
  <c r="BA140" i="44" s="1"/>
  <c r="AM140" i="44"/>
  <c r="BB140" i="44" s="1"/>
  <c r="AN140" i="44"/>
  <c r="BC140" i="44" s="1"/>
  <c r="AE141" i="44"/>
  <c r="AT141" i="44" s="1"/>
  <c r="AF141" i="44"/>
  <c r="AU141" i="44" s="1"/>
  <c r="AG141" i="44"/>
  <c r="AV141" i="44" s="1"/>
  <c r="AH141" i="44"/>
  <c r="AW141" i="44" s="1"/>
  <c r="AI141" i="44"/>
  <c r="AX141" i="44" s="1"/>
  <c r="AJ141" i="44"/>
  <c r="AY141" i="44" s="1"/>
  <c r="AK141" i="44"/>
  <c r="AZ141" i="44" s="1"/>
  <c r="AL141" i="44"/>
  <c r="BA141" i="44" s="1"/>
  <c r="AM141" i="44"/>
  <c r="BB141" i="44" s="1"/>
  <c r="AN141" i="44"/>
  <c r="BC141" i="44" s="1"/>
  <c r="AE142" i="44"/>
  <c r="AT142" i="44" s="1"/>
  <c r="AF142" i="44"/>
  <c r="AU142" i="44" s="1"/>
  <c r="AG142" i="44"/>
  <c r="AV142" i="44" s="1"/>
  <c r="AH142" i="44"/>
  <c r="AW142" i="44" s="1"/>
  <c r="AI142" i="44"/>
  <c r="AX142" i="44" s="1"/>
  <c r="AJ142" i="44"/>
  <c r="AY142" i="44" s="1"/>
  <c r="AK142" i="44"/>
  <c r="AZ142" i="44" s="1"/>
  <c r="AL142" i="44"/>
  <c r="BA142" i="44" s="1"/>
  <c r="AM142" i="44"/>
  <c r="BB142" i="44" s="1"/>
  <c r="AN142" i="44"/>
  <c r="BC142" i="44" s="1"/>
  <c r="AE143" i="44"/>
  <c r="AT143" i="44" s="1"/>
  <c r="AF143" i="44"/>
  <c r="AU143" i="44" s="1"/>
  <c r="AG143" i="44"/>
  <c r="AV143" i="44" s="1"/>
  <c r="AH143" i="44"/>
  <c r="AW143" i="44" s="1"/>
  <c r="AI143" i="44"/>
  <c r="AX143" i="44" s="1"/>
  <c r="AJ143" i="44"/>
  <c r="AY143" i="44" s="1"/>
  <c r="AK143" i="44"/>
  <c r="AZ143" i="44" s="1"/>
  <c r="AL143" i="44"/>
  <c r="BA143" i="44" s="1"/>
  <c r="AM143" i="44"/>
  <c r="BB143" i="44" s="1"/>
  <c r="AN143" i="44"/>
  <c r="BC143" i="44" s="1"/>
  <c r="AE144" i="44"/>
  <c r="AT144" i="44" s="1"/>
  <c r="AF144" i="44"/>
  <c r="AU144" i="44" s="1"/>
  <c r="AG144" i="44"/>
  <c r="AV144" i="44" s="1"/>
  <c r="AH144" i="44"/>
  <c r="AW144" i="44" s="1"/>
  <c r="AI144" i="44"/>
  <c r="AX144" i="44" s="1"/>
  <c r="AJ144" i="44"/>
  <c r="AY144" i="44" s="1"/>
  <c r="AK144" i="44"/>
  <c r="AZ144" i="44" s="1"/>
  <c r="AL144" i="44"/>
  <c r="BA144" i="44" s="1"/>
  <c r="AM144" i="44"/>
  <c r="BB144" i="44" s="1"/>
  <c r="AN144" i="44"/>
  <c r="BC144" i="44" s="1"/>
  <c r="AE145" i="44"/>
  <c r="AT145" i="44" s="1"/>
  <c r="AF145" i="44"/>
  <c r="AU145" i="44" s="1"/>
  <c r="AG145" i="44"/>
  <c r="AV145" i="44" s="1"/>
  <c r="AH145" i="44"/>
  <c r="AW145" i="44" s="1"/>
  <c r="AI145" i="44"/>
  <c r="AX145" i="44" s="1"/>
  <c r="AJ145" i="44"/>
  <c r="AY145" i="44" s="1"/>
  <c r="AK145" i="44"/>
  <c r="AZ145" i="44" s="1"/>
  <c r="AL145" i="44"/>
  <c r="BA145" i="44" s="1"/>
  <c r="AM145" i="44"/>
  <c r="BB145" i="44" s="1"/>
  <c r="AN145" i="44"/>
  <c r="BC145" i="44" s="1"/>
  <c r="AE146" i="44"/>
  <c r="AT146" i="44" s="1"/>
  <c r="AF146" i="44"/>
  <c r="AU146" i="44" s="1"/>
  <c r="AG146" i="44"/>
  <c r="AV146" i="44" s="1"/>
  <c r="AH146" i="44"/>
  <c r="AW146" i="44" s="1"/>
  <c r="AI146" i="44"/>
  <c r="AX146" i="44" s="1"/>
  <c r="AJ146" i="44"/>
  <c r="AY146" i="44" s="1"/>
  <c r="AK146" i="44"/>
  <c r="AZ146" i="44" s="1"/>
  <c r="AL146" i="44"/>
  <c r="BA146" i="44" s="1"/>
  <c r="AM146" i="44"/>
  <c r="BB146" i="44" s="1"/>
  <c r="AN146" i="44"/>
  <c r="BC146" i="44" s="1"/>
  <c r="AE147" i="44"/>
  <c r="AT147" i="44" s="1"/>
  <c r="AF147" i="44"/>
  <c r="AU147" i="44" s="1"/>
  <c r="AG147" i="44"/>
  <c r="AV147" i="44" s="1"/>
  <c r="AH147" i="44"/>
  <c r="AW147" i="44" s="1"/>
  <c r="AI147" i="44"/>
  <c r="AX147" i="44" s="1"/>
  <c r="AJ147" i="44"/>
  <c r="AY147" i="44" s="1"/>
  <c r="AK147" i="44"/>
  <c r="AZ147" i="44" s="1"/>
  <c r="AL147" i="44"/>
  <c r="BA147" i="44" s="1"/>
  <c r="AM147" i="44"/>
  <c r="BB147" i="44" s="1"/>
  <c r="AN147" i="44"/>
  <c r="BC147" i="44" s="1"/>
  <c r="AE148" i="44"/>
  <c r="AT148" i="44" s="1"/>
  <c r="AF148" i="44"/>
  <c r="AU148" i="44" s="1"/>
  <c r="AG148" i="44"/>
  <c r="AV148" i="44" s="1"/>
  <c r="AH148" i="44"/>
  <c r="AW148" i="44" s="1"/>
  <c r="AI148" i="44"/>
  <c r="AX148" i="44" s="1"/>
  <c r="AJ148" i="44"/>
  <c r="AY148" i="44" s="1"/>
  <c r="AK148" i="44"/>
  <c r="AZ148" i="44" s="1"/>
  <c r="AL148" i="44"/>
  <c r="BA148" i="44" s="1"/>
  <c r="AM148" i="44"/>
  <c r="BB148" i="44" s="1"/>
  <c r="AN148" i="44"/>
  <c r="BC148" i="44" s="1"/>
  <c r="AE149" i="44"/>
  <c r="AT149" i="44" s="1"/>
  <c r="AF149" i="44"/>
  <c r="AU149" i="44" s="1"/>
  <c r="AG149" i="44"/>
  <c r="AV149" i="44" s="1"/>
  <c r="AH149" i="44"/>
  <c r="AW149" i="44" s="1"/>
  <c r="AI149" i="44"/>
  <c r="AX149" i="44" s="1"/>
  <c r="AJ149" i="44"/>
  <c r="AY149" i="44" s="1"/>
  <c r="AK149" i="44"/>
  <c r="AZ149" i="44" s="1"/>
  <c r="AL149" i="44"/>
  <c r="BA149" i="44" s="1"/>
  <c r="AM149" i="44"/>
  <c r="BB149" i="44" s="1"/>
  <c r="AN149" i="44"/>
  <c r="BC149" i="44" s="1"/>
  <c r="AE150" i="44"/>
  <c r="AT150" i="44" s="1"/>
  <c r="AF150" i="44"/>
  <c r="AU150" i="44" s="1"/>
  <c r="AG150" i="44"/>
  <c r="AV150" i="44" s="1"/>
  <c r="AH150" i="44"/>
  <c r="AW150" i="44" s="1"/>
  <c r="AI150" i="44"/>
  <c r="AX150" i="44" s="1"/>
  <c r="AJ150" i="44"/>
  <c r="AY150" i="44" s="1"/>
  <c r="AK150" i="44"/>
  <c r="AZ150" i="44" s="1"/>
  <c r="AL150" i="44"/>
  <c r="BA150" i="44" s="1"/>
  <c r="AM150" i="44"/>
  <c r="BB150" i="44" s="1"/>
  <c r="AN150" i="44"/>
  <c r="BC150" i="44" s="1"/>
  <c r="AE151" i="44"/>
  <c r="AT151" i="44" s="1"/>
  <c r="AF151" i="44"/>
  <c r="AU151" i="44" s="1"/>
  <c r="AG151" i="44"/>
  <c r="AV151" i="44" s="1"/>
  <c r="AH151" i="44"/>
  <c r="AW151" i="44" s="1"/>
  <c r="AI151" i="44"/>
  <c r="AX151" i="44" s="1"/>
  <c r="AJ151" i="44"/>
  <c r="AY151" i="44" s="1"/>
  <c r="AK151" i="44"/>
  <c r="AZ151" i="44" s="1"/>
  <c r="AL151" i="44"/>
  <c r="BA151" i="44" s="1"/>
  <c r="AM151" i="44"/>
  <c r="BB151" i="44" s="1"/>
  <c r="AN151" i="44"/>
  <c r="BC151" i="44" s="1"/>
  <c r="AE152" i="44"/>
  <c r="AT152" i="44" s="1"/>
  <c r="AF152" i="44"/>
  <c r="AU152" i="44" s="1"/>
  <c r="AG152" i="44"/>
  <c r="AV152" i="44" s="1"/>
  <c r="AH152" i="44"/>
  <c r="AW152" i="44" s="1"/>
  <c r="AI152" i="44"/>
  <c r="AX152" i="44" s="1"/>
  <c r="AJ152" i="44"/>
  <c r="AY152" i="44" s="1"/>
  <c r="AK152" i="44"/>
  <c r="AZ152" i="44" s="1"/>
  <c r="AL152" i="44"/>
  <c r="BA152" i="44" s="1"/>
  <c r="AM152" i="44"/>
  <c r="BB152" i="44" s="1"/>
  <c r="AN152" i="44"/>
  <c r="BC152" i="44" s="1"/>
  <c r="AE153" i="44"/>
  <c r="AT153" i="44" s="1"/>
  <c r="AF153" i="44"/>
  <c r="AU153" i="44" s="1"/>
  <c r="AG153" i="44"/>
  <c r="AV153" i="44" s="1"/>
  <c r="AH153" i="44"/>
  <c r="AW153" i="44" s="1"/>
  <c r="AI153" i="44"/>
  <c r="AX153" i="44" s="1"/>
  <c r="AJ153" i="44"/>
  <c r="AY153" i="44" s="1"/>
  <c r="AK153" i="44"/>
  <c r="AZ153" i="44" s="1"/>
  <c r="AL153" i="44"/>
  <c r="BA153" i="44" s="1"/>
  <c r="AM153" i="44"/>
  <c r="BB153" i="44" s="1"/>
  <c r="AN153" i="44"/>
  <c r="BC153" i="44" s="1"/>
  <c r="AE154" i="44"/>
  <c r="AT154" i="44" s="1"/>
  <c r="AF154" i="44"/>
  <c r="AU154" i="44" s="1"/>
  <c r="AG154" i="44"/>
  <c r="AV154" i="44" s="1"/>
  <c r="AH154" i="44"/>
  <c r="AW154" i="44" s="1"/>
  <c r="AI154" i="44"/>
  <c r="AX154" i="44" s="1"/>
  <c r="AJ154" i="44"/>
  <c r="AY154" i="44" s="1"/>
  <c r="AK154" i="44"/>
  <c r="AZ154" i="44" s="1"/>
  <c r="AL154" i="44"/>
  <c r="BA154" i="44" s="1"/>
  <c r="AM154" i="44"/>
  <c r="BB154" i="44" s="1"/>
  <c r="AN154" i="44"/>
  <c r="BC154" i="44" s="1"/>
  <c r="AE155" i="44"/>
  <c r="AT155" i="44" s="1"/>
  <c r="AF155" i="44"/>
  <c r="AU155" i="44" s="1"/>
  <c r="AG155" i="44"/>
  <c r="AV155" i="44" s="1"/>
  <c r="AH155" i="44"/>
  <c r="AW155" i="44" s="1"/>
  <c r="AI155" i="44"/>
  <c r="AX155" i="44" s="1"/>
  <c r="AJ155" i="44"/>
  <c r="AY155" i="44" s="1"/>
  <c r="AK155" i="44"/>
  <c r="AZ155" i="44" s="1"/>
  <c r="AL155" i="44"/>
  <c r="BA155" i="44" s="1"/>
  <c r="AM155" i="44"/>
  <c r="BB155" i="44" s="1"/>
  <c r="AN155" i="44"/>
  <c r="BC155" i="44" s="1"/>
  <c r="AE156" i="44"/>
  <c r="AT156" i="44" s="1"/>
  <c r="AF156" i="44"/>
  <c r="AU156" i="44" s="1"/>
  <c r="AG156" i="44"/>
  <c r="AV156" i="44" s="1"/>
  <c r="AH156" i="44"/>
  <c r="AW156" i="44" s="1"/>
  <c r="AI156" i="44"/>
  <c r="AX156" i="44" s="1"/>
  <c r="AJ156" i="44"/>
  <c r="AY156" i="44" s="1"/>
  <c r="AK156" i="44"/>
  <c r="AZ156" i="44" s="1"/>
  <c r="AL156" i="44"/>
  <c r="BA156" i="44" s="1"/>
  <c r="AM156" i="44"/>
  <c r="BB156" i="44" s="1"/>
  <c r="AN156" i="44"/>
  <c r="BC156" i="44" s="1"/>
  <c r="AE157" i="44"/>
  <c r="AT157" i="44" s="1"/>
  <c r="AF157" i="44"/>
  <c r="AU157" i="44" s="1"/>
  <c r="AG157" i="44"/>
  <c r="AV157" i="44" s="1"/>
  <c r="AH157" i="44"/>
  <c r="AW157" i="44" s="1"/>
  <c r="AI157" i="44"/>
  <c r="AX157" i="44" s="1"/>
  <c r="AJ157" i="44"/>
  <c r="AY157" i="44" s="1"/>
  <c r="AK157" i="44"/>
  <c r="AZ157" i="44" s="1"/>
  <c r="AL157" i="44"/>
  <c r="BA157" i="44" s="1"/>
  <c r="AM157" i="44"/>
  <c r="BB157" i="44" s="1"/>
  <c r="AN157" i="44"/>
  <c r="BC157" i="44" s="1"/>
  <c r="AE158" i="44"/>
  <c r="AT158" i="44" s="1"/>
  <c r="AF158" i="44"/>
  <c r="AU158" i="44" s="1"/>
  <c r="AG158" i="44"/>
  <c r="AV158" i="44" s="1"/>
  <c r="AH158" i="44"/>
  <c r="AW158" i="44" s="1"/>
  <c r="AI158" i="44"/>
  <c r="AX158" i="44" s="1"/>
  <c r="AJ158" i="44"/>
  <c r="AY158" i="44" s="1"/>
  <c r="AK158" i="44"/>
  <c r="AZ158" i="44" s="1"/>
  <c r="AL158" i="44"/>
  <c r="BA158" i="44" s="1"/>
  <c r="AM158" i="44"/>
  <c r="BB158" i="44" s="1"/>
  <c r="AN158" i="44"/>
  <c r="BC158" i="44" s="1"/>
  <c r="AE159" i="44"/>
  <c r="AT159" i="44" s="1"/>
  <c r="AF159" i="44"/>
  <c r="AU159" i="44" s="1"/>
  <c r="AG159" i="44"/>
  <c r="AV159" i="44" s="1"/>
  <c r="AH159" i="44"/>
  <c r="AW159" i="44" s="1"/>
  <c r="AI159" i="44"/>
  <c r="AX159" i="44" s="1"/>
  <c r="AJ159" i="44"/>
  <c r="AY159" i="44" s="1"/>
  <c r="AK159" i="44"/>
  <c r="AZ159" i="44" s="1"/>
  <c r="AL159" i="44"/>
  <c r="BA159" i="44" s="1"/>
  <c r="AM159" i="44"/>
  <c r="BB159" i="44" s="1"/>
  <c r="AN159" i="44"/>
  <c r="BC159" i="44" s="1"/>
  <c r="AE160" i="44"/>
  <c r="AT160" i="44" s="1"/>
  <c r="AF160" i="44"/>
  <c r="AU160" i="44" s="1"/>
  <c r="AG160" i="44"/>
  <c r="AV160" i="44" s="1"/>
  <c r="AH160" i="44"/>
  <c r="AW160" i="44" s="1"/>
  <c r="AI160" i="44"/>
  <c r="AX160" i="44" s="1"/>
  <c r="AJ160" i="44"/>
  <c r="AY160" i="44" s="1"/>
  <c r="AK160" i="44"/>
  <c r="AZ160" i="44" s="1"/>
  <c r="AL160" i="44"/>
  <c r="BA160" i="44" s="1"/>
  <c r="AM160" i="44"/>
  <c r="BB160" i="44" s="1"/>
  <c r="AN160" i="44"/>
  <c r="BC160" i="44" s="1"/>
  <c r="AE161" i="44"/>
  <c r="AT161" i="44" s="1"/>
  <c r="AF161" i="44"/>
  <c r="AU161" i="44" s="1"/>
  <c r="AG161" i="44"/>
  <c r="AV161" i="44" s="1"/>
  <c r="AH161" i="44"/>
  <c r="AW161" i="44" s="1"/>
  <c r="AI161" i="44"/>
  <c r="AX161" i="44" s="1"/>
  <c r="AJ161" i="44"/>
  <c r="AY161" i="44" s="1"/>
  <c r="AK161" i="44"/>
  <c r="AZ161" i="44" s="1"/>
  <c r="AL161" i="44"/>
  <c r="BA161" i="44" s="1"/>
  <c r="AM161" i="44"/>
  <c r="BB161" i="44" s="1"/>
  <c r="AN161" i="44"/>
  <c r="BC161" i="44" s="1"/>
  <c r="AE162" i="44"/>
  <c r="AT162" i="44" s="1"/>
  <c r="AF162" i="44"/>
  <c r="AU162" i="44" s="1"/>
  <c r="AG162" i="44"/>
  <c r="AV162" i="44" s="1"/>
  <c r="AH162" i="44"/>
  <c r="AW162" i="44" s="1"/>
  <c r="AI162" i="44"/>
  <c r="AX162" i="44" s="1"/>
  <c r="AJ162" i="44"/>
  <c r="AY162" i="44" s="1"/>
  <c r="AK162" i="44"/>
  <c r="AZ162" i="44" s="1"/>
  <c r="AL162" i="44"/>
  <c r="BA162" i="44" s="1"/>
  <c r="AM162" i="44"/>
  <c r="BB162" i="44" s="1"/>
  <c r="AN162" i="44"/>
  <c r="BC162" i="44" s="1"/>
  <c r="AE163" i="44"/>
  <c r="AT163" i="44" s="1"/>
  <c r="AF163" i="44"/>
  <c r="AU163" i="44" s="1"/>
  <c r="AG163" i="44"/>
  <c r="AV163" i="44" s="1"/>
  <c r="AH163" i="44"/>
  <c r="AW163" i="44" s="1"/>
  <c r="AI163" i="44"/>
  <c r="AX163" i="44" s="1"/>
  <c r="AJ163" i="44"/>
  <c r="AY163" i="44" s="1"/>
  <c r="AK163" i="44"/>
  <c r="AZ163" i="44" s="1"/>
  <c r="AL163" i="44"/>
  <c r="BA163" i="44" s="1"/>
  <c r="AM163" i="44"/>
  <c r="BB163" i="44" s="1"/>
  <c r="AN163" i="44"/>
  <c r="BC163" i="44" s="1"/>
  <c r="AE164" i="44"/>
  <c r="AT164" i="44" s="1"/>
  <c r="AF164" i="44"/>
  <c r="AU164" i="44" s="1"/>
  <c r="AG164" i="44"/>
  <c r="AV164" i="44" s="1"/>
  <c r="AH164" i="44"/>
  <c r="AW164" i="44" s="1"/>
  <c r="AI164" i="44"/>
  <c r="AX164" i="44" s="1"/>
  <c r="AJ164" i="44"/>
  <c r="AY164" i="44" s="1"/>
  <c r="AK164" i="44"/>
  <c r="AZ164" i="44" s="1"/>
  <c r="AL164" i="44"/>
  <c r="BA164" i="44" s="1"/>
  <c r="AM164" i="44"/>
  <c r="BB164" i="44" s="1"/>
  <c r="AN164" i="44"/>
  <c r="BC164" i="44" s="1"/>
  <c r="AE165" i="44"/>
  <c r="AT165" i="44" s="1"/>
  <c r="AF165" i="44"/>
  <c r="AU165" i="44" s="1"/>
  <c r="AG165" i="44"/>
  <c r="AV165" i="44" s="1"/>
  <c r="AH165" i="44"/>
  <c r="AW165" i="44" s="1"/>
  <c r="AI165" i="44"/>
  <c r="AX165" i="44" s="1"/>
  <c r="AJ165" i="44"/>
  <c r="AY165" i="44" s="1"/>
  <c r="AK165" i="44"/>
  <c r="AZ165" i="44" s="1"/>
  <c r="AL165" i="44"/>
  <c r="BA165" i="44" s="1"/>
  <c r="AM165" i="44"/>
  <c r="BB165" i="44" s="1"/>
  <c r="AN165" i="44"/>
  <c r="BC165" i="44" s="1"/>
  <c r="AE166" i="44"/>
  <c r="AT166" i="44" s="1"/>
  <c r="AF166" i="44"/>
  <c r="AU166" i="44" s="1"/>
  <c r="AG166" i="44"/>
  <c r="AV166" i="44" s="1"/>
  <c r="AH166" i="44"/>
  <c r="AW166" i="44" s="1"/>
  <c r="AI166" i="44"/>
  <c r="AX166" i="44" s="1"/>
  <c r="AJ166" i="44"/>
  <c r="AY166" i="44" s="1"/>
  <c r="AK166" i="44"/>
  <c r="AZ166" i="44" s="1"/>
  <c r="AL166" i="44"/>
  <c r="BA166" i="44" s="1"/>
  <c r="AM166" i="44"/>
  <c r="BB166" i="44" s="1"/>
  <c r="AN166" i="44"/>
  <c r="BC166" i="44" s="1"/>
  <c r="AE167" i="44"/>
  <c r="AT167" i="44" s="1"/>
  <c r="AF167" i="44"/>
  <c r="AU167" i="44" s="1"/>
  <c r="AG167" i="44"/>
  <c r="AV167" i="44" s="1"/>
  <c r="AH167" i="44"/>
  <c r="AW167" i="44" s="1"/>
  <c r="AI167" i="44"/>
  <c r="AX167" i="44" s="1"/>
  <c r="AJ167" i="44"/>
  <c r="AY167" i="44" s="1"/>
  <c r="AK167" i="44"/>
  <c r="AZ167" i="44" s="1"/>
  <c r="AL167" i="44"/>
  <c r="BA167" i="44" s="1"/>
  <c r="AM167" i="44"/>
  <c r="BB167" i="44" s="1"/>
  <c r="AN167" i="44"/>
  <c r="BC167" i="44" s="1"/>
  <c r="AE168" i="44"/>
  <c r="AT168" i="44" s="1"/>
  <c r="AF168" i="44"/>
  <c r="AU168" i="44" s="1"/>
  <c r="AG168" i="44"/>
  <c r="AV168" i="44" s="1"/>
  <c r="AH168" i="44"/>
  <c r="AW168" i="44" s="1"/>
  <c r="AI168" i="44"/>
  <c r="AX168" i="44" s="1"/>
  <c r="AJ168" i="44"/>
  <c r="AY168" i="44" s="1"/>
  <c r="AK168" i="44"/>
  <c r="AZ168" i="44" s="1"/>
  <c r="AL168" i="44"/>
  <c r="BA168" i="44" s="1"/>
  <c r="AM168" i="44"/>
  <c r="BB168" i="44" s="1"/>
  <c r="AN168" i="44"/>
  <c r="BC168" i="44" s="1"/>
  <c r="AE169" i="44"/>
  <c r="AT169" i="44" s="1"/>
  <c r="AF169" i="44"/>
  <c r="AU169" i="44" s="1"/>
  <c r="AG169" i="44"/>
  <c r="AV169" i="44" s="1"/>
  <c r="AH169" i="44"/>
  <c r="AW169" i="44" s="1"/>
  <c r="AI169" i="44"/>
  <c r="AX169" i="44" s="1"/>
  <c r="AJ169" i="44"/>
  <c r="AY169" i="44" s="1"/>
  <c r="AK169" i="44"/>
  <c r="AZ169" i="44" s="1"/>
  <c r="AL169" i="44"/>
  <c r="BA169" i="44" s="1"/>
  <c r="AM169" i="44"/>
  <c r="BB169" i="44" s="1"/>
  <c r="AN169" i="44"/>
  <c r="BC169" i="44" s="1"/>
  <c r="AE170" i="44"/>
  <c r="AT170" i="44" s="1"/>
  <c r="AF170" i="44"/>
  <c r="AU170" i="44" s="1"/>
  <c r="AG170" i="44"/>
  <c r="AV170" i="44" s="1"/>
  <c r="AH170" i="44"/>
  <c r="AW170" i="44" s="1"/>
  <c r="AI170" i="44"/>
  <c r="AX170" i="44" s="1"/>
  <c r="AJ170" i="44"/>
  <c r="AY170" i="44" s="1"/>
  <c r="AK170" i="44"/>
  <c r="AZ170" i="44" s="1"/>
  <c r="AL170" i="44"/>
  <c r="BA170" i="44" s="1"/>
  <c r="AM170" i="44"/>
  <c r="BB170" i="44" s="1"/>
  <c r="AN170" i="44"/>
  <c r="BC170" i="44" s="1"/>
  <c r="AE171" i="44"/>
  <c r="AT171" i="44" s="1"/>
  <c r="AF171" i="44"/>
  <c r="AU171" i="44" s="1"/>
  <c r="AG171" i="44"/>
  <c r="AV171" i="44" s="1"/>
  <c r="AH171" i="44"/>
  <c r="AW171" i="44" s="1"/>
  <c r="AI171" i="44"/>
  <c r="AX171" i="44" s="1"/>
  <c r="AJ171" i="44"/>
  <c r="AY171" i="44" s="1"/>
  <c r="AK171" i="44"/>
  <c r="AZ171" i="44" s="1"/>
  <c r="AL171" i="44"/>
  <c r="BA171" i="44" s="1"/>
  <c r="AM171" i="44"/>
  <c r="BB171" i="44" s="1"/>
  <c r="AN171" i="44"/>
  <c r="BC171" i="44" s="1"/>
  <c r="AE172" i="44"/>
  <c r="AT172" i="44" s="1"/>
  <c r="AF172" i="44"/>
  <c r="AU172" i="44" s="1"/>
  <c r="AG172" i="44"/>
  <c r="AV172" i="44" s="1"/>
  <c r="AH172" i="44"/>
  <c r="AW172" i="44" s="1"/>
  <c r="AI172" i="44"/>
  <c r="AX172" i="44" s="1"/>
  <c r="AJ172" i="44"/>
  <c r="AY172" i="44" s="1"/>
  <c r="AK172" i="44"/>
  <c r="AZ172" i="44" s="1"/>
  <c r="AL172" i="44"/>
  <c r="BA172" i="44" s="1"/>
  <c r="AM172" i="44"/>
  <c r="BB172" i="44" s="1"/>
  <c r="AN172" i="44"/>
  <c r="BC172" i="44" s="1"/>
  <c r="AE173" i="44"/>
  <c r="AT173" i="44" s="1"/>
  <c r="AF173" i="44"/>
  <c r="AU173" i="44" s="1"/>
  <c r="AG173" i="44"/>
  <c r="AV173" i="44" s="1"/>
  <c r="AH173" i="44"/>
  <c r="AW173" i="44" s="1"/>
  <c r="AI173" i="44"/>
  <c r="AX173" i="44" s="1"/>
  <c r="AJ173" i="44"/>
  <c r="AY173" i="44" s="1"/>
  <c r="AK173" i="44"/>
  <c r="AZ173" i="44" s="1"/>
  <c r="AL173" i="44"/>
  <c r="BA173" i="44" s="1"/>
  <c r="AM173" i="44"/>
  <c r="BB173" i="44" s="1"/>
  <c r="AN173" i="44"/>
  <c r="BC173" i="44" s="1"/>
  <c r="AE174" i="44"/>
  <c r="AT174" i="44" s="1"/>
  <c r="AF174" i="44"/>
  <c r="AU174" i="44" s="1"/>
  <c r="AG174" i="44"/>
  <c r="AV174" i="44" s="1"/>
  <c r="AH174" i="44"/>
  <c r="AW174" i="44" s="1"/>
  <c r="AI174" i="44"/>
  <c r="AX174" i="44" s="1"/>
  <c r="AJ174" i="44"/>
  <c r="AY174" i="44" s="1"/>
  <c r="AK174" i="44"/>
  <c r="AZ174" i="44" s="1"/>
  <c r="AL174" i="44"/>
  <c r="BA174" i="44" s="1"/>
  <c r="AM174" i="44"/>
  <c r="BB174" i="44" s="1"/>
  <c r="AN174" i="44"/>
  <c r="BC174" i="44" s="1"/>
  <c r="AE175" i="44"/>
  <c r="AT175" i="44" s="1"/>
  <c r="AF175" i="44"/>
  <c r="AU175" i="44" s="1"/>
  <c r="AG175" i="44"/>
  <c r="AV175" i="44" s="1"/>
  <c r="AH175" i="44"/>
  <c r="AW175" i="44" s="1"/>
  <c r="AI175" i="44"/>
  <c r="AX175" i="44" s="1"/>
  <c r="AJ175" i="44"/>
  <c r="AY175" i="44" s="1"/>
  <c r="AK175" i="44"/>
  <c r="AZ175" i="44" s="1"/>
  <c r="AL175" i="44"/>
  <c r="BA175" i="44" s="1"/>
  <c r="AM175" i="44"/>
  <c r="BB175" i="44" s="1"/>
  <c r="AN175" i="44"/>
  <c r="BC175" i="44" s="1"/>
  <c r="AE176" i="44"/>
  <c r="AT176" i="44" s="1"/>
  <c r="AF176" i="44"/>
  <c r="AU176" i="44" s="1"/>
  <c r="AG176" i="44"/>
  <c r="AV176" i="44" s="1"/>
  <c r="AH176" i="44"/>
  <c r="AW176" i="44" s="1"/>
  <c r="AI176" i="44"/>
  <c r="AX176" i="44" s="1"/>
  <c r="AJ176" i="44"/>
  <c r="AY176" i="44" s="1"/>
  <c r="AK176" i="44"/>
  <c r="AZ176" i="44" s="1"/>
  <c r="AL176" i="44"/>
  <c r="BA176" i="44" s="1"/>
  <c r="AM176" i="44"/>
  <c r="BB176" i="44" s="1"/>
  <c r="AN176" i="44"/>
  <c r="BC176" i="44" s="1"/>
  <c r="AE177" i="44"/>
  <c r="AT177" i="44" s="1"/>
  <c r="AF177" i="44"/>
  <c r="AU177" i="44" s="1"/>
  <c r="AG177" i="44"/>
  <c r="AV177" i="44" s="1"/>
  <c r="AH177" i="44"/>
  <c r="AW177" i="44" s="1"/>
  <c r="AI177" i="44"/>
  <c r="AX177" i="44" s="1"/>
  <c r="AJ177" i="44"/>
  <c r="AY177" i="44" s="1"/>
  <c r="AK177" i="44"/>
  <c r="AZ177" i="44" s="1"/>
  <c r="AL177" i="44"/>
  <c r="BA177" i="44" s="1"/>
  <c r="AM177" i="44"/>
  <c r="BB177" i="44" s="1"/>
  <c r="AN177" i="44"/>
  <c r="BC177" i="44" s="1"/>
  <c r="AE178" i="44"/>
  <c r="AT178" i="44" s="1"/>
  <c r="AF178" i="44"/>
  <c r="AU178" i="44" s="1"/>
  <c r="AG178" i="44"/>
  <c r="AV178" i="44" s="1"/>
  <c r="AH178" i="44"/>
  <c r="AW178" i="44" s="1"/>
  <c r="AI178" i="44"/>
  <c r="AX178" i="44" s="1"/>
  <c r="AJ178" i="44"/>
  <c r="AY178" i="44" s="1"/>
  <c r="AK178" i="44"/>
  <c r="AZ178" i="44" s="1"/>
  <c r="AL178" i="44"/>
  <c r="BA178" i="44" s="1"/>
  <c r="AM178" i="44"/>
  <c r="BB178" i="44" s="1"/>
  <c r="AN178" i="44"/>
  <c r="BC178" i="44" s="1"/>
  <c r="AE179" i="44"/>
  <c r="AT179" i="44" s="1"/>
  <c r="AF179" i="44"/>
  <c r="AU179" i="44" s="1"/>
  <c r="AG179" i="44"/>
  <c r="AV179" i="44" s="1"/>
  <c r="AH179" i="44"/>
  <c r="AW179" i="44" s="1"/>
  <c r="AI179" i="44"/>
  <c r="AX179" i="44" s="1"/>
  <c r="AJ179" i="44"/>
  <c r="AY179" i="44" s="1"/>
  <c r="AK179" i="44"/>
  <c r="AZ179" i="44" s="1"/>
  <c r="AL179" i="44"/>
  <c r="BA179" i="44" s="1"/>
  <c r="AM179" i="44"/>
  <c r="BB179" i="44" s="1"/>
  <c r="AN179" i="44"/>
  <c r="BC179" i="44" s="1"/>
  <c r="AE180" i="44"/>
  <c r="AT180" i="44" s="1"/>
  <c r="AF180" i="44"/>
  <c r="AU180" i="44" s="1"/>
  <c r="AG180" i="44"/>
  <c r="AV180" i="44" s="1"/>
  <c r="AH180" i="44"/>
  <c r="AW180" i="44" s="1"/>
  <c r="AI180" i="44"/>
  <c r="AX180" i="44" s="1"/>
  <c r="AJ180" i="44"/>
  <c r="AY180" i="44" s="1"/>
  <c r="AK180" i="44"/>
  <c r="AZ180" i="44" s="1"/>
  <c r="AL180" i="44"/>
  <c r="BA180" i="44" s="1"/>
  <c r="AM180" i="44"/>
  <c r="BB180" i="44" s="1"/>
  <c r="AN180" i="44"/>
  <c r="BC180" i="44" s="1"/>
  <c r="AE181" i="44"/>
  <c r="AT181" i="44" s="1"/>
  <c r="AF181" i="44"/>
  <c r="AU181" i="44" s="1"/>
  <c r="AG181" i="44"/>
  <c r="AV181" i="44" s="1"/>
  <c r="AH181" i="44"/>
  <c r="AW181" i="44" s="1"/>
  <c r="AI181" i="44"/>
  <c r="AX181" i="44" s="1"/>
  <c r="AJ181" i="44"/>
  <c r="AY181" i="44" s="1"/>
  <c r="AK181" i="44"/>
  <c r="AZ181" i="44" s="1"/>
  <c r="AL181" i="44"/>
  <c r="BA181" i="44" s="1"/>
  <c r="AM181" i="44"/>
  <c r="BB181" i="44" s="1"/>
  <c r="AN181" i="44"/>
  <c r="BC181" i="44" s="1"/>
  <c r="AE182" i="44"/>
  <c r="AT182" i="44" s="1"/>
  <c r="AF182" i="44"/>
  <c r="AU182" i="44" s="1"/>
  <c r="AG182" i="44"/>
  <c r="AV182" i="44" s="1"/>
  <c r="AH182" i="44"/>
  <c r="AW182" i="44" s="1"/>
  <c r="AI182" i="44"/>
  <c r="AX182" i="44" s="1"/>
  <c r="AJ182" i="44"/>
  <c r="AY182" i="44" s="1"/>
  <c r="AK182" i="44"/>
  <c r="AZ182" i="44" s="1"/>
  <c r="AL182" i="44"/>
  <c r="BA182" i="44" s="1"/>
  <c r="AM182" i="44"/>
  <c r="BB182" i="44" s="1"/>
  <c r="AN182" i="44"/>
  <c r="BC182" i="44" s="1"/>
  <c r="AE183" i="44"/>
  <c r="AT183" i="44" s="1"/>
  <c r="AF183" i="44"/>
  <c r="AU183" i="44" s="1"/>
  <c r="AG183" i="44"/>
  <c r="AV183" i="44" s="1"/>
  <c r="AH183" i="44"/>
  <c r="AW183" i="44" s="1"/>
  <c r="AI183" i="44"/>
  <c r="AX183" i="44" s="1"/>
  <c r="AJ183" i="44"/>
  <c r="AY183" i="44" s="1"/>
  <c r="AK183" i="44"/>
  <c r="AZ183" i="44" s="1"/>
  <c r="AL183" i="44"/>
  <c r="BA183" i="44" s="1"/>
  <c r="AM183" i="44"/>
  <c r="BB183" i="44" s="1"/>
  <c r="AN183" i="44"/>
  <c r="BC183" i="44" s="1"/>
  <c r="AE184" i="44"/>
  <c r="AT184" i="44" s="1"/>
  <c r="AF184" i="44"/>
  <c r="AU184" i="44" s="1"/>
  <c r="AG184" i="44"/>
  <c r="AV184" i="44" s="1"/>
  <c r="AH184" i="44"/>
  <c r="AW184" i="44" s="1"/>
  <c r="AI184" i="44"/>
  <c r="AX184" i="44" s="1"/>
  <c r="AJ184" i="44"/>
  <c r="AY184" i="44" s="1"/>
  <c r="AK184" i="44"/>
  <c r="AZ184" i="44" s="1"/>
  <c r="AL184" i="44"/>
  <c r="BA184" i="44" s="1"/>
  <c r="AM184" i="44"/>
  <c r="BB184" i="44" s="1"/>
  <c r="AN184" i="44"/>
  <c r="BC184" i="44" s="1"/>
  <c r="AE185" i="44"/>
  <c r="AT185" i="44" s="1"/>
  <c r="AF185" i="44"/>
  <c r="AU185" i="44" s="1"/>
  <c r="AG185" i="44"/>
  <c r="AV185" i="44" s="1"/>
  <c r="AH185" i="44"/>
  <c r="AW185" i="44" s="1"/>
  <c r="AI185" i="44"/>
  <c r="AX185" i="44" s="1"/>
  <c r="AJ185" i="44"/>
  <c r="AY185" i="44" s="1"/>
  <c r="AK185" i="44"/>
  <c r="AZ185" i="44" s="1"/>
  <c r="AL185" i="44"/>
  <c r="BA185" i="44" s="1"/>
  <c r="AM185" i="44"/>
  <c r="BB185" i="44" s="1"/>
  <c r="AN185" i="44"/>
  <c r="BC185" i="44" s="1"/>
  <c r="AE186" i="44"/>
  <c r="AT186" i="44" s="1"/>
  <c r="AF186" i="44"/>
  <c r="AU186" i="44" s="1"/>
  <c r="AG186" i="44"/>
  <c r="AV186" i="44" s="1"/>
  <c r="AH186" i="44"/>
  <c r="AW186" i="44" s="1"/>
  <c r="AI186" i="44"/>
  <c r="AX186" i="44" s="1"/>
  <c r="AJ186" i="44"/>
  <c r="AY186" i="44" s="1"/>
  <c r="AK186" i="44"/>
  <c r="AZ186" i="44" s="1"/>
  <c r="AL186" i="44"/>
  <c r="BA186" i="44" s="1"/>
  <c r="AM186" i="44"/>
  <c r="BB186" i="44" s="1"/>
  <c r="AN186" i="44"/>
  <c r="BC186" i="44" s="1"/>
  <c r="AE187" i="44"/>
  <c r="AT187" i="44" s="1"/>
  <c r="AF187" i="44"/>
  <c r="AU187" i="44" s="1"/>
  <c r="AG187" i="44"/>
  <c r="AV187" i="44" s="1"/>
  <c r="AH187" i="44"/>
  <c r="AW187" i="44" s="1"/>
  <c r="AI187" i="44"/>
  <c r="AX187" i="44" s="1"/>
  <c r="AJ187" i="44"/>
  <c r="AY187" i="44" s="1"/>
  <c r="AK187" i="44"/>
  <c r="AZ187" i="44" s="1"/>
  <c r="AL187" i="44"/>
  <c r="BA187" i="44" s="1"/>
  <c r="AM187" i="44"/>
  <c r="BB187" i="44" s="1"/>
  <c r="AN187" i="44"/>
  <c r="BC187" i="44" s="1"/>
  <c r="AE188" i="44"/>
  <c r="AT188" i="44" s="1"/>
  <c r="AF188" i="44"/>
  <c r="AU188" i="44" s="1"/>
  <c r="AG188" i="44"/>
  <c r="AV188" i="44" s="1"/>
  <c r="AH188" i="44"/>
  <c r="AW188" i="44" s="1"/>
  <c r="AI188" i="44"/>
  <c r="AX188" i="44" s="1"/>
  <c r="AJ188" i="44"/>
  <c r="AY188" i="44" s="1"/>
  <c r="AK188" i="44"/>
  <c r="AZ188" i="44" s="1"/>
  <c r="AL188" i="44"/>
  <c r="BA188" i="44" s="1"/>
  <c r="AM188" i="44"/>
  <c r="BB188" i="44" s="1"/>
  <c r="AN188" i="44"/>
  <c r="BC188" i="44" s="1"/>
  <c r="AE189" i="44"/>
  <c r="AT189" i="44" s="1"/>
  <c r="AF189" i="44"/>
  <c r="AU189" i="44" s="1"/>
  <c r="AG189" i="44"/>
  <c r="AV189" i="44" s="1"/>
  <c r="AH189" i="44"/>
  <c r="AW189" i="44" s="1"/>
  <c r="AI189" i="44"/>
  <c r="AX189" i="44" s="1"/>
  <c r="AJ189" i="44"/>
  <c r="AY189" i="44" s="1"/>
  <c r="AK189" i="44"/>
  <c r="AZ189" i="44" s="1"/>
  <c r="AL189" i="44"/>
  <c r="BA189" i="44" s="1"/>
  <c r="AM189" i="44"/>
  <c r="BB189" i="44" s="1"/>
  <c r="AN189" i="44"/>
  <c r="BC189" i="44" s="1"/>
  <c r="AE190" i="44"/>
  <c r="AT190" i="44" s="1"/>
  <c r="AF190" i="44"/>
  <c r="AU190" i="44" s="1"/>
  <c r="AG190" i="44"/>
  <c r="AV190" i="44" s="1"/>
  <c r="AH190" i="44"/>
  <c r="AW190" i="44" s="1"/>
  <c r="AI190" i="44"/>
  <c r="AX190" i="44" s="1"/>
  <c r="AJ190" i="44"/>
  <c r="AY190" i="44" s="1"/>
  <c r="AK190" i="44"/>
  <c r="AZ190" i="44" s="1"/>
  <c r="AL190" i="44"/>
  <c r="BA190" i="44" s="1"/>
  <c r="AM190" i="44"/>
  <c r="BB190" i="44" s="1"/>
  <c r="AN190" i="44"/>
  <c r="BC190" i="44" s="1"/>
  <c r="AE191" i="44"/>
  <c r="AT191" i="44" s="1"/>
  <c r="AF191" i="44"/>
  <c r="AU191" i="44" s="1"/>
  <c r="AG191" i="44"/>
  <c r="AV191" i="44" s="1"/>
  <c r="AH191" i="44"/>
  <c r="AW191" i="44" s="1"/>
  <c r="AI191" i="44"/>
  <c r="AX191" i="44" s="1"/>
  <c r="AJ191" i="44"/>
  <c r="AY191" i="44" s="1"/>
  <c r="AK191" i="44"/>
  <c r="AZ191" i="44" s="1"/>
  <c r="AL191" i="44"/>
  <c r="BA191" i="44" s="1"/>
  <c r="AM191" i="44"/>
  <c r="BB191" i="44" s="1"/>
  <c r="AN191" i="44"/>
  <c r="BC191" i="44" s="1"/>
  <c r="AE192" i="44"/>
  <c r="AT192" i="44" s="1"/>
  <c r="AF192" i="44"/>
  <c r="AU192" i="44" s="1"/>
  <c r="AG192" i="44"/>
  <c r="AV192" i="44" s="1"/>
  <c r="AH192" i="44"/>
  <c r="AW192" i="44" s="1"/>
  <c r="AI192" i="44"/>
  <c r="AX192" i="44" s="1"/>
  <c r="AJ192" i="44"/>
  <c r="AY192" i="44" s="1"/>
  <c r="AK192" i="44"/>
  <c r="AZ192" i="44" s="1"/>
  <c r="AL192" i="44"/>
  <c r="BA192" i="44" s="1"/>
  <c r="AM192" i="44"/>
  <c r="BB192" i="44" s="1"/>
  <c r="AN192" i="44"/>
  <c r="BC192" i="44" s="1"/>
  <c r="AE193" i="44"/>
  <c r="AT193" i="44" s="1"/>
  <c r="AF193" i="44"/>
  <c r="AU193" i="44" s="1"/>
  <c r="AG193" i="44"/>
  <c r="AV193" i="44" s="1"/>
  <c r="AH193" i="44"/>
  <c r="AW193" i="44" s="1"/>
  <c r="AI193" i="44"/>
  <c r="AX193" i="44" s="1"/>
  <c r="AJ193" i="44"/>
  <c r="AY193" i="44" s="1"/>
  <c r="AK193" i="44"/>
  <c r="AZ193" i="44" s="1"/>
  <c r="AL193" i="44"/>
  <c r="BA193" i="44" s="1"/>
  <c r="AM193" i="44"/>
  <c r="BB193" i="44" s="1"/>
  <c r="AN193" i="44"/>
  <c r="BC193" i="44" s="1"/>
  <c r="AE194" i="44"/>
  <c r="AT194" i="44" s="1"/>
  <c r="AF194" i="44"/>
  <c r="AU194" i="44" s="1"/>
  <c r="AG194" i="44"/>
  <c r="AV194" i="44" s="1"/>
  <c r="AH194" i="44"/>
  <c r="AW194" i="44" s="1"/>
  <c r="AI194" i="44"/>
  <c r="AX194" i="44" s="1"/>
  <c r="AJ194" i="44"/>
  <c r="AY194" i="44" s="1"/>
  <c r="AK194" i="44"/>
  <c r="AZ194" i="44" s="1"/>
  <c r="AL194" i="44"/>
  <c r="BA194" i="44" s="1"/>
  <c r="AM194" i="44"/>
  <c r="BB194" i="44" s="1"/>
  <c r="AN194" i="44"/>
  <c r="BC194" i="44" s="1"/>
  <c r="AE195" i="44"/>
  <c r="AT195" i="44" s="1"/>
  <c r="AF195" i="44"/>
  <c r="AU195" i="44" s="1"/>
  <c r="AG195" i="44"/>
  <c r="AV195" i="44" s="1"/>
  <c r="AH195" i="44"/>
  <c r="AW195" i="44" s="1"/>
  <c r="AI195" i="44"/>
  <c r="AX195" i="44" s="1"/>
  <c r="AJ195" i="44"/>
  <c r="AY195" i="44" s="1"/>
  <c r="AK195" i="44"/>
  <c r="AZ195" i="44" s="1"/>
  <c r="AL195" i="44"/>
  <c r="BA195" i="44" s="1"/>
  <c r="AM195" i="44"/>
  <c r="BB195" i="44" s="1"/>
  <c r="AN195" i="44"/>
  <c r="BC195" i="44" s="1"/>
  <c r="AE196" i="44"/>
  <c r="AT196" i="44" s="1"/>
  <c r="AF196" i="44"/>
  <c r="AU196" i="44" s="1"/>
  <c r="AG196" i="44"/>
  <c r="AV196" i="44" s="1"/>
  <c r="AH196" i="44"/>
  <c r="AW196" i="44" s="1"/>
  <c r="AI196" i="44"/>
  <c r="AX196" i="44" s="1"/>
  <c r="AJ196" i="44"/>
  <c r="AY196" i="44" s="1"/>
  <c r="AK196" i="44"/>
  <c r="AZ196" i="44" s="1"/>
  <c r="AL196" i="44"/>
  <c r="BA196" i="44" s="1"/>
  <c r="AM196" i="44"/>
  <c r="BB196" i="44" s="1"/>
  <c r="AN196" i="44"/>
  <c r="BC196" i="44" s="1"/>
  <c r="AE197" i="44"/>
  <c r="AT197" i="44" s="1"/>
  <c r="AF197" i="44"/>
  <c r="AU197" i="44" s="1"/>
  <c r="AG197" i="44"/>
  <c r="AV197" i="44" s="1"/>
  <c r="AH197" i="44"/>
  <c r="AW197" i="44" s="1"/>
  <c r="AI197" i="44"/>
  <c r="AX197" i="44" s="1"/>
  <c r="AJ197" i="44"/>
  <c r="AY197" i="44" s="1"/>
  <c r="AK197" i="44"/>
  <c r="AZ197" i="44" s="1"/>
  <c r="AL197" i="44"/>
  <c r="BA197" i="44" s="1"/>
  <c r="AM197" i="44"/>
  <c r="BB197" i="44" s="1"/>
  <c r="AN197" i="44"/>
  <c r="BC197" i="44" s="1"/>
  <c r="AE198" i="44"/>
  <c r="AT198" i="44" s="1"/>
  <c r="AF198" i="44"/>
  <c r="AU198" i="44" s="1"/>
  <c r="AG198" i="44"/>
  <c r="AV198" i="44" s="1"/>
  <c r="AH198" i="44"/>
  <c r="AW198" i="44" s="1"/>
  <c r="AI198" i="44"/>
  <c r="AX198" i="44" s="1"/>
  <c r="AJ198" i="44"/>
  <c r="AY198" i="44" s="1"/>
  <c r="AK198" i="44"/>
  <c r="AZ198" i="44" s="1"/>
  <c r="AL198" i="44"/>
  <c r="BA198" i="44" s="1"/>
  <c r="AM198" i="44"/>
  <c r="BB198" i="44" s="1"/>
  <c r="AN198" i="44"/>
  <c r="BC198" i="44" s="1"/>
  <c r="AE199" i="44"/>
  <c r="AT199" i="44" s="1"/>
  <c r="AF199" i="44"/>
  <c r="AU199" i="44" s="1"/>
  <c r="AG199" i="44"/>
  <c r="AV199" i="44" s="1"/>
  <c r="AH199" i="44"/>
  <c r="AW199" i="44" s="1"/>
  <c r="AI199" i="44"/>
  <c r="AX199" i="44" s="1"/>
  <c r="AJ199" i="44"/>
  <c r="AY199" i="44" s="1"/>
  <c r="AK199" i="44"/>
  <c r="AZ199" i="44" s="1"/>
  <c r="AL199" i="44"/>
  <c r="BA199" i="44" s="1"/>
  <c r="AM199" i="44"/>
  <c r="BB199" i="44" s="1"/>
  <c r="AN199" i="44"/>
  <c r="BC199" i="44" s="1"/>
  <c r="AE200" i="44"/>
  <c r="AT200" i="44" s="1"/>
  <c r="AF200" i="44"/>
  <c r="AU200" i="44" s="1"/>
  <c r="AG200" i="44"/>
  <c r="AV200" i="44" s="1"/>
  <c r="AH200" i="44"/>
  <c r="AW200" i="44" s="1"/>
  <c r="AI200" i="44"/>
  <c r="AX200" i="44" s="1"/>
  <c r="AJ200" i="44"/>
  <c r="AY200" i="44" s="1"/>
  <c r="AK200" i="44"/>
  <c r="AZ200" i="44" s="1"/>
  <c r="AL200" i="44"/>
  <c r="BA200" i="44" s="1"/>
  <c r="AM200" i="44"/>
  <c r="BB200" i="44" s="1"/>
  <c r="AN200" i="44"/>
  <c r="BC200" i="44" s="1"/>
  <c r="AE201" i="44"/>
  <c r="AT201" i="44" s="1"/>
  <c r="AF201" i="44"/>
  <c r="AU201" i="44" s="1"/>
  <c r="AG201" i="44"/>
  <c r="AV201" i="44" s="1"/>
  <c r="AH201" i="44"/>
  <c r="AW201" i="44" s="1"/>
  <c r="AI201" i="44"/>
  <c r="AX201" i="44" s="1"/>
  <c r="AJ201" i="44"/>
  <c r="AY201" i="44" s="1"/>
  <c r="AK201" i="44"/>
  <c r="AZ201" i="44" s="1"/>
  <c r="AL201" i="44"/>
  <c r="BA201" i="44" s="1"/>
  <c r="AM201" i="44"/>
  <c r="BB201" i="44" s="1"/>
  <c r="AN201" i="44"/>
  <c r="BC201" i="44" s="1"/>
  <c r="AE202" i="44"/>
  <c r="AT202" i="44" s="1"/>
  <c r="AF202" i="44"/>
  <c r="AU202" i="44" s="1"/>
  <c r="AG202" i="44"/>
  <c r="AV202" i="44" s="1"/>
  <c r="AH202" i="44"/>
  <c r="AW202" i="44" s="1"/>
  <c r="AI202" i="44"/>
  <c r="AX202" i="44" s="1"/>
  <c r="AJ202" i="44"/>
  <c r="AY202" i="44" s="1"/>
  <c r="AK202" i="44"/>
  <c r="AZ202" i="44" s="1"/>
  <c r="AL202" i="44"/>
  <c r="BA202" i="44" s="1"/>
  <c r="AM202" i="44"/>
  <c r="BB202" i="44" s="1"/>
  <c r="AN202" i="44"/>
  <c r="BC202" i="44" s="1"/>
  <c r="AE203" i="44"/>
  <c r="AT203" i="44" s="1"/>
  <c r="AF203" i="44"/>
  <c r="AU203" i="44" s="1"/>
  <c r="AG203" i="44"/>
  <c r="AV203" i="44" s="1"/>
  <c r="AH203" i="44"/>
  <c r="AW203" i="44" s="1"/>
  <c r="AI203" i="44"/>
  <c r="AX203" i="44" s="1"/>
  <c r="AJ203" i="44"/>
  <c r="AY203" i="44" s="1"/>
  <c r="AK203" i="44"/>
  <c r="AZ203" i="44" s="1"/>
  <c r="AL203" i="44"/>
  <c r="BA203" i="44" s="1"/>
  <c r="AM203" i="44"/>
  <c r="BB203" i="44" s="1"/>
  <c r="AN203" i="44"/>
  <c r="BC203" i="44" s="1"/>
  <c r="AE204" i="44"/>
  <c r="AT204" i="44" s="1"/>
  <c r="AF204" i="44"/>
  <c r="AU204" i="44" s="1"/>
  <c r="AG204" i="44"/>
  <c r="AV204" i="44" s="1"/>
  <c r="AH204" i="44"/>
  <c r="AW204" i="44" s="1"/>
  <c r="AI204" i="44"/>
  <c r="AX204" i="44" s="1"/>
  <c r="AJ204" i="44"/>
  <c r="AY204" i="44" s="1"/>
  <c r="AK204" i="44"/>
  <c r="AZ204" i="44" s="1"/>
  <c r="AL204" i="44"/>
  <c r="BA204" i="44" s="1"/>
  <c r="AM204" i="44"/>
  <c r="BB204" i="44" s="1"/>
  <c r="AN204" i="44"/>
  <c r="BC204" i="44" s="1"/>
  <c r="AE205" i="44"/>
  <c r="AT205" i="44" s="1"/>
  <c r="AF205" i="44"/>
  <c r="AU205" i="44" s="1"/>
  <c r="AG205" i="44"/>
  <c r="AV205" i="44" s="1"/>
  <c r="AH205" i="44"/>
  <c r="AW205" i="44" s="1"/>
  <c r="AI205" i="44"/>
  <c r="AX205" i="44" s="1"/>
  <c r="AJ205" i="44"/>
  <c r="AY205" i="44" s="1"/>
  <c r="AK205" i="44"/>
  <c r="AZ205" i="44" s="1"/>
  <c r="AL205" i="44"/>
  <c r="BA205" i="44" s="1"/>
  <c r="AM205" i="44"/>
  <c r="BB205" i="44" s="1"/>
  <c r="AN205" i="44"/>
  <c r="BC205" i="44" s="1"/>
  <c r="AE206" i="44"/>
  <c r="AT206" i="44" s="1"/>
  <c r="AF206" i="44"/>
  <c r="AU206" i="44" s="1"/>
  <c r="AG206" i="44"/>
  <c r="AV206" i="44" s="1"/>
  <c r="AH206" i="44"/>
  <c r="AW206" i="44" s="1"/>
  <c r="AI206" i="44"/>
  <c r="AX206" i="44" s="1"/>
  <c r="AJ206" i="44"/>
  <c r="AY206" i="44" s="1"/>
  <c r="AK206" i="44"/>
  <c r="AZ206" i="44" s="1"/>
  <c r="AL206" i="44"/>
  <c r="BA206" i="44" s="1"/>
  <c r="AM206" i="44"/>
  <c r="BB206" i="44" s="1"/>
  <c r="AN206" i="44"/>
  <c r="BC206" i="44" s="1"/>
  <c r="AE207" i="44"/>
  <c r="AT207" i="44" s="1"/>
  <c r="AF207" i="44"/>
  <c r="AU207" i="44" s="1"/>
  <c r="AG207" i="44"/>
  <c r="AV207" i="44" s="1"/>
  <c r="AH207" i="44"/>
  <c r="AW207" i="44" s="1"/>
  <c r="AI207" i="44"/>
  <c r="AX207" i="44" s="1"/>
  <c r="AJ207" i="44"/>
  <c r="AY207" i="44" s="1"/>
  <c r="AK207" i="44"/>
  <c r="AZ207" i="44" s="1"/>
  <c r="AL207" i="44"/>
  <c r="BA207" i="44" s="1"/>
  <c r="AM207" i="44"/>
  <c r="BB207" i="44" s="1"/>
  <c r="AN207" i="44"/>
  <c r="BC207" i="44" s="1"/>
  <c r="AE208" i="44"/>
  <c r="AT208" i="44" s="1"/>
  <c r="AF208" i="44"/>
  <c r="AU208" i="44" s="1"/>
  <c r="AG208" i="44"/>
  <c r="AV208" i="44" s="1"/>
  <c r="AH208" i="44"/>
  <c r="AW208" i="44" s="1"/>
  <c r="AI208" i="44"/>
  <c r="AX208" i="44" s="1"/>
  <c r="AJ208" i="44"/>
  <c r="AY208" i="44" s="1"/>
  <c r="AK208" i="44"/>
  <c r="AZ208" i="44" s="1"/>
  <c r="AL208" i="44"/>
  <c r="BA208" i="44" s="1"/>
  <c r="AM208" i="44"/>
  <c r="BB208" i="44" s="1"/>
  <c r="AN208" i="44"/>
  <c r="BC208" i="44" s="1"/>
  <c r="AE209" i="44"/>
  <c r="AT209" i="44" s="1"/>
  <c r="AF209" i="44"/>
  <c r="AU209" i="44" s="1"/>
  <c r="AG209" i="44"/>
  <c r="AV209" i="44" s="1"/>
  <c r="AH209" i="44"/>
  <c r="AW209" i="44" s="1"/>
  <c r="AI209" i="44"/>
  <c r="AX209" i="44" s="1"/>
  <c r="AJ209" i="44"/>
  <c r="AY209" i="44" s="1"/>
  <c r="AK209" i="44"/>
  <c r="AZ209" i="44" s="1"/>
  <c r="AL209" i="44"/>
  <c r="BA209" i="44" s="1"/>
  <c r="AM209" i="44"/>
  <c r="BB209" i="44" s="1"/>
  <c r="AN209" i="44"/>
  <c r="BC209" i="44" s="1"/>
  <c r="AE210" i="44"/>
  <c r="AT210" i="44" s="1"/>
  <c r="AF210" i="44"/>
  <c r="AU210" i="44" s="1"/>
  <c r="AG210" i="44"/>
  <c r="AV210" i="44" s="1"/>
  <c r="AH210" i="44"/>
  <c r="AW210" i="44" s="1"/>
  <c r="AI210" i="44"/>
  <c r="AX210" i="44" s="1"/>
  <c r="AJ210" i="44"/>
  <c r="AY210" i="44" s="1"/>
  <c r="AK210" i="44"/>
  <c r="AZ210" i="44" s="1"/>
  <c r="AL210" i="44"/>
  <c r="BA210" i="44" s="1"/>
  <c r="AM210" i="44"/>
  <c r="BB210" i="44" s="1"/>
  <c r="AN210" i="44"/>
  <c r="BC210" i="44" s="1"/>
  <c r="AE211" i="44"/>
  <c r="AT211" i="44" s="1"/>
  <c r="AF211" i="44"/>
  <c r="AU211" i="44" s="1"/>
  <c r="AG211" i="44"/>
  <c r="AV211" i="44" s="1"/>
  <c r="AH211" i="44"/>
  <c r="AW211" i="44" s="1"/>
  <c r="AI211" i="44"/>
  <c r="AX211" i="44" s="1"/>
  <c r="AJ211" i="44"/>
  <c r="AY211" i="44" s="1"/>
  <c r="AK211" i="44"/>
  <c r="AZ211" i="44" s="1"/>
  <c r="AL211" i="44"/>
  <c r="BA211" i="44" s="1"/>
  <c r="AM211" i="44"/>
  <c r="BB211" i="44" s="1"/>
  <c r="AN211" i="44"/>
  <c r="BC211" i="44" s="1"/>
  <c r="AE212" i="44"/>
  <c r="AT212" i="44" s="1"/>
  <c r="AF212" i="44"/>
  <c r="AU212" i="44" s="1"/>
  <c r="AG212" i="44"/>
  <c r="AV212" i="44" s="1"/>
  <c r="AH212" i="44"/>
  <c r="AW212" i="44" s="1"/>
  <c r="AI212" i="44"/>
  <c r="AX212" i="44" s="1"/>
  <c r="AJ212" i="44"/>
  <c r="AY212" i="44" s="1"/>
  <c r="AK212" i="44"/>
  <c r="AZ212" i="44" s="1"/>
  <c r="AL212" i="44"/>
  <c r="BA212" i="44" s="1"/>
  <c r="AM212" i="44"/>
  <c r="BB212" i="44" s="1"/>
  <c r="AN212" i="44"/>
  <c r="BC212" i="44" s="1"/>
  <c r="AE213" i="44"/>
  <c r="AT213" i="44" s="1"/>
  <c r="AF213" i="44"/>
  <c r="AU213" i="44" s="1"/>
  <c r="AG213" i="44"/>
  <c r="AV213" i="44" s="1"/>
  <c r="AH213" i="44"/>
  <c r="AW213" i="44" s="1"/>
  <c r="AI213" i="44"/>
  <c r="AX213" i="44" s="1"/>
  <c r="AJ213" i="44"/>
  <c r="AY213" i="44" s="1"/>
  <c r="AK213" i="44"/>
  <c r="AZ213" i="44" s="1"/>
  <c r="AL213" i="44"/>
  <c r="BA213" i="44" s="1"/>
  <c r="AM213" i="44"/>
  <c r="BB213" i="44" s="1"/>
  <c r="AN213" i="44"/>
  <c r="BC213" i="44" s="1"/>
  <c r="AE214" i="44"/>
  <c r="AT214" i="44" s="1"/>
  <c r="AF214" i="44"/>
  <c r="AU214" i="44" s="1"/>
  <c r="AG214" i="44"/>
  <c r="AV214" i="44" s="1"/>
  <c r="AH214" i="44"/>
  <c r="AW214" i="44" s="1"/>
  <c r="AI214" i="44"/>
  <c r="AX214" i="44" s="1"/>
  <c r="AJ214" i="44"/>
  <c r="AY214" i="44" s="1"/>
  <c r="AK214" i="44"/>
  <c r="AZ214" i="44" s="1"/>
  <c r="AL214" i="44"/>
  <c r="BA214" i="44" s="1"/>
  <c r="AM214" i="44"/>
  <c r="BB214" i="44" s="1"/>
  <c r="AN214" i="44"/>
  <c r="BC214" i="44" s="1"/>
  <c r="AE215" i="44"/>
  <c r="AT215" i="44" s="1"/>
  <c r="AF215" i="44"/>
  <c r="AU215" i="44" s="1"/>
  <c r="AG215" i="44"/>
  <c r="AV215" i="44" s="1"/>
  <c r="AH215" i="44"/>
  <c r="AW215" i="44" s="1"/>
  <c r="AI215" i="44"/>
  <c r="AX215" i="44" s="1"/>
  <c r="AJ215" i="44"/>
  <c r="AY215" i="44" s="1"/>
  <c r="AK215" i="44"/>
  <c r="AZ215" i="44" s="1"/>
  <c r="AL215" i="44"/>
  <c r="BA215" i="44" s="1"/>
  <c r="AM215" i="44"/>
  <c r="BB215" i="44" s="1"/>
  <c r="AN215" i="44"/>
  <c r="BC215" i="44" s="1"/>
  <c r="AE216" i="44"/>
  <c r="AT216" i="44" s="1"/>
  <c r="AF216" i="44"/>
  <c r="AU216" i="44" s="1"/>
  <c r="AG216" i="44"/>
  <c r="AV216" i="44" s="1"/>
  <c r="AH216" i="44"/>
  <c r="AW216" i="44" s="1"/>
  <c r="AI216" i="44"/>
  <c r="AX216" i="44" s="1"/>
  <c r="AJ216" i="44"/>
  <c r="AY216" i="44" s="1"/>
  <c r="AK216" i="44"/>
  <c r="AZ216" i="44" s="1"/>
  <c r="AL216" i="44"/>
  <c r="BA216" i="44" s="1"/>
  <c r="AM216" i="44"/>
  <c r="BB216" i="44" s="1"/>
  <c r="AN216" i="44"/>
  <c r="BC216" i="44" s="1"/>
  <c r="AE217" i="44"/>
  <c r="AT217" i="44" s="1"/>
  <c r="AF217" i="44"/>
  <c r="AU217" i="44" s="1"/>
  <c r="AG217" i="44"/>
  <c r="AV217" i="44" s="1"/>
  <c r="AH217" i="44"/>
  <c r="AW217" i="44" s="1"/>
  <c r="AI217" i="44"/>
  <c r="AX217" i="44" s="1"/>
  <c r="AJ217" i="44"/>
  <c r="AY217" i="44" s="1"/>
  <c r="AK217" i="44"/>
  <c r="AZ217" i="44" s="1"/>
  <c r="AL217" i="44"/>
  <c r="BA217" i="44" s="1"/>
  <c r="AM217" i="44"/>
  <c r="BB217" i="44" s="1"/>
  <c r="AN217" i="44"/>
  <c r="BC217" i="44" s="1"/>
  <c r="AE218" i="44"/>
  <c r="AT218" i="44" s="1"/>
  <c r="AF218" i="44"/>
  <c r="AU218" i="44" s="1"/>
  <c r="AG218" i="44"/>
  <c r="AV218" i="44" s="1"/>
  <c r="AH218" i="44"/>
  <c r="AW218" i="44" s="1"/>
  <c r="AI218" i="44"/>
  <c r="AX218" i="44" s="1"/>
  <c r="AJ218" i="44"/>
  <c r="AY218" i="44" s="1"/>
  <c r="AK218" i="44"/>
  <c r="AZ218" i="44" s="1"/>
  <c r="AL218" i="44"/>
  <c r="BA218" i="44" s="1"/>
  <c r="AM218" i="44"/>
  <c r="BB218" i="44" s="1"/>
  <c r="AN218" i="44"/>
  <c r="BC218" i="44" s="1"/>
  <c r="AE219" i="44"/>
  <c r="AT219" i="44" s="1"/>
  <c r="AF219" i="44"/>
  <c r="AU219" i="44" s="1"/>
  <c r="AG219" i="44"/>
  <c r="AV219" i="44" s="1"/>
  <c r="AH219" i="44"/>
  <c r="AW219" i="44" s="1"/>
  <c r="AI219" i="44"/>
  <c r="AX219" i="44" s="1"/>
  <c r="AJ219" i="44"/>
  <c r="AY219" i="44" s="1"/>
  <c r="AK219" i="44"/>
  <c r="AZ219" i="44" s="1"/>
  <c r="AL219" i="44"/>
  <c r="BA219" i="44" s="1"/>
  <c r="AM219" i="44"/>
  <c r="BB219" i="44" s="1"/>
  <c r="AN219" i="44"/>
  <c r="BC219" i="44" s="1"/>
  <c r="AE220" i="44"/>
  <c r="AT220" i="44" s="1"/>
  <c r="AF220" i="44"/>
  <c r="AU220" i="44" s="1"/>
  <c r="AG220" i="44"/>
  <c r="AV220" i="44" s="1"/>
  <c r="AH220" i="44"/>
  <c r="AW220" i="44" s="1"/>
  <c r="AI220" i="44"/>
  <c r="AX220" i="44" s="1"/>
  <c r="AJ220" i="44"/>
  <c r="AY220" i="44" s="1"/>
  <c r="AK220" i="44"/>
  <c r="AZ220" i="44" s="1"/>
  <c r="AL220" i="44"/>
  <c r="BA220" i="44" s="1"/>
  <c r="AM220" i="44"/>
  <c r="BB220" i="44" s="1"/>
  <c r="AN220" i="44"/>
  <c r="BC220" i="44" s="1"/>
  <c r="AE221" i="44"/>
  <c r="AT221" i="44" s="1"/>
  <c r="AF221" i="44"/>
  <c r="AU221" i="44" s="1"/>
  <c r="AG221" i="44"/>
  <c r="AV221" i="44" s="1"/>
  <c r="AH221" i="44"/>
  <c r="AW221" i="44" s="1"/>
  <c r="AI221" i="44"/>
  <c r="AX221" i="44" s="1"/>
  <c r="AJ221" i="44"/>
  <c r="AY221" i="44" s="1"/>
  <c r="AK221" i="44"/>
  <c r="AZ221" i="44" s="1"/>
  <c r="AL221" i="44"/>
  <c r="BA221" i="44" s="1"/>
  <c r="AM221" i="44"/>
  <c r="BB221" i="44" s="1"/>
  <c r="AN221" i="44"/>
  <c r="BC221" i="44" s="1"/>
  <c r="AE222" i="44"/>
  <c r="AT222" i="44" s="1"/>
  <c r="AF222" i="44"/>
  <c r="AU222" i="44" s="1"/>
  <c r="AG222" i="44"/>
  <c r="AV222" i="44" s="1"/>
  <c r="AH222" i="44"/>
  <c r="AW222" i="44" s="1"/>
  <c r="AI222" i="44"/>
  <c r="AX222" i="44" s="1"/>
  <c r="AJ222" i="44"/>
  <c r="AY222" i="44" s="1"/>
  <c r="AK222" i="44"/>
  <c r="AZ222" i="44" s="1"/>
  <c r="AL222" i="44"/>
  <c r="BA222" i="44" s="1"/>
  <c r="AM222" i="44"/>
  <c r="BB222" i="44" s="1"/>
  <c r="AN222" i="44"/>
  <c r="BC222" i="44" s="1"/>
  <c r="AE223" i="44"/>
  <c r="AT223" i="44" s="1"/>
  <c r="AF223" i="44"/>
  <c r="AU223" i="44" s="1"/>
  <c r="AG223" i="44"/>
  <c r="AV223" i="44" s="1"/>
  <c r="AH223" i="44"/>
  <c r="AW223" i="44" s="1"/>
  <c r="AI223" i="44"/>
  <c r="AX223" i="44" s="1"/>
  <c r="AJ223" i="44"/>
  <c r="AY223" i="44" s="1"/>
  <c r="AK223" i="44"/>
  <c r="AZ223" i="44" s="1"/>
  <c r="AL223" i="44"/>
  <c r="BA223" i="44" s="1"/>
  <c r="AM223" i="44"/>
  <c r="BB223" i="44" s="1"/>
  <c r="AN223" i="44"/>
  <c r="BC223" i="44" s="1"/>
  <c r="AE224" i="44"/>
  <c r="AT224" i="44" s="1"/>
  <c r="AF224" i="44"/>
  <c r="AU224" i="44" s="1"/>
  <c r="AG224" i="44"/>
  <c r="AV224" i="44" s="1"/>
  <c r="AH224" i="44"/>
  <c r="AW224" i="44" s="1"/>
  <c r="AI224" i="44"/>
  <c r="AX224" i="44" s="1"/>
  <c r="AJ224" i="44"/>
  <c r="AY224" i="44" s="1"/>
  <c r="AK224" i="44"/>
  <c r="AZ224" i="44" s="1"/>
  <c r="AL224" i="44"/>
  <c r="BA224" i="44" s="1"/>
  <c r="AM224" i="44"/>
  <c r="BB224" i="44" s="1"/>
  <c r="AN224" i="44"/>
  <c r="BC224" i="44" s="1"/>
  <c r="AE225" i="44"/>
  <c r="AT225" i="44" s="1"/>
  <c r="AF225" i="44"/>
  <c r="AU225" i="44" s="1"/>
  <c r="AG225" i="44"/>
  <c r="AV225" i="44" s="1"/>
  <c r="AH225" i="44"/>
  <c r="AW225" i="44" s="1"/>
  <c r="AI225" i="44"/>
  <c r="AX225" i="44" s="1"/>
  <c r="AJ225" i="44"/>
  <c r="AY225" i="44" s="1"/>
  <c r="AK225" i="44"/>
  <c r="AZ225" i="44" s="1"/>
  <c r="AL225" i="44"/>
  <c r="BA225" i="44" s="1"/>
  <c r="AM225" i="44"/>
  <c r="BB225" i="44" s="1"/>
  <c r="AN225" i="44"/>
  <c r="BC225" i="44" s="1"/>
  <c r="AE226" i="44"/>
  <c r="AT226" i="44" s="1"/>
  <c r="AF226" i="44"/>
  <c r="AU226" i="44" s="1"/>
  <c r="AG226" i="44"/>
  <c r="AV226" i="44" s="1"/>
  <c r="AH226" i="44"/>
  <c r="AW226" i="44" s="1"/>
  <c r="AI226" i="44"/>
  <c r="AX226" i="44" s="1"/>
  <c r="AJ226" i="44"/>
  <c r="AY226" i="44" s="1"/>
  <c r="AK226" i="44"/>
  <c r="AZ226" i="44" s="1"/>
  <c r="AL226" i="44"/>
  <c r="BA226" i="44" s="1"/>
  <c r="AM226" i="44"/>
  <c r="BB226" i="44" s="1"/>
  <c r="AN226" i="44"/>
  <c r="BC226" i="44" s="1"/>
  <c r="AE227" i="44"/>
  <c r="AT227" i="44" s="1"/>
  <c r="AF227" i="44"/>
  <c r="AU227" i="44" s="1"/>
  <c r="AG227" i="44"/>
  <c r="AV227" i="44" s="1"/>
  <c r="AH227" i="44"/>
  <c r="AW227" i="44" s="1"/>
  <c r="AI227" i="44"/>
  <c r="AX227" i="44" s="1"/>
  <c r="AJ227" i="44"/>
  <c r="AY227" i="44" s="1"/>
  <c r="AK227" i="44"/>
  <c r="AZ227" i="44" s="1"/>
  <c r="AL227" i="44"/>
  <c r="BA227" i="44" s="1"/>
  <c r="AM227" i="44"/>
  <c r="BB227" i="44" s="1"/>
  <c r="AN227" i="44"/>
  <c r="BC227" i="44" s="1"/>
  <c r="AE228" i="44"/>
  <c r="AT228" i="44" s="1"/>
  <c r="AF228" i="44"/>
  <c r="AU228" i="44" s="1"/>
  <c r="AG228" i="44"/>
  <c r="AV228" i="44" s="1"/>
  <c r="AH228" i="44"/>
  <c r="AW228" i="44" s="1"/>
  <c r="AI228" i="44"/>
  <c r="AX228" i="44" s="1"/>
  <c r="AJ228" i="44"/>
  <c r="AY228" i="44" s="1"/>
  <c r="AK228" i="44"/>
  <c r="AZ228" i="44" s="1"/>
  <c r="AL228" i="44"/>
  <c r="BA228" i="44" s="1"/>
  <c r="AM228" i="44"/>
  <c r="BB228" i="44" s="1"/>
  <c r="AN228" i="44"/>
  <c r="BC228" i="44" s="1"/>
  <c r="AE229" i="44"/>
  <c r="AT229" i="44" s="1"/>
  <c r="AF229" i="44"/>
  <c r="AU229" i="44" s="1"/>
  <c r="AG229" i="44"/>
  <c r="AV229" i="44" s="1"/>
  <c r="AH229" i="44"/>
  <c r="AW229" i="44" s="1"/>
  <c r="AI229" i="44"/>
  <c r="AX229" i="44" s="1"/>
  <c r="AJ229" i="44"/>
  <c r="AY229" i="44" s="1"/>
  <c r="AK229" i="44"/>
  <c r="AZ229" i="44" s="1"/>
  <c r="AL229" i="44"/>
  <c r="BA229" i="44" s="1"/>
  <c r="AM229" i="44"/>
  <c r="BB229" i="44" s="1"/>
  <c r="AN229" i="44"/>
  <c r="BC229" i="44" s="1"/>
  <c r="AE230" i="44"/>
  <c r="AT230" i="44" s="1"/>
  <c r="AF230" i="44"/>
  <c r="AU230" i="44" s="1"/>
  <c r="AG230" i="44"/>
  <c r="AV230" i="44" s="1"/>
  <c r="AH230" i="44"/>
  <c r="AW230" i="44" s="1"/>
  <c r="AI230" i="44"/>
  <c r="AX230" i="44" s="1"/>
  <c r="AJ230" i="44"/>
  <c r="AY230" i="44" s="1"/>
  <c r="AK230" i="44"/>
  <c r="AZ230" i="44" s="1"/>
  <c r="AL230" i="44"/>
  <c r="BA230" i="44" s="1"/>
  <c r="AM230" i="44"/>
  <c r="BB230" i="44" s="1"/>
  <c r="AN230" i="44"/>
  <c r="BC230" i="44" s="1"/>
  <c r="AE231" i="44"/>
  <c r="AT231" i="44" s="1"/>
  <c r="AF231" i="44"/>
  <c r="AU231" i="44" s="1"/>
  <c r="AG231" i="44"/>
  <c r="AV231" i="44" s="1"/>
  <c r="AH231" i="44"/>
  <c r="AW231" i="44" s="1"/>
  <c r="AI231" i="44"/>
  <c r="AX231" i="44" s="1"/>
  <c r="AJ231" i="44"/>
  <c r="AY231" i="44" s="1"/>
  <c r="AK231" i="44"/>
  <c r="AZ231" i="44" s="1"/>
  <c r="AL231" i="44"/>
  <c r="BA231" i="44" s="1"/>
  <c r="AM231" i="44"/>
  <c r="BB231" i="44" s="1"/>
  <c r="AN231" i="44"/>
  <c r="BC231" i="44" s="1"/>
  <c r="AE232" i="44"/>
  <c r="AT232" i="44" s="1"/>
  <c r="AF232" i="44"/>
  <c r="AU232" i="44" s="1"/>
  <c r="AG232" i="44"/>
  <c r="AV232" i="44" s="1"/>
  <c r="AH232" i="44"/>
  <c r="AW232" i="44" s="1"/>
  <c r="AI232" i="44"/>
  <c r="AX232" i="44" s="1"/>
  <c r="AJ232" i="44"/>
  <c r="AY232" i="44" s="1"/>
  <c r="AK232" i="44"/>
  <c r="AZ232" i="44" s="1"/>
  <c r="AL232" i="44"/>
  <c r="BA232" i="44" s="1"/>
  <c r="AM232" i="44"/>
  <c r="BB232" i="44" s="1"/>
  <c r="AN232" i="44"/>
  <c r="BC232" i="44" s="1"/>
  <c r="AE233" i="44"/>
  <c r="AT233" i="44" s="1"/>
  <c r="AF233" i="44"/>
  <c r="AU233" i="44" s="1"/>
  <c r="AG233" i="44"/>
  <c r="AV233" i="44" s="1"/>
  <c r="AH233" i="44"/>
  <c r="AW233" i="44" s="1"/>
  <c r="AI233" i="44"/>
  <c r="AX233" i="44" s="1"/>
  <c r="AJ233" i="44"/>
  <c r="AY233" i="44" s="1"/>
  <c r="AK233" i="44"/>
  <c r="AZ233" i="44" s="1"/>
  <c r="AL233" i="44"/>
  <c r="BA233" i="44" s="1"/>
  <c r="AM233" i="44"/>
  <c r="BB233" i="44" s="1"/>
  <c r="AN233" i="44"/>
  <c r="BC233" i="44" s="1"/>
  <c r="AE234" i="44"/>
  <c r="AT234" i="44" s="1"/>
  <c r="AF234" i="44"/>
  <c r="AU234" i="44" s="1"/>
  <c r="AG234" i="44"/>
  <c r="AV234" i="44" s="1"/>
  <c r="AH234" i="44"/>
  <c r="AW234" i="44" s="1"/>
  <c r="AI234" i="44"/>
  <c r="AX234" i="44" s="1"/>
  <c r="AJ234" i="44"/>
  <c r="AY234" i="44" s="1"/>
  <c r="AK234" i="44"/>
  <c r="AZ234" i="44" s="1"/>
  <c r="AL234" i="44"/>
  <c r="BA234" i="44" s="1"/>
  <c r="AM234" i="44"/>
  <c r="BB234" i="44" s="1"/>
  <c r="AN234" i="44"/>
  <c r="BC234" i="44" s="1"/>
  <c r="AE235" i="44"/>
  <c r="AT235" i="44" s="1"/>
  <c r="AF235" i="44"/>
  <c r="AU235" i="44" s="1"/>
  <c r="AG235" i="44"/>
  <c r="AV235" i="44" s="1"/>
  <c r="AH235" i="44"/>
  <c r="AW235" i="44" s="1"/>
  <c r="AI235" i="44"/>
  <c r="AX235" i="44" s="1"/>
  <c r="AJ235" i="44"/>
  <c r="AY235" i="44" s="1"/>
  <c r="AK235" i="44"/>
  <c r="AZ235" i="44" s="1"/>
  <c r="AL235" i="44"/>
  <c r="BA235" i="44" s="1"/>
  <c r="AM235" i="44"/>
  <c r="BB235" i="44" s="1"/>
  <c r="AN235" i="44"/>
  <c r="BC235" i="44" s="1"/>
  <c r="AE236" i="44"/>
  <c r="AT236" i="44" s="1"/>
  <c r="AF236" i="44"/>
  <c r="AU236" i="44" s="1"/>
  <c r="AG236" i="44"/>
  <c r="AV236" i="44" s="1"/>
  <c r="AH236" i="44"/>
  <c r="AW236" i="44" s="1"/>
  <c r="AI236" i="44"/>
  <c r="AX236" i="44" s="1"/>
  <c r="AJ236" i="44"/>
  <c r="AY236" i="44" s="1"/>
  <c r="AK236" i="44"/>
  <c r="AZ236" i="44" s="1"/>
  <c r="AL236" i="44"/>
  <c r="BA236" i="44" s="1"/>
  <c r="AM236" i="44"/>
  <c r="BB236" i="44" s="1"/>
  <c r="AN236" i="44"/>
  <c r="BC236" i="44" s="1"/>
  <c r="AE237" i="44"/>
  <c r="AT237" i="44" s="1"/>
  <c r="AF237" i="44"/>
  <c r="AU237" i="44" s="1"/>
  <c r="AG237" i="44"/>
  <c r="AV237" i="44" s="1"/>
  <c r="AH237" i="44"/>
  <c r="AW237" i="44" s="1"/>
  <c r="AI237" i="44"/>
  <c r="AX237" i="44" s="1"/>
  <c r="AJ237" i="44"/>
  <c r="AY237" i="44" s="1"/>
  <c r="AK237" i="44"/>
  <c r="AZ237" i="44" s="1"/>
  <c r="AL237" i="44"/>
  <c r="BA237" i="44" s="1"/>
  <c r="AM237" i="44"/>
  <c r="BB237" i="44" s="1"/>
  <c r="AN237" i="44"/>
  <c r="BC237" i="44" s="1"/>
  <c r="AE238" i="44"/>
  <c r="AT238" i="44" s="1"/>
  <c r="AF238" i="44"/>
  <c r="AU238" i="44" s="1"/>
  <c r="AG238" i="44"/>
  <c r="AV238" i="44" s="1"/>
  <c r="AH238" i="44"/>
  <c r="AW238" i="44" s="1"/>
  <c r="AI238" i="44"/>
  <c r="AX238" i="44" s="1"/>
  <c r="AJ238" i="44"/>
  <c r="AY238" i="44" s="1"/>
  <c r="AK238" i="44"/>
  <c r="AZ238" i="44" s="1"/>
  <c r="AL238" i="44"/>
  <c r="BA238" i="44" s="1"/>
  <c r="AM238" i="44"/>
  <c r="BB238" i="44" s="1"/>
  <c r="AN238" i="44"/>
  <c r="BC238" i="44" s="1"/>
  <c r="AE239" i="44"/>
  <c r="AT239" i="44" s="1"/>
  <c r="AF239" i="44"/>
  <c r="AU239" i="44" s="1"/>
  <c r="AG239" i="44"/>
  <c r="AV239" i="44" s="1"/>
  <c r="AH239" i="44"/>
  <c r="AW239" i="44" s="1"/>
  <c r="AI239" i="44"/>
  <c r="AX239" i="44" s="1"/>
  <c r="AJ239" i="44"/>
  <c r="AY239" i="44" s="1"/>
  <c r="AK239" i="44"/>
  <c r="AZ239" i="44" s="1"/>
  <c r="AL239" i="44"/>
  <c r="BA239" i="44" s="1"/>
  <c r="AM239" i="44"/>
  <c r="BB239" i="44" s="1"/>
  <c r="AN239" i="44"/>
  <c r="BC239" i="44" s="1"/>
  <c r="AE240" i="44"/>
  <c r="AT240" i="44" s="1"/>
  <c r="AF240" i="44"/>
  <c r="AU240" i="44" s="1"/>
  <c r="AG240" i="44"/>
  <c r="AV240" i="44" s="1"/>
  <c r="AH240" i="44"/>
  <c r="AW240" i="44" s="1"/>
  <c r="AI240" i="44"/>
  <c r="AX240" i="44" s="1"/>
  <c r="AJ240" i="44"/>
  <c r="AY240" i="44" s="1"/>
  <c r="AK240" i="44"/>
  <c r="AZ240" i="44" s="1"/>
  <c r="AL240" i="44"/>
  <c r="BA240" i="44" s="1"/>
  <c r="AM240" i="44"/>
  <c r="BB240" i="44" s="1"/>
  <c r="AN240" i="44"/>
  <c r="BC240" i="44" s="1"/>
  <c r="AE241" i="44"/>
  <c r="AT241" i="44" s="1"/>
  <c r="AF241" i="44"/>
  <c r="AU241" i="44" s="1"/>
  <c r="AG241" i="44"/>
  <c r="AV241" i="44" s="1"/>
  <c r="AH241" i="44"/>
  <c r="AW241" i="44" s="1"/>
  <c r="AI241" i="44"/>
  <c r="AX241" i="44" s="1"/>
  <c r="AJ241" i="44"/>
  <c r="AY241" i="44" s="1"/>
  <c r="AK241" i="44"/>
  <c r="AZ241" i="44" s="1"/>
  <c r="AL241" i="44"/>
  <c r="BA241" i="44" s="1"/>
  <c r="AM241" i="44"/>
  <c r="BB241" i="44" s="1"/>
  <c r="AN241" i="44"/>
  <c r="BC241" i="44" s="1"/>
  <c r="AE242" i="44"/>
  <c r="AT242" i="44" s="1"/>
  <c r="AF242" i="44"/>
  <c r="AU242" i="44" s="1"/>
  <c r="AG242" i="44"/>
  <c r="AV242" i="44" s="1"/>
  <c r="AH242" i="44"/>
  <c r="AW242" i="44" s="1"/>
  <c r="AI242" i="44"/>
  <c r="AX242" i="44" s="1"/>
  <c r="AJ242" i="44"/>
  <c r="AY242" i="44" s="1"/>
  <c r="AK242" i="44"/>
  <c r="AZ242" i="44" s="1"/>
  <c r="AL242" i="44"/>
  <c r="BA242" i="44" s="1"/>
  <c r="AM242" i="44"/>
  <c r="BB242" i="44" s="1"/>
  <c r="AN242" i="44"/>
  <c r="BC242" i="44" s="1"/>
  <c r="AE6" i="44"/>
  <c r="AT6" i="44" s="1"/>
  <c r="AF6" i="44"/>
  <c r="AU6" i="44" s="1"/>
  <c r="AG6" i="44"/>
  <c r="AV6" i="44" s="1"/>
  <c r="AH6" i="44"/>
  <c r="AW6" i="44" s="1"/>
  <c r="AI6" i="44"/>
  <c r="AX6" i="44" s="1"/>
  <c r="AJ6" i="44"/>
  <c r="AY6" i="44" s="1"/>
  <c r="AK6" i="44"/>
  <c r="AZ6" i="44" s="1"/>
  <c r="AL6" i="44"/>
  <c r="BA6" i="44" s="1"/>
  <c r="AM6" i="44"/>
  <c r="BB6" i="44" s="1"/>
  <c r="AN6" i="44"/>
  <c r="BC6" i="44" s="1"/>
  <c r="AE7" i="44"/>
  <c r="AT7" i="44" s="1"/>
  <c r="AF7" i="44"/>
  <c r="AU7" i="44" s="1"/>
  <c r="AG7" i="44"/>
  <c r="AV7" i="44" s="1"/>
  <c r="AH7" i="44"/>
  <c r="AW7" i="44" s="1"/>
  <c r="AI7" i="44"/>
  <c r="AX7" i="44" s="1"/>
  <c r="AJ7" i="44"/>
  <c r="AY7" i="44" s="1"/>
  <c r="AK7" i="44"/>
  <c r="AZ7" i="44" s="1"/>
  <c r="AL7" i="44"/>
  <c r="BA7" i="44" s="1"/>
  <c r="AM7" i="44"/>
  <c r="BB7" i="44" s="1"/>
  <c r="AN7" i="44"/>
  <c r="BC7" i="44" s="1"/>
  <c r="AE8" i="44"/>
  <c r="AT8" i="44" s="1"/>
  <c r="AF8" i="44"/>
  <c r="AU8" i="44" s="1"/>
  <c r="AG8" i="44"/>
  <c r="AV8" i="44" s="1"/>
  <c r="AH8" i="44"/>
  <c r="AW8" i="44" s="1"/>
  <c r="AI8" i="44"/>
  <c r="AX8" i="44" s="1"/>
  <c r="AJ8" i="44"/>
  <c r="AY8" i="44" s="1"/>
  <c r="AK8" i="44"/>
  <c r="AZ8" i="44" s="1"/>
  <c r="AL8" i="44"/>
  <c r="BA8" i="44" s="1"/>
  <c r="AM8" i="44"/>
  <c r="BB8" i="44" s="1"/>
  <c r="AN8" i="44"/>
  <c r="BC8" i="44" s="1"/>
  <c r="AE9" i="44"/>
  <c r="AT9" i="44" s="1"/>
  <c r="AF9" i="44"/>
  <c r="AU9" i="44" s="1"/>
  <c r="AG9" i="44"/>
  <c r="AV9" i="44" s="1"/>
  <c r="AH9" i="44"/>
  <c r="AW9" i="44" s="1"/>
  <c r="AI9" i="44"/>
  <c r="AX9" i="44" s="1"/>
  <c r="AJ9" i="44"/>
  <c r="AY9" i="44" s="1"/>
  <c r="AK9" i="44"/>
  <c r="AZ9" i="44" s="1"/>
  <c r="AL9" i="44"/>
  <c r="BA9" i="44" s="1"/>
  <c r="AM9" i="44"/>
  <c r="BB9" i="44" s="1"/>
  <c r="AN9" i="44"/>
  <c r="BC9" i="44" s="1"/>
  <c r="AE10" i="44"/>
  <c r="AT10" i="44" s="1"/>
  <c r="AF10" i="44"/>
  <c r="AU10" i="44" s="1"/>
  <c r="AG10" i="44"/>
  <c r="AV10" i="44" s="1"/>
  <c r="AH10" i="44"/>
  <c r="AW10" i="44" s="1"/>
  <c r="AI10" i="44"/>
  <c r="AX10" i="44" s="1"/>
  <c r="AJ10" i="44"/>
  <c r="AY10" i="44" s="1"/>
  <c r="AK10" i="44"/>
  <c r="AZ10" i="44" s="1"/>
  <c r="AL10" i="44"/>
  <c r="BA10" i="44" s="1"/>
  <c r="AM10" i="44"/>
  <c r="BB10" i="44" s="1"/>
  <c r="AN10" i="44"/>
  <c r="BC10" i="44" s="1"/>
  <c r="AE11" i="44"/>
  <c r="AT11" i="44" s="1"/>
  <c r="AF11" i="44"/>
  <c r="AU11" i="44" s="1"/>
  <c r="AG11" i="44"/>
  <c r="AV11" i="44" s="1"/>
  <c r="AH11" i="44"/>
  <c r="AW11" i="44" s="1"/>
  <c r="AI11" i="44"/>
  <c r="AX11" i="44" s="1"/>
  <c r="AJ11" i="44"/>
  <c r="AY11" i="44" s="1"/>
  <c r="AK11" i="44"/>
  <c r="AZ11" i="44" s="1"/>
  <c r="AL11" i="44"/>
  <c r="BA11" i="44" s="1"/>
  <c r="AM11" i="44"/>
  <c r="BB11" i="44" s="1"/>
  <c r="AN11" i="44"/>
  <c r="BC11" i="44" s="1"/>
  <c r="AE12" i="44"/>
  <c r="AT12" i="44" s="1"/>
  <c r="AF12" i="44"/>
  <c r="AU12" i="44" s="1"/>
  <c r="AG12" i="44"/>
  <c r="AV12" i="44" s="1"/>
  <c r="AH12" i="44"/>
  <c r="AW12" i="44" s="1"/>
  <c r="AI12" i="44"/>
  <c r="AX12" i="44" s="1"/>
  <c r="AJ12" i="44"/>
  <c r="AY12" i="44" s="1"/>
  <c r="AK12" i="44"/>
  <c r="AZ12" i="44" s="1"/>
  <c r="AL12" i="44"/>
  <c r="BA12" i="44" s="1"/>
  <c r="AM12" i="44"/>
  <c r="BB12" i="44" s="1"/>
  <c r="AN12" i="44"/>
  <c r="BC12" i="44" s="1"/>
  <c r="AE13" i="44"/>
  <c r="AT13" i="44" s="1"/>
  <c r="AF13" i="44"/>
  <c r="AU13" i="44" s="1"/>
  <c r="AG13" i="44"/>
  <c r="AV13" i="44" s="1"/>
  <c r="AH13" i="44"/>
  <c r="AW13" i="44" s="1"/>
  <c r="AI13" i="44"/>
  <c r="AX13" i="44" s="1"/>
  <c r="AJ13" i="44"/>
  <c r="AY13" i="44" s="1"/>
  <c r="AK13" i="44"/>
  <c r="AZ13" i="44" s="1"/>
  <c r="AL13" i="44"/>
  <c r="BA13" i="44" s="1"/>
  <c r="AM13" i="44"/>
  <c r="BB13" i="44" s="1"/>
  <c r="AN13" i="44"/>
  <c r="BC13" i="44" s="1"/>
  <c r="AE14" i="44"/>
  <c r="AT14" i="44" s="1"/>
  <c r="AF14" i="44"/>
  <c r="AU14" i="44" s="1"/>
  <c r="AG14" i="44"/>
  <c r="AV14" i="44" s="1"/>
  <c r="AH14" i="44"/>
  <c r="AW14" i="44" s="1"/>
  <c r="AI14" i="44"/>
  <c r="AX14" i="44" s="1"/>
  <c r="AJ14" i="44"/>
  <c r="AY14" i="44" s="1"/>
  <c r="AK14" i="44"/>
  <c r="AZ14" i="44" s="1"/>
  <c r="AL14" i="44"/>
  <c r="BA14" i="44" s="1"/>
  <c r="AM14" i="44"/>
  <c r="BB14" i="44" s="1"/>
  <c r="AN14" i="44"/>
  <c r="BC14" i="44" s="1"/>
  <c r="AE15" i="44"/>
  <c r="AT15" i="44" s="1"/>
  <c r="AF15" i="44"/>
  <c r="AU15" i="44" s="1"/>
  <c r="AG15" i="44"/>
  <c r="AV15" i="44" s="1"/>
  <c r="AH15" i="44"/>
  <c r="AW15" i="44" s="1"/>
  <c r="AI15" i="44"/>
  <c r="AX15" i="44" s="1"/>
  <c r="AJ15" i="44"/>
  <c r="AY15" i="44" s="1"/>
  <c r="AK15" i="44"/>
  <c r="AZ15" i="44" s="1"/>
  <c r="AL15" i="44"/>
  <c r="BA15" i="44" s="1"/>
  <c r="AM15" i="44"/>
  <c r="BB15" i="44" s="1"/>
  <c r="AN15" i="44"/>
  <c r="BC15" i="44" s="1"/>
  <c r="AE16" i="44"/>
  <c r="AT16" i="44" s="1"/>
  <c r="AF16" i="44"/>
  <c r="AU16" i="44" s="1"/>
  <c r="AG16" i="44"/>
  <c r="AV16" i="44" s="1"/>
  <c r="AH16" i="44"/>
  <c r="AW16" i="44" s="1"/>
  <c r="AI16" i="44"/>
  <c r="AX16" i="44" s="1"/>
  <c r="AJ16" i="44"/>
  <c r="AY16" i="44" s="1"/>
  <c r="AK16" i="44"/>
  <c r="AZ16" i="44" s="1"/>
  <c r="AL16" i="44"/>
  <c r="BA16" i="44" s="1"/>
  <c r="AM16" i="44"/>
  <c r="BB16" i="44" s="1"/>
  <c r="AN16" i="44"/>
  <c r="BC16" i="44" s="1"/>
  <c r="AE17" i="44"/>
  <c r="AT17" i="44" s="1"/>
  <c r="AF17" i="44"/>
  <c r="AU17" i="44" s="1"/>
  <c r="AG17" i="44"/>
  <c r="AV17" i="44" s="1"/>
  <c r="AH17" i="44"/>
  <c r="AW17" i="44" s="1"/>
  <c r="AI17" i="44"/>
  <c r="AX17" i="44" s="1"/>
  <c r="AJ17" i="44"/>
  <c r="AY17" i="44" s="1"/>
  <c r="AK17" i="44"/>
  <c r="AZ17" i="44" s="1"/>
  <c r="AL17" i="44"/>
  <c r="BA17" i="44" s="1"/>
  <c r="AM17" i="44"/>
  <c r="BB17" i="44" s="1"/>
  <c r="AN17" i="44"/>
  <c r="BC17" i="44" s="1"/>
  <c r="AE18" i="44"/>
  <c r="AT18" i="44" s="1"/>
  <c r="AF18" i="44"/>
  <c r="AU18" i="44" s="1"/>
  <c r="AG18" i="44"/>
  <c r="AV18" i="44" s="1"/>
  <c r="AH18" i="44"/>
  <c r="AW18" i="44" s="1"/>
  <c r="AI18" i="44"/>
  <c r="AX18" i="44" s="1"/>
  <c r="AJ18" i="44"/>
  <c r="AY18" i="44" s="1"/>
  <c r="AK18" i="44"/>
  <c r="AZ18" i="44" s="1"/>
  <c r="AL18" i="44"/>
  <c r="BA18" i="44" s="1"/>
  <c r="AM18" i="44"/>
  <c r="BB18" i="44" s="1"/>
  <c r="AN18" i="44"/>
  <c r="BC18" i="44" s="1"/>
  <c r="AE19" i="44"/>
  <c r="AT19" i="44" s="1"/>
  <c r="AF19" i="44"/>
  <c r="AU19" i="44" s="1"/>
  <c r="AG19" i="44"/>
  <c r="AV19" i="44" s="1"/>
  <c r="AH19" i="44"/>
  <c r="AW19" i="44" s="1"/>
  <c r="AI19" i="44"/>
  <c r="AX19" i="44" s="1"/>
  <c r="AJ19" i="44"/>
  <c r="AY19" i="44" s="1"/>
  <c r="AK19" i="44"/>
  <c r="AZ19" i="44" s="1"/>
  <c r="AL19" i="44"/>
  <c r="BA19" i="44" s="1"/>
  <c r="AM19" i="44"/>
  <c r="BB19" i="44" s="1"/>
  <c r="AN19" i="44"/>
  <c r="BC19" i="44" s="1"/>
  <c r="AE20" i="44"/>
  <c r="AT20" i="44" s="1"/>
  <c r="AF20" i="44"/>
  <c r="AU20" i="44" s="1"/>
  <c r="AG20" i="44"/>
  <c r="AV20" i="44" s="1"/>
  <c r="AH20" i="44"/>
  <c r="AW20" i="44" s="1"/>
  <c r="AI20" i="44"/>
  <c r="AX20" i="44" s="1"/>
  <c r="AJ20" i="44"/>
  <c r="AY20" i="44" s="1"/>
  <c r="AK20" i="44"/>
  <c r="AZ20" i="44" s="1"/>
  <c r="AL20" i="44"/>
  <c r="BA20" i="44" s="1"/>
  <c r="AM20" i="44"/>
  <c r="BB20" i="44" s="1"/>
  <c r="AN20" i="44"/>
  <c r="BC20" i="44" s="1"/>
  <c r="AE21" i="44"/>
  <c r="AT21" i="44" s="1"/>
  <c r="AF21" i="44"/>
  <c r="AU21" i="44" s="1"/>
  <c r="AG21" i="44"/>
  <c r="AV21" i="44" s="1"/>
  <c r="AH21" i="44"/>
  <c r="AW21" i="44" s="1"/>
  <c r="AI21" i="44"/>
  <c r="AX21" i="44" s="1"/>
  <c r="AJ21" i="44"/>
  <c r="AY21" i="44" s="1"/>
  <c r="AK21" i="44"/>
  <c r="AZ21" i="44" s="1"/>
  <c r="AL21" i="44"/>
  <c r="BA21" i="44" s="1"/>
  <c r="AM21" i="44"/>
  <c r="BB21" i="44" s="1"/>
  <c r="AN21" i="44"/>
  <c r="BC21" i="44" s="1"/>
  <c r="AE22" i="44"/>
  <c r="AT22" i="44" s="1"/>
  <c r="AF22" i="44"/>
  <c r="AU22" i="44" s="1"/>
  <c r="AG22" i="44"/>
  <c r="AV22" i="44" s="1"/>
  <c r="AH22" i="44"/>
  <c r="AW22" i="44" s="1"/>
  <c r="AI22" i="44"/>
  <c r="AX22" i="44" s="1"/>
  <c r="AJ22" i="44"/>
  <c r="AY22" i="44" s="1"/>
  <c r="AK22" i="44"/>
  <c r="AZ22" i="44" s="1"/>
  <c r="AL22" i="44"/>
  <c r="BA22" i="44" s="1"/>
  <c r="AM22" i="44"/>
  <c r="BB22" i="44" s="1"/>
  <c r="AN22" i="44"/>
  <c r="BC22" i="44" s="1"/>
  <c r="AE23" i="44"/>
  <c r="AT23" i="44" s="1"/>
  <c r="AF23" i="44"/>
  <c r="AU23" i="44" s="1"/>
  <c r="AG23" i="44"/>
  <c r="AV23" i="44" s="1"/>
  <c r="AH23" i="44"/>
  <c r="AW23" i="44" s="1"/>
  <c r="AI23" i="44"/>
  <c r="AX23" i="44" s="1"/>
  <c r="AJ23" i="44"/>
  <c r="AY23" i="44" s="1"/>
  <c r="AK23" i="44"/>
  <c r="AZ23" i="44" s="1"/>
  <c r="AL23" i="44"/>
  <c r="BA23" i="44" s="1"/>
  <c r="AM23" i="44"/>
  <c r="BB23" i="44" s="1"/>
  <c r="AN23" i="44"/>
  <c r="BC23" i="44" s="1"/>
  <c r="AE24" i="44"/>
  <c r="AT24" i="44" s="1"/>
  <c r="AF24" i="44"/>
  <c r="AU24" i="44" s="1"/>
  <c r="AG24" i="44"/>
  <c r="AV24" i="44" s="1"/>
  <c r="AH24" i="44"/>
  <c r="AW24" i="44" s="1"/>
  <c r="AI24" i="44"/>
  <c r="AX24" i="44" s="1"/>
  <c r="AJ24" i="44"/>
  <c r="AY24" i="44" s="1"/>
  <c r="AK24" i="44"/>
  <c r="AZ24" i="44" s="1"/>
  <c r="AL24" i="44"/>
  <c r="BA24" i="44" s="1"/>
  <c r="AM24" i="44"/>
  <c r="BB24" i="44" s="1"/>
  <c r="AN24" i="44"/>
  <c r="BC24" i="44" s="1"/>
  <c r="AE25" i="44"/>
  <c r="AT25" i="44" s="1"/>
  <c r="AF25" i="44"/>
  <c r="AU25" i="44" s="1"/>
  <c r="AG25" i="44"/>
  <c r="AV25" i="44" s="1"/>
  <c r="AH25" i="44"/>
  <c r="AW25" i="44" s="1"/>
  <c r="AI25" i="44"/>
  <c r="AX25" i="44" s="1"/>
  <c r="AJ25" i="44"/>
  <c r="AY25" i="44" s="1"/>
  <c r="AK25" i="44"/>
  <c r="AZ25" i="44" s="1"/>
  <c r="AL25" i="44"/>
  <c r="BA25" i="44" s="1"/>
  <c r="AM25" i="44"/>
  <c r="BB25" i="44" s="1"/>
  <c r="AN25" i="44"/>
  <c r="BC25" i="44" s="1"/>
  <c r="AE26" i="44"/>
  <c r="AT26" i="44" s="1"/>
  <c r="AF26" i="44"/>
  <c r="AU26" i="44" s="1"/>
  <c r="AG26" i="44"/>
  <c r="AV26" i="44" s="1"/>
  <c r="AH26" i="44"/>
  <c r="AW26" i="44" s="1"/>
  <c r="AI26" i="44"/>
  <c r="AX26" i="44" s="1"/>
  <c r="AJ26" i="44"/>
  <c r="AY26" i="44" s="1"/>
  <c r="AK26" i="44"/>
  <c r="AZ26" i="44" s="1"/>
  <c r="AL26" i="44"/>
  <c r="BA26" i="44" s="1"/>
  <c r="AM26" i="44"/>
  <c r="BB26" i="44" s="1"/>
  <c r="AN26" i="44"/>
  <c r="BC26" i="44" s="1"/>
  <c r="AE27" i="44"/>
  <c r="AT27" i="44" s="1"/>
  <c r="AF27" i="44"/>
  <c r="AU27" i="44" s="1"/>
  <c r="AG27" i="44"/>
  <c r="AV27" i="44" s="1"/>
  <c r="AH27" i="44"/>
  <c r="AW27" i="44" s="1"/>
  <c r="AI27" i="44"/>
  <c r="AX27" i="44" s="1"/>
  <c r="AJ27" i="44"/>
  <c r="AY27" i="44" s="1"/>
  <c r="AK27" i="44"/>
  <c r="AZ27" i="44" s="1"/>
  <c r="AL27" i="44"/>
  <c r="BA27" i="44" s="1"/>
  <c r="AM27" i="44"/>
  <c r="BB27" i="44" s="1"/>
  <c r="AN27" i="44"/>
  <c r="BC27" i="44" s="1"/>
  <c r="AE28" i="44"/>
  <c r="AT28" i="44" s="1"/>
  <c r="AF28" i="44"/>
  <c r="AU28" i="44" s="1"/>
  <c r="AG28" i="44"/>
  <c r="AV28" i="44" s="1"/>
  <c r="AH28" i="44"/>
  <c r="AW28" i="44" s="1"/>
  <c r="AI28" i="44"/>
  <c r="AX28" i="44" s="1"/>
  <c r="AJ28" i="44"/>
  <c r="AY28" i="44" s="1"/>
  <c r="AK28" i="44"/>
  <c r="AZ28" i="44" s="1"/>
  <c r="AL28" i="44"/>
  <c r="BA28" i="44" s="1"/>
  <c r="AM28" i="44"/>
  <c r="BB28" i="44" s="1"/>
  <c r="AN28" i="44"/>
  <c r="BC28" i="44" s="1"/>
  <c r="AE29" i="44"/>
  <c r="AT29" i="44" s="1"/>
  <c r="AF29" i="44"/>
  <c r="AU29" i="44" s="1"/>
  <c r="AG29" i="44"/>
  <c r="AV29" i="44" s="1"/>
  <c r="AH29" i="44"/>
  <c r="AW29" i="44" s="1"/>
  <c r="AI29" i="44"/>
  <c r="AX29" i="44" s="1"/>
  <c r="AJ29" i="44"/>
  <c r="AY29" i="44" s="1"/>
  <c r="AK29" i="44"/>
  <c r="AZ29" i="44" s="1"/>
  <c r="AL29" i="44"/>
  <c r="BA29" i="44" s="1"/>
  <c r="AM29" i="44"/>
  <c r="BB29" i="44" s="1"/>
  <c r="AN29" i="44"/>
  <c r="BC29" i="44" s="1"/>
  <c r="AE30" i="44"/>
  <c r="AT30" i="44" s="1"/>
  <c r="AF30" i="44"/>
  <c r="AU30" i="44" s="1"/>
  <c r="AG30" i="44"/>
  <c r="AV30" i="44" s="1"/>
  <c r="AH30" i="44"/>
  <c r="AW30" i="44" s="1"/>
  <c r="AI30" i="44"/>
  <c r="AX30" i="44" s="1"/>
  <c r="AJ30" i="44"/>
  <c r="AY30" i="44" s="1"/>
  <c r="AK30" i="44"/>
  <c r="AZ30" i="44" s="1"/>
  <c r="AL30" i="44"/>
  <c r="BA30" i="44" s="1"/>
  <c r="AM30" i="44"/>
  <c r="BB30" i="44" s="1"/>
  <c r="AN30" i="44"/>
  <c r="BC30" i="44" s="1"/>
  <c r="AE31" i="44"/>
  <c r="AT31" i="44" s="1"/>
  <c r="AF31" i="44"/>
  <c r="AU31" i="44" s="1"/>
  <c r="AG31" i="44"/>
  <c r="AV31" i="44" s="1"/>
  <c r="AH31" i="44"/>
  <c r="AW31" i="44" s="1"/>
  <c r="AI31" i="44"/>
  <c r="AX31" i="44" s="1"/>
  <c r="AJ31" i="44"/>
  <c r="AY31" i="44" s="1"/>
  <c r="AK31" i="44"/>
  <c r="AZ31" i="44" s="1"/>
  <c r="AL31" i="44"/>
  <c r="BA31" i="44" s="1"/>
  <c r="AM31" i="44"/>
  <c r="BB31" i="44" s="1"/>
  <c r="AN31" i="44"/>
  <c r="BC31" i="44" s="1"/>
  <c r="AE32" i="44"/>
  <c r="AT32" i="44" s="1"/>
  <c r="AF32" i="44"/>
  <c r="AU32" i="44" s="1"/>
  <c r="AG32" i="44"/>
  <c r="AV32" i="44" s="1"/>
  <c r="AH32" i="44"/>
  <c r="AW32" i="44" s="1"/>
  <c r="AI32" i="44"/>
  <c r="AX32" i="44" s="1"/>
  <c r="AJ32" i="44"/>
  <c r="AY32" i="44" s="1"/>
  <c r="AK32" i="44"/>
  <c r="AZ32" i="44" s="1"/>
  <c r="AL32" i="44"/>
  <c r="BA32" i="44" s="1"/>
  <c r="AM32" i="44"/>
  <c r="BB32" i="44" s="1"/>
  <c r="AN32" i="44"/>
  <c r="BC32" i="44" s="1"/>
  <c r="AE33" i="44"/>
  <c r="AT33" i="44" s="1"/>
  <c r="AF33" i="44"/>
  <c r="AU33" i="44" s="1"/>
  <c r="AG33" i="44"/>
  <c r="AV33" i="44" s="1"/>
  <c r="AH33" i="44"/>
  <c r="AW33" i="44" s="1"/>
  <c r="AI33" i="44"/>
  <c r="AX33" i="44" s="1"/>
  <c r="AJ33" i="44"/>
  <c r="AY33" i="44" s="1"/>
  <c r="AK33" i="44"/>
  <c r="AZ33" i="44" s="1"/>
  <c r="AL33" i="44"/>
  <c r="BA33" i="44" s="1"/>
  <c r="AM33" i="44"/>
  <c r="BB33" i="44" s="1"/>
  <c r="AN33" i="44"/>
  <c r="BC33" i="44" s="1"/>
  <c r="AE34" i="44"/>
  <c r="AT34" i="44" s="1"/>
  <c r="AF34" i="44"/>
  <c r="AU34" i="44" s="1"/>
  <c r="AG34" i="44"/>
  <c r="AV34" i="44" s="1"/>
  <c r="AH34" i="44"/>
  <c r="AW34" i="44" s="1"/>
  <c r="AI34" i="44"/>
  <c r="AX34" i="44" s="1"/>
  <c r="AJ34" i="44"/>
  <c r="AY34" i="44" s="1"/>
  <c r="AK34" i="44"/>
  <c r="AZ34" i="44" s="1"/>
  <c r="AL34" i="44"/>
  <c r="BA34" i="44" s="1"/>
  <c r="AM34" i="44"/>
  <c r="BB34" i="44" s="1"/>
  <c r="AN34" i="44"/>
  <c r="BC34" i="44" s="1"/>
  <c r="AF5" i="44"/>
  <c r="AU5" i="44" s="1"/>
  <c r="AG5" i="44"/>
  <c r="AV5" i="44" s="1"/>
  <c r="AH5" i="44"/>
  <c r="AW5" i="44" s="1"/>
  <c r="AI5" i="44"/>
  <c r="AX5" i="44" s="1"/>
  <c r="AJ5" i="44"/>
  <c r="AY5" i="44" s="1"/>
  <c r="AK5" i="44"/>
  <c r="AZ5" i="44" s="1"/>
  <c r="AL5" i="44"/>
  <c r="BA5" i="44" s="1"/>
  <c r="AM5" i="44"/>
  <c r="BB5" i="44" s="1"/>
  <c r="AN5" i="44"/>
  <c r="BC5" i="44" s="1"/>
  <c r="AE5" i="44"/>
  <c r="AT5" i="44" s="1"/>
  <c r="AE263" i="44"/>
  <c r="AT263" i="44" s="1"/>
  <c r="AN263" i="44"/>
  <c r="BC263" i="44" s="1"/>
  <c r="AE264" i="44"/>
  <c r="AT264" i="44" s="1"/>
  <c r="AL264" i="44"/>
  <c r="BA264" i="44" s="1"/>
  <c r="AE265" i="44"/>
  <c r="AT265" i="44" s="1"/>
  <c r="AJ265" i="44"/>
  <c r="AY265" i="44" s="1"/>
  <c r="AE266" i="44"/>
  <c r="AT266" i="44" s="1"/>
  <c r="AE262" i="44"/>
  <c r="AT262" i="44" s="1"/>
  <c r="AE245" i="44"/>
  <c r="AT245" i="44" s="1"/>
  <c r="AE246" i="44"/>
  <c r="AT246" i="44" s="1"/>
  <c r="AE247" i="44"/>
  <c r="AT247" i="44" s="1"/>
  <c r="AL247" i="44"/>
  <c r="BA247" i="44" s="1"/>
  <c r="AE248" i="44"/>
  <c r="AT248" i="44" s="1"/>
  <c r="AH248" i="44"/>
  <c r="AW248" i="44" s="1"/>
  <c r="AI250" i="44"/>
  <c r="AX250" i="44" s="1"/>
  <c r="AE252" i="44"/>
  <c r="AT252" i="44" s="1"/>
  <c r="AE253" i="44"/>
  <c r="AT253" i="44" s="1"/>
  <c r="AF253" i="44"/>
  <c r="AU253" i="44" s="1"/>
  <c r="AE254" i="44"/>
  <c r="AT254" i="44" s="1"/>
  <c r="AI254" i="44"/>
  <c r="AX254" i="44" s="1"/>
  <c r="AI256" i="44"/>
  <c r="AX256" i="44" s="1"/>
  <c r="AE257" i="44"/>
  <c r="AT257" i="44" s="1"/>
  <c r="AE258" i="44"/>
  <c r="AT258" i="44" s="1"/>
  <c r="AI258" i="44"/>
  <c r="AX258" i="44" s="1"/>
  <c r="AE259" i="44"/>
  <c r="AT259" i="44" s="1"/>
  <c r="AE260" i="44"/>
  <c r="AT260" i="44" s="1"/>
  <c r="AG244" i="44"/>
  <c r="AV244" i="44" s="1"/>
  <c r="AF250" i="44" l="1"/>
  <c r="AU250" i="44" s="1"/>
  <c r="CL44" i="44"/>
  <c r="AM252" i="44"/>
  <c r="BB252" i="44" s="1"/>
  <c r="AH262" i="44"/>
  <c r="AW262" i="44" s="1"/>
  <c r="CJ31" i="44"/>
  <c r="AJ259" i="44"/>
  <c r="AY259" i="44" s="1"/>
  <c r="AM256" i="44"/>
  <c r="BB256" i="44" s="1"/>
  <c r="AF254" i="44"/>
  <c r="AU254" i="44" s="1"/>
  <c r="AK266" i="44"/>
  <c r="AZ266" i="44" s="1"/>
  <c r="AL248" i="44"/>
  <c r="BA248" i="44" s="1"/>
  <c r="AI259" i="44"/>
  <c r="AX259" i="44" s="1"/>
  <c r="AG265" i="44"/>
  <c r="AV265" i="44" s="1"/>
  <c r="CL12" i="44"/>
  <c r="AL260" i="44"/>
  <c r="BA260" i="44" s="1"/>
  <c r="AI247" i="44"/>
  <c r="AX247" i="44" s="1"/>
  <c r="AG262" i="44"/>
  <c r="AV262" i="44" s="1"/>
  <c r="AF246" i="44"/>
  <c r="AU246" i="44" s="1"/>
  <c r="AI251" i="44"/>
  <c r="AX251" i="44" s="1"/>
  <c r="BE251" i="44" s="1"/>
  <c r="AK263" i="44"/>
  <c r="AZ263" i="44" s="1"/>
  <c r="AI255" i="44"/>
  <c r="AX255" i="44" s="1"/>
  <c r="AF258" i="44"/>
  <c r="AU258" i="44" s="1"/>
  <c r="AL252" i="44"/>
  <c r="BA252" i="44" s="1"/>
  <c r="AL256" i="44"/>
  <c r="BA256" i="44" s="1"/>
  <c r="BR238" i="44"/>
  <c r="CD28" i="44" s="1"/>
  <c r="AN244" i="44"/>
  <c r="BC244" i="44" s="1"/>
  <c r="AM264" i="44"/>
  <c r="BB264" i="44" s="1"/>
  <c r="CI44" i="44"/>
  <c r="AM245" i="44"/>
  <c r="BB245" i="44" s="1"/>
  <c r="CK12" i="44"/>
  <c r="CG43" i="44"/>
  <c r="AM249" i="44"/>
  <c r="BB249" i="44" s="1"/>
  <c r="CI14" i="44"/>
  <c r="AI263" i="44"/>
  <c r="AX263" i="44" s="1"/>
  <c r="AJ260" i="44"/>
  <c r="AY260" i="44" s="1"/>
  <c r="AI266" i="44"/>
  <c r="AX266" i="44" s="1"/>
  <c r="CK33" i="44"/>
  <c r="CK14" i="44"/>
  <c r="CG47" i="44"/>
  <c r="CL39" i="44"/>
  <c r="CF44" i="44"/>
  <c r="AG248" i="44"/>
  <c r="AV248" i="44" s="1"/>
  <c r="CM33" i="44"/>
  <c r="AF266" i="44"/>
  <c r="AU266" i="44" s="1"/>
  <c r="CE14" i="44"/>
  <c r="AM246" i="44"/>
  <c r="BB246" i="44" s="1"/>
  <c r="CE47" i="44"/>
  <c r="CM44" i="44"/>
  <c r="CJ52" i="44"/>
  <c r="CL47" i="44"/>
  <c r="CH33" i="44"/>
  <c r="CK44" i="44"/>
  <c r="CD8" i="44"/>
  <c r="AJ245" i="44"/>
  <c r="AY245" i="44" s="1"/>
  <c r="CM12" i="44"/>
  <c r="BW240" i="44"/>
  <c r="CI30" i="44" s="1"/>
  <c r="BS238" i="44"/>
  <c r="CE28" i="44" s="1"/>
  <c r="BU240" i="44"/>
  <c r="CG30" i="44" s="1"/>
  <c r="CF31" i="44"/>
  <c r="CL52" i="44"/>
  <c r="BT240" i="44"/>
  <c r="CF30" i="44" s="1"/>
  <c r="CE12" i="44"/>
  <c r="CE31" i="44"/>
  <c r="BS240" i="44"/>
  <c r="CA238" i="44"/>
  <c r="AM259" i="44"/>
  <c r="BB259" i="44" s="1"/>
  <c r="CJ33" i="44"/>
  <c r="CM43" i="44"/>
  <c r="BZ238" i="44"/>
  <c r="CL28" i="44" s="1"/>
  <c r="BY238" i="44"/>
  <c r="BX238" i="44"/>
  <c r="CJ28" i="44" s="1"/>
  <c r="CA240" i="44"/>
  <c r="BW238" i="44"/>
  <c r="CI28" i="44" s="1"/>
  <c r="CL31" i="44"/>
  <c r="CF52" i="44"/>
  <c r="BZ240" i="44"/>
  <c r="AK262" i="44"/>
  <c r="AZ262" i="44" s="1"/>
  <c r="CI47" i="44"/>
  <c r="CE33" i="44"/>
  <c r="CE52" i="44"/>
  <c r="BU238" i="44"/>
  <c r="CH47" i="44"/>
  <c r="CJ12" i="44"/>
  <c r="BX240" i="44"/>
  <c r="CJ30" i="44" s="1"/>
  <c r="BT238" i="44"/>
  <c r="CF28" i="44" s="1"/>
  <c r="AF244" i="44"/>
  <c r="AU244" i="44" s="1"/>
  <c r="CJ14" i="44"/>
  <c r="BT256" i="44"/>
  <c r="BU249" i="44"/>
  <c r="AN257" i="44"/>
  <c r="BC257" i="44" s="1"/>
  <c r="AN249" i="44"/>
  <c r="BC249" i="44" s="1"/>
  <c r="AJ266" i="44"/>
  <c r="AY266" i="44" s="1"/>
  <c r="CA261" i="44"/>
  <c r="CM51" i="44" s="1"/>
  <c r="BS256" i="44"/>
  <c r="CE46" i="44" s="1"/>
  <c r="BT249" i="44"/>
  <c r="CF39" i="44" s="1"/>
  <c r="BV216" i="44"/>
  <c r="CH6" i="44" s="1"/>
  <c r="AH255" i="44"/>
  <c r="AW255" i="44" s="1"/>
  <c r="AK260" i="44"/>
  <c r="AZ260" i="44" s="1"/>
  <c r="BE260" i="44" s="1"/>
  <c r="BX260" i="44"/>
  <c r="BS249" i="44"/>
  <c r="BU216" i="44"/>
  <c r="AN253" i="44"/>
  <c r="BC253" i="44" s="1"/>
  <c r="BY261" i="44"/>
  <c r="BW260" i="44"/>
  <c r="CI50" i="44" s="1"/>
  <c r="BZ247" i="44"/>
  <c r="BT216" i="44"/>
  <c r="CF6" i="44" s="1"/>
  <c r="CF12" i="44"/>
  <c r="CL33" i="44"/>
  <c r="BX261" i="44"/>
  <c r="CJ51" i="44" s="1"/>
  <c r="BV260" i="44"/>
  <c r="CH50" i="44" s="1"/>
  <c r="CA248" i="44"/>
  <c r="BY247" i="44"/>
  <c r="BS216" i="44"/>
  <c r="AK256" i="44"/>
  <c r="AZ256" i="44" s="1"/>
  <c r="AK248" i="44"/>
  <c r="AZ248" i="44" s="1"/>
  <c r="BU260" i="44"/>
  <c r="CG50" i="44" s="1"/>
  <c r="CA256" i="44"/>
  <c r="BX247" i="44"/>
  <c r="CJ37" i="44" s="1"/>
  <c r="BV261" i="44"/>
  <c r="CH51" i="44" s="1"/>
  <c r="BT260" i="44"/>
  <c r="CF50" i="44" s="1"/>
  <c r="BZ256" i="44"/>
  <c r="CL46" i="44" s="1"/>
  <c r="CA249" i="44"/>
  <c r="CM39" i="44" s="1"/>
  <c r="BY248" i="44"/>
  <c r="BW247" i="44"/>
  <c r="BU261" i="44"/>
  <c r="BS260" i="44"/>
  <c r="BY256" i="44"/>
  <c r="CK46" i="44" s="1"/>
  <c r="CH45" i="44"/>
  <c r="CF42" i="44"/>
  <c r="CD41" i="44"/>
  <c r="BX248" i="44"/>
  <c r="CJ38" i="44" s="1"/>
  <c r="BV247" i="44"/>
  <c r="CH37" i="44" s="1"/>
  <c r="CF36" i="44"/>
  <c r="CD35" i="44"/>
  <c r="CL32" i="44"/>
  <c r="CH29" i="44"/>
  <c r="CD27" i="44"/>
  <c r="CL25" i="44"/>
  <c r="CJ24" i="44"/>
  <c r="CH23" i="44"/>
  <c r="CF22" i="44"/>
  <c r="CD21" i="44"/>
  <c r="CL19" i="44"/>
  <c r="CJ18" i="44"/>
  <c r="CH17" i="44"/>
  <c r="CF16" i="44"/>
  <c r="CD15" i="44"/>
  <c r="CL11" i="44"/>
  <c r="CJ10" i="44"/>
  <c r="CH9" i="44"/>
  <c r="CF8" i="44"/>
  <c r="CD7" i="44"/>
  <c r="CH52" i="44"/>
  <c r="CL73" i="44"/>
  <c r="CJ72" i="44"/>
  <c r="CH71" i="44"/>
  <c r="CF70" i="44"/>
  <c r="CD69" i="44"/>
  <c r="CL67" i="44"/>
  <c r="CJ66" i="44"/>
  <c r="CH65" i="44"/>
  <c r="CF64" i="44"/>
  <c r="CL61" i="44"/>
  <c r="CJ60" i="44"/>
  <c r="CH59" i="44"/>
  <c r="CF58" i="44"/>
  <c r="CL55" i="44"/>
  <c r="CJ54" i="44"/>
  <c r="CH53" i="44"/>
  <c r="BT261" i="44"/>
  <c r="CF51" i="44" s="1"/>
  <c r="CL48" i="44"/>
  <c r="BX256" i="44"/>
  <c r="BY249" i="44"/>
  <c r="CK39" i="44" s="1"/>
  <c r="BW248" i="44"/>
  <c r="CI38" i="44" s="1"/>
  <c r="BU247" i="44"/>
  <c r="CA216" i="44"/>
  <c r="CM6" i="44" s="1"/>
  <c r="AN264" i="44"/>
  <c r="BC264" i="44" s="1"/>
  <c r="BS261" i="44"/>
  <c r="CE51" i="44" s="1"/>
  <c r="BW256" i="44"/>
  <c r="BX249" i="44"/>
  <c r="CJ39" i="44" s="1"/>
  <c r="BV248" i="44"/>
  <c r="CH38" i="44" s="1"/>
  <c r="BT247" i="44"/>
  <c r="CF37" i="44" s="1"/>
  <c r="BZ216" i="44"/>
  <c r="CJ47" i="44"/>
  <c r="CF33" i="44"/>
  <c r="BU248" i="44"/>
  <c r="CG38" i="44" s="1"/>
  <c r="BS247" i="44"/>
  <c r="CH43" i="44"/>
  <c r="CA260" i="44"/>
  <c r="CM50" i="44" s="1"/>
  <c r="BT248" i="44"/>
  <c r="CF38" i="44" s="1"/>
  <c r="CD63" i="44"/>
  <c r="CD57" i="44"/>
  <c r="CD50" i="44"/>
  <c r="AE255" i="44"/>
  <c r="AT255" i="44" s="1"/>
  <c r="CK47" i="44"/>
  <c r="CG33" i="44"/>
  <c r="CJ43" i="44"/>
  <c r="CM31" i="44"/>
  <c r="CG52" i="44"/>
  <c r="CD5" i="44"/>
  <c r="CK73" i="44"/>
  <c r="CI72" i="44"/>
  <c r="CG71" i="44"/>
  <c r="CE70" i="44"/>
  <c r="CM68" i="44"/>
  <c r="CK67" i="44"/>
  <c r="CI66" i="44"/>
  <c r="CG65" i="44"/>
  <c r="CE64" i="44"/>
  <c r="CM62" i="44"/>
  <c r="CK61" i="44"/>
  <c r="CI60" i="44"/>
  <c r="CG59" i="44"/>
  <c r="CE58" i="44"/>
  <c r="CM56" i="44"/>
  <c r="CK55" i="44"/>
  <c r="CI54" i="44"/>
  <c r="CG53" i="44"/>
  <c r="CM49" i="44"/>
  <c r="CK48" i="44"/>
  <c r="CG45" i="44"/>
  <c r="CE42" i="44"/>
  <c r="CM40" i="44"/>
  <c r="CG37" i="44"/>
  <c r="CE36" i="44"/>
  <c r="CM34" i="44"/>
  <c r="CK32" i="44"/>
  <c r="CG29" i="44"/>
  <c r="CM26" i="44"/>
  <c r="CK25" i="44"/>
  <c r="CI24" i="44"/>
  <c r="CG23" i="44"/>
  <c r="CE22" i="44"/>
  <c r="CM20" i="44"/>
  <c r="CK19" i="44"/>
  <c r="CI18" i="44"/>
  <c r="CG17" i="44"/>
  <c r="CE16" i="44"/>
  <c r="CM13" i="44"/>
  <c r="CK11" i="44"/>
  <c r="CI10" i="44"/>
  <c r="CG9" i="44"/>
  <c r="CE8" i="44"/>
  <c r="CM5" i="44"/>
  <c r="CJ73" i="44"/>
  <c r="CH72" i="44"/>
  <c r="CF71" i="44"/>
  <c r="CD70" i="44"/>
  <c r="CL68" i="44"/>
  <c r="CJ67" i="44"/>
  <c r="CH66" i="44"/>
  <c r="CF65" i="44"/>
  <c r="CD64" i="44"/>
  <c r="CL62" i="44"/>
  <c r="CJ61" i="44"/>
  <c r="CH60" i="44"/>
  <c r="CF59" i="44"/>
  <c r="CD58" i="44"/>
  <c r="CL56" i="44"/>
  <c r="CJ55" i="44"/>
  <c r="CH54" i="44"/>
  <c r="CF53" i="44"/>
  <c r="CD51" i="44"/>
  <c r="CL49" i="44"/>
  <c r="CJ48" i="44"/>
  <c r="CH46" i="44"/>
  <c r="CF45" i="44"/>
  <c r="CD42" i="44"/>
  <c r="CL40" i="44"/>
  <c r="CD36" i="44"/>
  <c r="CL34" i="44"/>
  <c r="CJ32" i="44"/>
  <c r="CF29" i="44"/>
  <c r="CL26" i="44"/>
  <c r="CJ25" i="44"/>
  <c r="CH24" i="44"/>
  <c r="CF23" i="44"/>
  <c r="CD22" i="44"/>
  <c r="CL20" i="44"/>
  <c r="CJ19" i="44"/>
  <c r="CH18" i="44"/>
  <c r="CF17" i="44"/>
  <c r="CD16" i="44"/>
  <c r="CL13" i="44"/>
  <c r="CJ11" i="44"/>
  <c r="CH10" i="44"/>
  <c r="CF9" i="44"/>
  <c r="CL6" i="44"/>
  <c r="CH44" i="44"/>
  <c r="CL5" i="44"/>
  <c r="CI73" i="44"/>
  <c r="CG72" i="44"/>
  <c r="CE71" i="44"/>
  <c r="CM69" i="44"/>
  <c r="CK68" i="44"/>
  <c r="CI67" i="44"/>
  <c r="CG66" i="44"/>
  <c r="CE65" i="44"/>
  <c r="CM63" i="44"/>
  <c r="CK62" i="44"/>
  <c r="CI61" i="44"/>
  <c r="CG60" i="44"/>
  <c r="CE59" i="44"/>
  <c r="CM57" i="44"/>
  <c r="CK56" i="44"/>
  <c r="CI55" i="44"/>
  <c r="CG54" i="44"/>
  <c r="CE53" i="44"/>
  <c r="CK49" i="44"/>
  <c r="CI48" i="44"/>
  <c r="CE45" i="44"/>
  <c r="CM41" i="44"/>
  <c r="CK40" i="44"/>
  <c r="CI39" i="44"/>
  <c r="CE37" i="44"/>
  <c r="CM35" i="44"/>
  <c r="CK34" i="44"/>
  <c r="CI32" i="44"/>
  <c r="CE29" i="44"/>
  <c r="CM27" i="44"/>
  <c r="CK26" i="44"/>
  <c r="CI25" i="44"/>
  <c r="CG24" i="44"/>
  <c r="CE23" i="44"/>
  <c r="CM21" i="44"/>
  <c r="CK20" i="44"/>
  <c r="CI19" i="44"/>
  <c r="CG18" i="44"/>
  <c r="CE17" i="44"/>
  <c r="CM15" i="44"/>
  <c r="CK13" i="44"/>
  <c r="CI11" i="44"/>
  <c r="CG10" i="44"/>
  <c r="CE9" i="44"/>
  <c r="CM7" i="44"/>
  <c r="CK6" i="44"/>
  <c r="CK5" i="44"/>
  <c r="CH73" i="44"/>
  <c r="CF72" i="44"/>
  <c r="CD71" i="44"/>
  <c r="CL69" i="44"/>
  <c r="CJ68" i="44"/>
  <c r="CH67" i="44"/>
  <c r="CF66" i="44"/>
  <c r="CD65" i="44"/>
  <c r="CL63" i="44"/>
  <c r="CJ62" i="44"/>
  <c r="CH61" i="44"/>
  <c r="CF60" i="44"/>
  <c r="CD59" i="44"/>
  <c r="CL57" i="44"/>
  <c r="CJ56" i="44"/>
  <c r="CH55" i="44"/>
  <c r="CF54" i="44"/>
  <c r="CD53" i="44"/>
  <c r="CL50" i="44"/>
  <c r="CJ49" i="44"/>
  <c r="CH48" i="44"/>
  <c r="CD45" i="44"/>
  <c r="CL41" i="44"/>
  <c r="CJ40" i="44"/>
  <c r="CH39" i="44"/>
  <c r="CL35" i="44"/>
  <c r="CJ34" i="44"/>
  <c r="CH32" i="44"/>
  <c r="CD29" i="44"/>
  <c r="CL27" i="44"/>
  <c r="CJ26" i="44"/>
  <c r="CH25" i="44"/>
  <c r="CF24" i="44"/>
  <c r="CD23" i="44"/>
  <c r="CL21" i="44"/>
  <c r="CJ20" i="44"/>
  <c r="CH19" i="44"/>
  <c r="CF18" i="44"/>
  <c r="CD17" i="44"/>
  <c r="CL15" i="44"/>
  <c r="CJ13" i="44"/>
  <c r="CH11" i="44"/>
  <c r="CF10" i="44"/>
  <c r="CD9" i="44"/>
  <c r="CL7" i="44"/>
  <c r="CJ6" i="44"/>
  <c r="CJ5" i="44"/>
  <c r="CG73" i="44"/>
  <c r="CE72" i="44"/>
  <c r="CM70" i="44"/>
  <c r="CK69" i="44"/>
  <c r="CI68" i="44"/>
  <c r="CG67" i="44"/>
  <c r="CE66" i="44"/>
  <c r="CM64" i="44"/>
  <c r="CK63" i="44"/>
  <c r="CI62" i="44"/>
  <c r="CG61" i="44"/>
  <c r="CE60" i="44"/>
  <c r="CM58" i="44"/>
  <c r="CK57" i="44"/>
  <c r="CI56" i="44"/>
  <c r="CG55" i="44"/>
  <c r="CE54" i="44"/>
  <c r="CK50" i="44"/>
  <c r="CI49" i="44"/>
  <c r="CG48" i="44"/>
  <c r="CM42" i="44"/>
  <c r="CK41" i="44"/>
  <c r="CI40" i="44"/>
  <c r="CG39" i="44"/>
  <c r="CM36" i="44"/>
  <c r="CK35" i="44"/>
  <c r="CI34" i="44"/>
  <c r="CG32" i="44"/>
  <c r="CE30" i="44"/>
  <c r="CM28" i="44"/>
  <c r="CK27" i="44"/>
  <c r="CI26" i="44"/>
  <c r="CG25" i="44"/>
  <c r="CE24" i="44"/>
  <c r="CM22" i="44"/>
  <c r="CK21" i="44"/>
  <c r="CI20" i="44"/>
  <c r="CG19" i="44"/>
  <c r="CE18" i="44"/>
  <c r="CM16" i="44"/>
  <c r="CK15" i="44"/>
  <c r="CI13" i="44"/>
  <c r="CG11" i="44"/>
  <c r="CE10" i="44"/>
  <c r="CM8" i="44"/>
  <c r="CK7" i="44"/>
  <c r="CI6" i="44"/>
  <c r="CF47" i="44"/>
  <c r="CH14" i="44"/>
  <c r="CH31" i="44"/>
  <c r="CE44" i="44"/>
  <c r="CI5" i="44"/>
  <c r="CF73" i="44"/>
  <c r="CD72" i="44"/>
  <c r="CL70" i="44"/>
  <c r="CJ69" i="44"/>
  <c r="CH68" i="44"/>
  <c r="CF67" i="44"/>
  <c r="CD66" i="44"/>
  <c r="CL64" i="44"/>
  <c r="CJ63" i="44"/>
  <c r="CH62" i="44"/>
  <c r="CF61" i="44"/>
  <c r="CD60" i="44"/>
  <c r="CL58" i="44"/>
  <c r="CJ57" i="44"/>
  <c r="CH56" i="44"/>
  <c r="CF55" i="44"/>
  <c r="CD54" i="44"/>
  <c r="CL51" i="44"/>
  <c r="CJ50" i="44"/>
  <c r="CH49" i="44"/>
  <c r="CF48" i="44"/>
  <c r="CL42" i="44"/>
  <c r="CJ41" i="44"/>
  <c r="CH40" i="44"/>
  <c r="CL36" i="44"/>
  <c r="CJ35" i="44"/>
  <c r="CH34" i="44"/>
  <c r="CF32" i="44"/>
  <c r="CJ27" i="44"/>
  <c r="CH26" i="44"/>
  <c r="CF25" i="44"/>
  <c r="CD24" i="44"/>
  <c r="CL22" i="44"/>
  <c r="CJ21" i="44"/>
  <c r="CH20" i="44"/>
  <c r="CF19" i="44"/>
  <c r="CD18" i="44"/>
  <c r="CL16" i="44"/>
  <c r="CJ15" i="44"/>
  <c r="CH13" i="44"/>
  <c r="CF11" i="44"/>
  <c r="CD10" i="44"/>
  <c r="CL8" i="44"/>
  <c r="CJ7" i="44"/>
  <c r="CH5" i="44"/>
  <c r="CE73" i="44"/>
  <c r="CM71" i="44"/>
  <c r="CK70" i="44"/>
  <c r="CI69" i="44"/>
  <c r="CG68" i="44"/>
  <c r="CE67" i="44"/>
  <c r="CM65" i="44"/>
  <c r="CK64" i="44"/>
  <c r="CI63" i="44"/>
  <c r="CG62" i="44"/>
  <c r="CE61" i="44"/>
  <c r="CM59" i="44"/>
  <c r="CK58" i="44"/>
  <c r="CI57" i="44"/>
  <c r="CG56" i="44"/>
  <c r="CE55" i="44"/>
  <c r="CM53" i="44"/>
  <c r="CK51" i="44"/>
  <c r="CG49" i="44"/>
  <c r="CE48" i="44"/>
  <c r="CM45" i="44"/>
  <c r="CK42" i="44"/>
  <c r="CI41" i="44"/>
  <c r="CG40" i="44"/>
  <c r="CE39" i="44"/>
  <c r="CM37" i="44"/>
  <c r="CK36" i="44"/>
  <c r="CI35" i="44"/>
  <c r="CG34" i="44"/>
  <c r="CE32" i="44"/>
  <c r="CM29" i="44"/>
  <c r="CK28" i="44"/>
  <c r="CI27" i="44"/>
  <c r="CG26" i="44"/>
  <c r="CE25" i="44"/>
  <c r="CM23" i="44"/>
  <c r="CK22" i="44"/>
  <c r="CI21" i="44"/>
  <c r="CG20" i="44"/>
  <c r="CE19" i="44"/>
  <c r="CM17" i="44"/>
  <c r="CK16" i="44"/>
  <c r="CI15" i="44"/>
  <c r="CG13" i="44"/>
  <c r="CE11" i="44"/>
  <c r="CM9" i="44"/>
  <c r="CK8" i="44"/>
  <c r="CI7" i="44"/>
  <c r="CG6" i="44"/>
  <c r="CG5" i="44"/>
  <c r="CD73" i="44"/>
  <c r="CL71" i="44"/>
  <c r="CJ70" i="44"/>
  <c r="CH69" i="44"/>
  <c r="CF68" i="44"/>
  <c r="CD67" i="44"/>
  <c r="CL65" i="44"/>
  <c r="CJ64" i="44"/>
  <c r="CH63" i="44"/>
  <c r="CF62" i="44"/>
  <c r="CD61" i="44"/>
  <c r="CL59" i="44"/>
  <c r="CJ58" i="44"/>
  <c r="CH57" i="44"/>
  <c r="CF56" i="44"/>
  <c r="CD55" i="44"/>
  <c r="CL53" i="44"/>
  <c r="CF49" i="44"/>
  <c r="CD48" i="44"/>
  <c r="CL45" i="44"/>
  <c r="CJ42" i="44"/>
  <c r="CH41" i="44"/>
  <c r="CF40" i="44"/>
  <c r="CD39" i="44"/>
  <c r="CL37" i="44"/>
  <c r="CJ36" i="44"/>
  <c r="CH35" i="44"/>
  <c r="CF34" i="44"/>
  <c r="CD32" i="44"/>
  <c r="CL29" i="44"/>
  <c r="CH27" i="44"/>
  <c r="CF26" i="44"/>
  <c r="CD25" i="44"/>
  <c r="CL23" i="44"/>
  <c r="CJ22" i="44"/>
  <c r="CH21" i="44"/>
  <c r="CF20" i="44"/>
  <c r="CD19" i="44"/>
  <c r="CL17" i="44"/>
  <c r="CJ16" i="44"/>
  <c r="CH15" i="44"/>
  <c r="CF13" i="44"/>
  <c r="CD11" i="44"/>
  <c r="CL9" i="44"/>
  <c r="CJ8" i="44"/>
  <c r="CH7" i="44"/>
  <c r="CF5" i="44"/>
  <c r="CM72" i="44"/>
  <c r="CK71" i="44"/>
  <c r="CI70" i="44"/>
  <c r="CG69" i="44"/>
  <c r="CE68" i="44"/>
  <c r="CM66" i="44"/>
  <c r="CK65" i="44"/>
  <c r="CI64" i="44"/>
  <c r="CG63" i="44"/>
  <c r="CE62" i="44"/>
  <c r="CM60" i="44"/>
  <c r="CK59" i="44"/>
  <c r="CI58" i="44"/>
  <c r="CG57" i="44"/>
  <c r="CE56" i="44"/>
  <c r="CM54" i="44"/>
  <c r="CK53" i="44"/>
  <c r="CI51" i="44"/>
  <c r="CE49" i="44"/>
  <c r="CM46" i="44"/>
  <c r="CK45" i="44"/>
  <c r="CI42" i="44"/>
  <c r="CG41" i="44"/>
  <c r="CE40" i="44"/>
  <c r="CK37" i="44"/>
  <c r="CI36" i="44"/>
  <c r="CG35" i="44"/>
  <c r="CE34" i="44"/>
  <c r="CK29" i="44"/>
  <c r="CG27" i="44"/>
  <c r="CE26" i="44"/>
  <c r="CM24" i="44"/>
  <c r="CK23" i="44"/>
  <c r="CI22" i="44"/>
  <c r="CG21" i="44"/>
  <c r="CE20" i="44"/>
  <c r="CM18" i="44"/>
  <c r="CK17" i="44"/>
  <c r="CI16" i="44"/>
  <c r="CG15" i="44"/>
  <c r="CE13" i="44"/>
  <c r="CM10" i="44"/>
  <c r="CK9" i="44"/>
  <c r="CI8" i="44"/>
  <c r="CG7" i="44"/>
  <c r="CE6" i="44"/>
  <c r="CE5" i="44"/>
  <c r="CL72" i="44"/>
  <c r="CJ71" i="44"/>
  <c r="CH70" i="44"/>
  <c r="CF69" i="44"/>
  <c r="CD68" i="44"/>
  <c r="CL66" i="44"/>
  <c r="CJ65" i="44"/>
  <c r="CH64" i="44"/>
  <c r="CF63" i="44"/>
  <c r="CD62" i="44"/>
  <c r="CL60" i="44"/>
  <c r="CJ59" i="44"/>
  <c r="CH58" i="44"/>
  <c r="CF57" i="44"/>
  <c r="CD56" i="44"/>
  <c r="CL54" i="44"/>
  <c r="CJ53" i="44"/>
  <c r="CD49" i="44"/>
  <c r="CJ45" i="44"/>
  <c r="CH42" i="44"/>
  <c r="CF41" i="44"/>
  <c r="CD40" i="44"/>
  <c r="CL38" i="44"/>
  <c r="CH36" i="44"/>
  <c r="CF35" i="44"/>
  <c r="CD34" i="44"/>
  <c r="CL30" i="44"/>
  <c r="CJ29" i="44"/>
  <c r="CH28" i="44"/>
  <c r="CF27" i="44"/>
  <c r="CD26" i="44"/>
  <c r="CL24" i="44"/>
  <c r="CJ23" i="44"/>
  <c r="CH22" i="44"/>
  <c r="CF21" i="44"/>
  <c r="CD20" i="44"/>
  <c r="CL18" i="44"/>
  <c r="CJ17" i="44"/>
  <c r="CH16" i="44"/>
  <c r="CF15" i="44"/>
  <c r="CD13" i="44"/>
  <c r="CL10" i="44"/>
  <c r="CJ9" i="44"/>
  <c r="CH8" i="44"/>
  <c r="CF7" i="44"/>
  <c r="CM73" i="44"/>
  <c r="CK72" i="44"/>
  <c r="CI71" i="44"/>
  <c r="CG70" i="44"/>
  <c r="CE69" i="44"/>
  <c r="CM67" i="44"/>
  <c r="CK66" i="44"/>
  <c r="CI65" i="44"/>
  <c r="CG64" i="44"/>
  <c r="CE63" i="44"/>
  <c r="CM61" i="44"/>
  <c r="CK60" i="44"/>
  <c r="CI59" i="44"/>
  <c r="CG58" i="44"/>
  <c r="CE57" i="44"/>
  <c r="CM55" i="44"/>
  <c r="CK54" i="44"/>
  <c r="CI53" i="44"/>
  <c r="CG51" i="44"/>
  <c r="CE50" i="44"/>
  <c r="CM48" i="44"/>
  <c r="CI45" i="44"/>
  <c r="CG42" i="44"/>
  <c r="CE41" i="44"/>
  <c r="CK38" i="44"/>
  <c r="CG36" i="44"/>
  <c r="CE35" i="44"/>
  <c r="CM32" i="44"/>
  <c r="CI29" i="44"/>
  <c r="CG28" i="44"/>
  <c r="CE27" i="44"/>
  <c r="CM25" i="44"/>
  <c r="CK24" i="44"/>
  <c r="CI23" i="44"/>
  <c r="CG22" i="44"/>
  <c r="CE21" i="44"/>
  <c r="CM19" i="44"/>
  <c r="CK18" i="44"/>
  <c r="CI17" i="44"/>
  <c r="CG16" i="44"/>
  <c r="CE15" i="44"/>
  <c r="CM11" i="44"/>
  <c r="CK10" i="44"/>
  <c r="CI9" i="44"/>
  <c r="CG8" i="44"/>
  <c r="CE7" i="44"/>
  <c r="AH244" i="44"/>
  <c r="AW244" i="44" s="1"/>
  <c r="AK258" i="44"/>
  <c r="AZ258" i="44" s="1"/>
  <c r="AJ258" i="44"/>
  <c r="AY258" i="44" s="1"/>
  <c r="AJ254" i="44"/>
  <c r="AY254" i="44" s="1"/>
  <c r="AK265" i="44"/>
  <c r="AZ265" i="44" s="1"/>
  <c r="AN266" i="44"/>
  <c r="BC266" i="44" s="1"/>
  <c r="AL249" i="44"/>
  <c r="BA249" i="44" s="1"/>
  <c r="AH266" i="44"/>
  <c r="AW266" i="44" s="1"/>
  <c r="AF249" i="44"/>
  <c r="AU249" i="44" s="1"/>
  <c r="AH263" i="44"/>
  <c r="AW263" i="44" s="1"/>
  <c r="AI248" i="44"/>
  <c r="AX248" i="44" s="1"/>
  <c r="AJ262" i="44"/>
  <c r="AY262" i="44" s="1"/>
  <c r="AI264" i="44"/>
  <c r="AX264" i="44" s="1"/>
  <c r="AH253" i="44"/>
  <c r="AW253" i="44" s="1"/>
  <c r="AF264" i="44"/>
  <c r="AU264" i="44" s="1"/>
  <c r="AK250" i="44"/>
  <c r="AZ250" i="44" s="1"/>
  <c r="AF248" i="44"/>
  <c r="AU248" i="44" s="1"/>
  <c r="AL262" i="44"/>
  <c r="BA262" i="44" s="1"/>
  <c r="AI244" i="44"/>
  <c r="AX244" i="44" s="1"/>
  <c r="AK254" i="44"/>
  <c r="AZ254" i="44" s="1"/>
  <c r="AH249" i="44"/>
  <c r="AW249" i="44" s="1"/>
  <c r="AF256" i="44"/>
  <c r="AU256" i="44" s="1"/>
  <c r="AM262" i="44"/>
  <c r="BB262" i="44" s="1"/>
  <c r="AJ244" i="44"/>
  <c r="AY244" i="44" s="1"/>
  <c r="AI249" i="44"/>
  <c r="AX249" i="44" s="1"/>
  <c r="AM265" i="44"/>
  <c r="BB265" i="44" s="1"/>
  <c r="AI253" i="44"/>
  <c r="AX253" i="44" s="1"/>
  <c r="AL250" i="44"/>
  <c r="BA250" i="44" s="1"/>
  <c r="AF265" i="44"/>
  <c r="AU265" i="44" s="1"/>
  <c r="AF263" i="44"/>
  <c r="AU263" i="44" s="1"/>
  <c r="AL258" i="44"/>
  <c r="BA258" i="44" s="1"/>
  <c r="AL254" i="44"/>
  <c r="BA254" i="44" s="1"/>
  <c r="AG258" i="44"/>
  <c r="AV258" i="44" s="1"/>
  <c r="AM248" i="44"/>
  <c r="BB248" i="44" s="1"/>
  <c r="AG266" i="44"/>
  <c r="AV266" i="44" s="1"/>
  <c r="AG250" i="44"/>
  <c r="AV250" i="44" s="1"/>
  <c r="BY253" i="44"/>
  <c r="CK43" i="44" s="1"/>
  <c r="AG254" i="44"/>
  <c r="AV254" i="44" s="1"/>
  <c r="AI262" i="44"/>
  <c r="AX262" i="44" s="1"/>
  <c r="AM263" i="44"/>
  <c r="BB263" i="44" s="1"/>
  <c r="AM266" i="44"/>
  <c r="BB266" i="44" s="1"/>
  <c r="AH265" i="44"/>
  <c r="AW265" i="44" s="1"/>
  <c r="AL263" i="44"/>
  <c r="BA263" i="44" s="1"/>
  <c r="BR317" i="44"/>
  <c r="CD37" i="44" s="1"/>
  <c r="AL266" i="44"/>
  <c r="BA266" i="44" s="1"/>
  <c r="AN256" i="44"/>
  <c r="BC256" i="44" s="1"/>
  <c r="BR262" i="44"/>
  <c r="CD52" i="44" s="1"/>
  <c r="BZ224" i="44"/>
  <c r="CL14" i="44" s="1"/>
  <c r="BX326" i="44"/>
  <c r="AM250" i="44"/>
  <c r="BB250" i="44" s="1"/>
  <c r="AJ249" i="44"/>
  <c r="AY249" i="44" s="1"/>
  <c r="BW253" i="44"/>
  <c r="CI43" i="44" s="1"/>
  <c r="BW241" i="44"/>
  <c r="CI31" i="44" s="1"/>
  <c r="BU222" i="44"/>
  <c r="CG12" i="44" s="1"/>
  <c r="BW326" i="44"/>
  <c r="BS318" i="44"/>
  <c r="CE38" i="44" s="1"/>
  <c r="CA310" i="44"/>
  <c r="BR257" i="44"/>
  <c r="CD47" i="44" s="1"/>
  <c r="BX254" i="44"/>
  <c r="CJ44" i="44" s="1"/>
  <c r="BR318" i="44"/>
  <c r="CD38" i="44" s="1"/>
  <c r="AN254" i="44"/>
  <c r="BC254" i="44" s="1"/>
  <c r="CA262" i="44"/>
  <c r="CM52" i="44" s="1"/>
  <c r="BU241" i="44"/>
  <c r="CG31" i="44" s="1"/>
  <c r="BU326" i="44"/>
  <c r="CG46" i="44" s="1"/>
  <c r="BY310" i="44"/>
  <c r="CK30" i="44" s="1"/>
  <c r="AN250" i="44"/>
  <c r="BC250" i="44" s="1"/>
  <c r="AK253" i="44"/>
  <c r="AZ253" i="44" s="1"/>
  <c r="AH256" i="44"/>
  <c r="AW256" i="44" s="1"/>
  <c r="AM244" i="44"/>
  <c r="BB244" i="44" s="1"/>
  <c r="AG256" i="44"/>
  <c r="AV256" i="44" s="1"/>
  <c r="AG249" i="44"/>
  <c r="AV249" i="44" s="1"/>
  <c r="AG263" i="44"/>
  <c r="AV263" i="44" s="1"/>
  <c r="BT253" i="44"/>
  <c r="CF43" i="44" s="1"/>
  <c r="BR222" i="44"/>
  <c r="CD12" i="44" s="1"/>
  <c r="BT326" i="44"/>
  <c r="CF46" i="44" s="1"/>
  <c r="AN258" i="44"/>
  <c r="BC258" i="44" s="1"/>
  <c r="BW243" i="44"/>
  <c r="CI33" i="44" s="1"/>
  <c r="BU224" i="44"/>
  <c r="CG14" i="44" s="1"/>
  <c r="CA318" i="44"/>
  <c r="CM38" i="44" s="1"/>
  <c r="AK244" i="44"/>
  <c r="AZ244" i="44" s="1"/>
  <c r="AM258" i="44"/>
  <c r="BB258" i="44" s="1"/>
  <c r="BR253" i="44"/>
  <c r="CD43" i="44" s="1"/>
  <c r="BR241" i="44"/>
  <c r="CD31" i="44" s="1"/>
  <c r="BR326" i="44"/>
  <c r="CD46" i="44" s="1"/>
  <c r="BV310" i="44"/>
  <c r="CH30" i="44" s="1"/>
  <c r="AL244" i="44"/>
  <c r="BA244" i="44" s="1"/>
  <c r="BW262" i="44"/>
  <c r="CI52" i="44" s="1"/>
  <c r="BW317" i="44"/>
  <c r="CI37" i="44" s="1"/>
  <c r="BR254" i="44"/>
  <c r="CD44" i="44" s="1"/>
  <c r="BR224" i="44"/>
  <c r="CD14" i="44" s="1"/>
  <c r="BZ253" i="44"/>
  <c r="CL43" i="44" s="1"/>
  <c r="BR243" i="44"/>
  <c r="CD33" i="44" s="1"/>
  <c r="BR310" i="44"/>
  <c r="CD30" i="44" s="1"/>
  <c r="BR286" i="44"/>
  <c r="CD6" i="44" s="1"/>
  <c r="BE57" i="44"/>
  <c r="BE82" i="44"/>
  <c r="BE27" i="44"/>
  <c r="BE21" i="44"/>
  <c r="BE15" i="44"/>
  <c r="BE9" i="44"/>
  <c r="BE240" i="44"/>
  <c r="BE234" i="44"/>
  <c r="BE228" i="44"/>
  <c r="BE222" i="44"/>
  <c r="BE216" i="44"/>
  <c r="BE210" i="44"/>
  <c r="BE204" i="44"/>
  <c r="BE198" i="44"/>
  <c r="BE192" i="44"/>
  <c r="BE186" i="44"/>
  <c r="BE180" i="44"/>
  <c r="BE174" i="44"/>
  <c r="BE168" i="44"/>
  <c r="BE162" i="44"/>
  <c r="BE156" i="44"/>
  <c r="BE150" i="44"/>
  <c r="BE144" i="44"/>
  <c r="BE138" i="44"/>
  <c r="BE131" i="44"/>
  <c r="BE125" i="44"/>
  <c r="BE119" i="44"/>
  <c r="BE113" i="44"/>
  <c r="BE64" i="44"/>
  <c r="BE58" i="44"/>
  <c r="BE46" i="44"/>
  <c r="BE40" i="44"/>
  <c r="BE33" i="44"/>
  <c r="BE93" i="44"/>
  <c r="BE75" i="44"/>
  <c r="BE34" i="44"/>
  <c r="BE22" i="44"/>
  <c r="BE16" i="44"/>
  <c r="BE10" i="44"/>
  <c r="BE241" i="44"/>
  <c r="BE235" i="44"/>
  <c r="BE229" i="44"/>
  <c r="BE223" i="44"/>
  <c r="BE217" i="44"/>
  <c r="BE211" i="44"/>
  <c r="BE205" i="44"/>
  <c r="BE199" i="44"/>
  <c r="BE193" i="44"/>
  <c r="BE187" i="44"/>
  <c r="BE181" i="44"/>
  <c r="BE175" i="44"/>
  <c r="BE169" i="44"/>
  <c r="BE163" i="44"/>
  <c r="BE157" i="44"/>
  <c r="BE151" i="44"/>
  <c r="BE65" i="44"/>
  <c r="BE59" i="44"/>
  <c r="BE53" i="44"/>
  <c r="BE47" i="44"/>
  <c r="BE41" i="44"/>
  <c r="BE35" i="44"/>
  <c r="BE51" i="44"/>
  <c r="BE245" i="44"/>
  <c r="BE29" i="44"/>
  <c r="BE23" i="44"/>
  <c r="BE17" i="44"/>
  <c r="BE11" i="44"/>
  <c r="BE242" i="44"/>
  <c r="BE236" i="44"/>
  <c r="BE230" i="44"/>
  <c r="BE224" i="44"/>
  <c r="BE218" i="44"/>
  <c r="BE212" i="44"/>
  <c r="BE206" i="44"/>
  <c r="BE66" i="44"/>
  <c r="BE60" i="44"/>
  <c r="BE54" i="44"/>
  <c r="BE48" i="44"/>
  <c r="BE42" i="44"/>
  <c r="BE36" i="44"/>
  <c r="BE257" i="44"/>
  <c r="BE24" i="44"/>
  <c r="BE18" i="44"/>
  <c r="BE12" i="44"/>
  <c r="BE6" i="44"/>
  <c r="BE237" i="44"/>
  <c r="BE231" i="44"/>
  <c r="BE225" i="44"/>
  <c r="BE219" i="44"/>
  <c r="BE213" i="44"/>
  <c r="BE207" i="44"/>
  <c r="BE86" i="44"/>
  <c r="BE69" i="44"/>
  <c r="BE45" i="44"/>
  <c r="BE28" i="44"/>
  <c r="BE252" i="44"/>
  <c r="BE30" i="44"/>
  <c r="BE5" i="44"/>
  <c r="BE247" i="44"/>
  <c r="BE31" i="44"/>
  <c r="BE25" i="44"/>
  <c r="BE19" i="44"/>
  <c r="BE13" i="44"/>
  <c r="BE7" i="44"/>
  <c r="BE238" i="44"/>
  <c r="BE232" i="44"/>
  <c r="BE226" i="44"/>
  <c r="BE220" i="44"/>
  <c r="BE214" i="44"/>
  <c r="BE208" i="44"/>
  <c r="BE202" i="44"/>
  <c r="BE196" i="44"/>
  <c r="BE190" i="44"/>
  <c r="BE184" i="44"/>
  <c r="BE178" i="44"/>
  <c r="BE172" i="44"/>
  <c r="BE135" i="44"/>
  <c r="BE129" i="44"/>
  <c r="BE123" i="44"/>
  <c r="BE117" i="44"/>
  <c r="BE111" i="44"/>
  <c r="BE68" i="44"/>
  <c r="BE62" i="44"/>
  <c r="BE56" i="44"/>
  <c r="BE50" i="44"/>
  <c r="BE44" i="44"/>
  <c r="BE38" i="44"/>
  <c r="BE63" i="44"/>
  <c r="BE39" i="44"/>
  <c r="BE32" i="44"/>
  <c r="BE26" i="44"/>
  <c r="BE20" i="44"/>
  <c r="BE14" i="44"/>
  <c r="BE8" i="44"/>
  <c r="BE239" i="44"/>
  <c r="BE233" i="44"/>
  <c r="BE227" i="44"/>
  <c r="BE221" i="44"/>
  <c r="BE215" i="44"/>
  <c r="BE209" i="44"/>
  <c r="BE52" i="44"/>
  <c r="BE259" i="44"/>
  <c r="BE203" i="44"/>
  <c r="BE197" i="44"/>
  <c r="BE191" i="44"/>
  <c r="BE185" i="44"/>
  <c r="BE179" i="44"/>
  <c r="BE173" i="44"/>
  <c r="BE167" i="44"/>
  <c r="BE161" i="44"/>
  <c r="BE155" i="44"/>
  <c r="BE149" i="44"/>
  <c r="BE143" i="44"/>
  <c r="BE137" i="44"/>
  <c r="BE130" i="44"/>
  <c r="BE124" i="44"/>
  <c r="BE118" i="44"/>
  <c r="BE112" i="44"/>
  <c r="BE106" i="44"/>
  <c r="BE100" i="44"/>
  <c r="BE94" i="44"/>
  <c r="BE88" i="44"/>
  <c r="BE76" i="44"/>
  <c r="BE107" i="44"/>
  <c r="BE101" i="44"/>
  <c r="BE95" i="44"/>
  <c r="BE89" i="44"/>
  <c r="BE83" i="44"/>
  <c r="BE77" i="44"/>
  <c r="BE71" i="44"/>
  <c r="BE145" i="44"/>
  <c r="BE139" i="44"/>
  <c r="BE132" i="44"/>
  <c r="BE126" i="44"/>
  <c r="BE120" i="44"/>
  <c r="BE114" i="44"/>
  <c r="BE108" i="44"/>
  <c r="BE102" i="44"/>
  <c r="BE96" i="44"/>
  <c r="BE90" i="44"/>
  <c r="BE84" i="44"/>
  <c r="BE78" i="44"/>
  <c r="BE72" i="44"/>
  <c r="BE200" i="44"/>
  <c r="BE194" i="44"/>
  <c r="BE188" i="44"/>
  <c r="BE182" i="44"/>
  <c r="BE176" i="44"/>
  <c r="BE170" i="44"/>
  <c r="BE164" i="44"/>
  <c r="BE158" i="44"/>
  <c r="BE152" i="44"/>
  <c r="BE146" i="44"/>
  <c r="BE140" i="44"/>
  <c r="BE133" i="44"/>
  <c r="BE127" i="44"/>
  <c r="BE121" i="44"/>
  <c r="BE115" i="44"/>
  <c r="BE109" i="44"/>
  <c r="BE103" i="44"/>
  <c r="BE97" i="44"/>
  <c r="BE91" i="44"/>
  <c r="BE85" i="44"/>
  <c r="BE79" i="44"/>
  <c r="BE73" i="44"/>
  <c r="BE67" i="44"/>
  <c r="BE61" i="44"/>
  <c r="BE55" i="44"/>
  <c r="BE49" i="44"/>
  <c r="BE43" i="44"/>
  <c r="BE37" i="44"/>
  <c r="BE201" i="44"/>
  <c r="BE195" i="44"/>
  <c r="BE189" i="44"/>
  <c r="BE183" i="44"/>
  <c r="BE177" i="44"/>
  <c r="BE171" i="44"/>
  <c r="BE165" i="44"/>
  <c r="BE159" i="44"/>
  <c r="BE153" i="44"/>
  <c r="BE147" i="44"/>
  <c r="BE141" i="44"/>
  <c r="BE134" i="44"/>
  <c r="BE128" i="44"/>
  <c r="BE122" i="44"/>
  <c r="BE116" i="44"/>
  <c r="BE110" i="44"/>
  <c r="BE104" i="44"/>
  <c r="BE98" i="44"/>
  <c r="BE92" i="44"/>
  <c r="BE80" i="44"/>
  <c r="BE74" i="44"/>
  <c r="BE166" i="44"/>
  <c r="BE160" i="44"/>
  <c r="BE154" i="44"/>
  <c r="BE148" i="44"/>
  <c r="BE142" i="44"/>
  <c r="BE105" i="44"/>
  <c r="BE99" i="44"/>
  <c r="BE87" i="44"/>
  <c r="BE81" i="44"/>
  <c r="BE255" i="44" l="1"/>
  <c r="BE266" i="44"/>
  <c r="BE250" i="44"/>
  <c r="BE246" i="44"/>
  <c r="CM30" i="44"/>
  <c r="CO30" i="44" s="1"/>
  <c r="BE264" i="44"/>
  <c r="CO6" i="44"/>
  <c r="CO41" i="44"/>
  <c r="D39" i="7" s="1"/>
  <c r="CI46" i="44"/>
  <c r="CO21" i="44"/>
  <c r="CP21" i="44" s="1"/>
  <c r="CO8" i="44"/>
  <c r="CP8" i="44" s="1"/>
  <c r="CO7" i="44"/>
  <c r="CO27" i="44"/>
  <c r="CJ46" i="44"/>
  <c r="CO15" i="44"/>
  <c r="CO50" i="44"/>
  <c r="CO69" i="44"/>
  <c r="CO57" i="44"/>
  <c r="CO35" i="44"/>
  <c r="CO63" i="44"/>
  <c r="CO9" i="44"/>
  <c r="CO40" i="44"/>
  <c r="CO32" i="44"/>
  <c r="CO24" i="44"/>
  <c r="CO45" i="44"/>
  <c r="CO36" i="44"/>
  <c r="CO67" i="44"/>
  <c r="CO60" i="44"/>
  <c r="CO70" i="44"/>
  <c r="CO14" i="44"/>
  <c r="CO26" i="44"/>
  <c r="CO19" i="44"/>
  <c r="CO10" i="44"/>
  <c r="CO29" i="44"/>
  <c r="CO22" i="44"/>
  <c r="CO47" i="44"/>
  <c r="CO62" i="44"/>
  <c r="CO55" i="44"/>
  <c r="CO65" i="44"/>
  <c r="CO58" i="44"/>
  <c r="CO52" i="44"/>
  <c r="CO13" i="44"/>
  <c r="CO17" i="44"/>
  <c r="CO72" i="44"/>
  <c r="CO49" i="44"/>
  <c r="CO39" i="44"/>
  <c r="CO53" i="44"/>
  <c r="CO42" i="44"/>
  <c r="CO44" i="44"/>
  <c r="CO33" i="44"/>
  <c r="CO73" i="44"/>
  <c r="CO66" i="44"/>
  <c r="CO34" i="44"/>
  <c r="CO25" i="44"/>
  <c r="CO18" i="44"/>
  <c r="CO37" i="44"/>
  <c r="CO28" i="44"/>
  <c r="CO12" i="44"/>
  <c r="CO68" i="44"/>
  <c r="CO61" i="44"/>
  <c r="CO54" i="44"/>
  <c r="CO71" i="44"/>
  <c r="CO64" i="44"/>
  <c r="CO5" i="44"/>
  <c r="CO31" i="44"/>
  <c r="CO20" i="44"/>
  <c r="CO11" i="44"/>
  <c r="CO23" i="44"/>
  <c r="CO16" i="44"/>
  <c r="CO43" i="44"/>
  <c r="CO56" i="44"/>
  <c r="CO48" i="44"/>
  <c r="CO38" i="44"/>
  <c r="CO59" i="44"/>
  <c r="CO51" i="44"/>
  <c r="BE249" i="44"/>
  <c r="BE263" i="44"/>
  <c r="BE262" i="44"/>
  <c r="BE248" i="44"/>
  <c r="BE265" i="44"/>
  <c r="BE256" i="44"/>
  <c r="BE254" i="44"/>
  <c r="BE258" i="44"/>
  <c r="BE253" i="44"/>
  <c r="BE244" i="44"/>
  <c r="D6" i="7" l="1"/>
  <c r="CP41" i="44"/>
  <c r="CO46" i="44"/>
  <c r="D19" i="7"/>
  <c r="CP44" i="44"/>
  <c r="D42" i="7"/>
  <c r="CP50" i="44"/>
  <c r="D48" i="7"/>
  <c r="CP61" i="44"/>
  <c r="D59" i="7"/>
  <c r="CP15" i="44"/>
  <c r="D13" i="7"/>
  <c r="CP56" i="44"/>
  <c r="D54" i="7"/>
  <c r="CP68" i="44"/>
  <c r="D66" i="7"/>
  <c r="CP53" i="44"/>
  <c r="D51" i="7"/>
  <c r="CP62" i="44"/>
  <c r="D60" i="7"/>
  <c r="CP45" i="44"/>
  <c r="D43" i="7"/>
  <c r="CP43" i="44"/>
  <c r="D41" i="7"/>
  <c r="CP12" i="44"/>
  <c r="D10" i="7"/>
  <c r="CP30" i="44"/>
  <c r="D28" i="7"/>
  <c r="CP47" i="44"/>
  <c r="D45" i="7"/>
  <c r="CP24" i="44"/>
  <c r="D22" i="7"/>
  <c r="CP67" i="44"/>
  <c r="D65" i="7"/>
  <c r="CP48" i="44"/>
  <c r="D46" i="7"/>
  <c r="CP28" i="44"/>
  <c r="D26" i="7"/>
  <c r="CP16" i="44"/>
  <c r="D14" i="7"/>
  <c r="CP37" i="44"/>
  <c r="D35" i="7"/>
  <c r="CP49" i="44"/>
  <c r="D47" i="7"/>
  <c r="CP29" i="44"/>
  <c r="D27" i="7"/>
  <c r="CP40" i="44"/>
  <c r="D38" i="7"/>
  <c r="CP27" i="44"/>
  <c r="D25" i="7"/>
  <c r="CP46" i="44"/>
  <c r="D44" i="7"/>
  <c r="CP36" i="44"/>
  <c r="D34" i="7"/>
  <c r="CP32" i="44"/>
  <c r="D30" i="7"/>
  <c r="CP11" i="44"/>
  <c r="D9" i="7"/>
  <c r="CP18" i="44"/>
  <c r="D16" i="7"/>
  <c r="CP72" i="44"/>
  <c r="D70" i="7"/>
  <c r="CP10" i="44"/>
  <c r="D8" i="7"/>
  <c r="CP9" i="44"/>
  <c r="D7" i="7"/>
  <c r="CP20" i="44"/>
  <c r="D18" i="7"/>
  <c r="CP25" i="44"/>
  <c r="D23" i="7"/>
  <c r="CP17" i="44"/>
  <c r="D15" i="7"/>
  <c r="CP19" i="44"/>
  <c r="D17" i="7"/>
  <c r="CP6" i="44"/>
  <c r="D4" i="7"/>
  <c r="CP7" i="44"/>
  <c r="D5" i="7"/>
  <c r="CP38" i="44"/>
  <c r="D36" i="7"/>
  <c r="CP55" i="44"/>
  <c r="D53" i="7"/>
  <c r="CP39" i="44"/>
  <c r="D37" i="7"/>
  <c r="CP31" i="44"/>
  <c r="D29" i="7"/>
  <c r="CP34" i="44"/>
  <c r="D32" i="7"/>
  <c r="CP13" i="44"/>
  <c r="D11" i="7"/>
  <c r="CP26" i="44"/>
  <c r="D24" i="7"/>
  <c r="CP63" i="44"/>
  <c r="D61" i="7"/>
  <c r="CP5" i="44"/>
  <c r="D3" i="7"/>
  <c r="CP66" i="44"/>
  <c r="D64" i="7"/>
  <c r="CP52" i="44"/>
  <c r="D50" i="7"/>
  <c r="CP14" i="44"/>
  <c r="D12" i="7"/>
  <c r="CP35" i="44"/>
  <c r="D33" i="7"/>
  <c r="CP42" i="44"/>
  <c r="D40" i="7"/>
  <c r="CP22" i="44"/>
  <c r="D20" i="7"/>
  <c r="CP23" i="44"/>
  <c r="D21" i="7"/>
  <c r="CP51" i="44"/>
  <c r="D49" i="7"/>
  <c r="CP64" i="44"/>
  <c r="D62" i="7"/>
  <c r="CP73" i="44"/>
  <c r="D71" i="7"/>
  <c r="CP58" i="44"/>
  <c r="D56" i="7"/>
  <c r="CP70" i="44"/>
  <c r="D68" i="7"/>
  <c r="CP57" i="44"/>
  <c r="D55" i="7"/>
  <c r="CP54" i="44"/>
  <c r="D52" i="7"/>
  <c r="CP59" i="44"/>
  <c r="D57" i="7"/>
  <c r="CP71" i="44"/>
  <c r="D69" i="7"/>
  <c r="CP33" i="44"/>
  <c r="D31" i="7"/>
  <c r="CP65" i="44"/>
  <c r="D63" i="7"/>
  <c r="CP60" i="44"/>
  <c r="D58" i="7"/>
  <c r="CP69" i="44"/>
  <c r="D67" i="7"/>
  <c r="CQ5" i="44" l="1"/>
  <c r="Y20" i="1" l="1"/>
  <c r="H11" i="1" l="1"/>
  <c r="C134" i="13" l="1"/>
  <c r="C133" i="13"/>
  <c r="C132" i="13"/>
  <c r="C131" i="13"/>
  <c r="C130" i="13"/>
  <c r="C129" i="13"/>
  <c r="C128" i="13"/>
  <c r="C127" i="13"/>
  <c r="C126" i="13"/>
  <c r="C125" i="13"/>
  <c r="C124" i="13"/>
  <c r="C123" i="13"/>
  <c r="C122" i="13"/>
  <c r="C121" i="13"/>
  <c r="C120" i="13"/>
  <c r="C119" i="13"/>
  <c r="C118" i="13"/>
  <c r="C117" i="13"/>
  <c r="C116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L375" i="7" l="1"/>
  <c r="AA38" i="1" l="1"/>
  <c r="J435" i="7" l="1"/>
  <c r="M435" i="7"/>
  <c r="E435" i="7"/>
  <c r="F9" i="32" s="1"/>
  <c r="E9" i="32" s="1"/>
  <c r="M375" i="7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M290" i="7"/>
  <c r="M72" i="7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3" i="9"/>
  <c r="D9" i="32" l="1"/>
  <c r="R68" i="6"/>
  <c r="Q68" i="6"/>
  <c r="R67" i="6"/>
  <c r="Q67" i="6"/>
  <c r="R66" i="6"/>
  <c r="Q66" i="6"/>
  <c r="R65" i="6"/>
  <c r="Q65" i="6"/>
  <c r="R64" i="6"/>
  <c r="Q64" i="6"/>
  <c r="R63" i="6"/>
  <c r="Q63" i="6"/>
  <c r="R62" i="6"/>
  <c r="Q62" i="6"/>
  <c r="R61" i="6"/>
  <c r="Q61" i="6"/>
  <c r="R60" i="6"/>
  <c r="Q60" i="6"/>
  <c r="R59" i="6"/>
  <c r="Q59" i="6"/>
  <c r="R58" i="6"/>
  <c r="Q58" i="6"/>
  <c r="R57" i="6"/>
  <c r="Q57" i="6"/>
  <c r="R56" i="6"/>
  <c r="Q56" i="6"/>
  <c r="R55" i="6"/>
  <c r="Q55" i="6"/>
  <c r="R54" i="6"/>
  <c r="Q54" i="6"/>
  <c r="R53" i="6"/>
  <c r="Q53" i="6"/>
  <c r="R52" i="6"/>
  <c r="Q52" i="6"/>
  <c r="R51" i="6"/>
  <c r="Q51" i="6"/>
  <c r="R50" i="6"/>
  <c r="Q50" i="6"/>
  <c r="R49" i="6"/>
  <c r="Q49" i="6"/>
  <c r="R48" i="6"/>
  <c r="Q48" i="6"/>
  <c r="R47" i="6"/>
  <c r="Q47" i="6"/>
  <c r="R46" i="6"/>
  <c r="Q46" i="6"/>
  <c r="R45" i="6"/>
  <c r="Q45" i="6"/>
  <c r="R44" i="6"/>
  <c r="Q44" i="6"/>
  <c r="R43" i="6"/>
  <c r="Q43" i="6"/>
  <c r="R42" i="6"/>
  <c r="Q42" i="6"/>
  <c r="R41" i="6"/>
  <c r="Q41" i="6"/>
  <c r="R40" i="6"/>
  <c r="Q40" i="6"/>
  <c r="R39" i="6"/>
  <c r="Q39" i="6"/>
  <c r="R38" i="6"/>
  <c r="Q38" i="6"/>
  <c r="R37" i="6"/>
  <c r="Q37" i="6"/>
  <c r="R36" i="6"/>
  <c r="Q36" i="6"/>
  <c r="R35" i="6"/>
  <c r="Q35" i="6"/>
  <c r="R34" i="6"/>
  <c r="Q34" i="6"/>
  <c r="R33" i="6"/>
  <c r="Q33" i="6"/>
  <c r="R32" i="6"/>
  <c r="Q32" i="6"/>
  <c r="R31" i="6"/>
  <c r="Q31" i="6"/>
  <c r="R30" i="6"/>
  <c r="Q30" i="6"/>
  <c r="R29" i="6"/>
  <c r="Q29" i="6"/>
  <c r="R28" i="6"/>
  <c r="Q28" i="6"/>
  <c r="R27" i="6"/>
  <c r="Q27" i="6"/>
  <c r="R26" i="6"/>
  <c r="Q26" i="6"/>
  <c r="R25" i="6"/>
  <c r="Q25" i="6"/>
  <c r="R24" i="6"/>
  <c r="Q24" i="6"/>
  <c r="R23" i="6"/>
  <c r="Q23" i="6"/>
  <c r="R22" i="6"/>
  <c r="Q22" i="6"/>
  <c r="R21" i="6"/>
  <c r="Q21" i="6"/>
  <c r="R20" i="6"/>
  <c r="Q20" i="6"/>
  <c r="R19" i="6"/>
  <c r="Q19" i="6"/>
  <c r="R18" i="6"/>
  <c r="Q18" i="6"/>
  <c r="R17" i="6"/>
  <c r="Q17" i="6"/>
  <c r="R16" i="6"/>
  <c r="Q16" i="6"/>
  <c r="R15" i="6"/>
  <c r="Q15" i="6"/>
  <c r="R14" i="6"/>
  <c r="Q14" i="6"/>
  <c r="R13" i="6"/>
  <c r="Q13" i="6"/>
  <c r="R12" i="6"/>
  <c r="Q12" i="6"/>
  <c r="R11" i="6"/>
  <c r="Q11" i="6"/>
  <c r="R10" i="6"/>
  <c r="Q10" i="6"/>
  <c r="R9" i="6"/>
  <c r="Q9" i="6"/>
  <c r="R8" i="6"/>
  <c r="Q8" i="6"/>
  <c r="R7" i="6"/>
  <c r="Q7" i="6"/>
  <c r="R6" i="6"/>
  <c r="Q6" i="6"/>
  <c r="R5" i="6"/>
  <c r="I498" i="7"/>
  <c r="A508" i="7"/>
  <c r="A499" i="7"/>
  <c r="A2" i="13"/>
  <c r="A3" i="13"/>
  <c r="A4" i="13"/>
  <c r="A5" i="13"/>
  <c r="A6" i="13"/>
  <c r="R21" i="2" l="1"/>
  <c r="A490" i="7" l="1"/>
  <c r="C289" i="9" l="1"/>
  <c r="M6" i="6" l="1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5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5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42" i="6"/>
  <c r="H34" i="6"/>
  <c r="H35" i="6"/>
  <c r="H36" i="6"/>
  <c r="H37" i="6"/>
  <c r="H38" i="6"/>
  <c r="H39" i="6"/>
  <c r="H40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5" i="6"/>
  <c r="C468" i="13" l="1"/>
  <c r="C426" i="13"/>
  <c r="C427" i="13"/>
  <c r="C432" i="13"/>
  <c r="C433" i="13"/>
  <c r="C434" i="13"/>
  <c r="C435" i="13"/>
  <c r="C440" i="13"/>
  <c r="C441" i="13"/>
  <c r="C442" i="13"/>
  <c r="C443" i="13"/>
  <c r="C448" i="13"/>
  <c r="C449" i="13"/>
  <c r="C450" i="13"/>
  <c r="C451" i="13"/>
  <c r="C456" i="13"/>
  <c r="C457" i="13"/>
  <c r="C458" i="13"/>
  <c r="C459" i="13"/>
  <c r="C464" i="13"/>
  <c r="C465" i="13"/>
  <c r="C466" i="13"/>
  <c r="C467" i="13"/>
  <c r="C428" i="13"/>
  <c r="C429" i="13"/>
  <c r="C430" i="13"/>
  <c r="C431" i="13"/>
  <c r="C437" i="13"/>
  <c r="C438" i="13"/>
  <c r="C439" i="13"/>
  <c r="C445" i="13"/>
  <c r="C446" i="13"/>
  <c r="C447" i="13"/>
  <c r="C453" i="13"/>
  <c r="C454" i="13"/>
  <c r="C455" i="13"/>
  <c r="C461" i="13"/>
  <c r="C462" i="13"/>
  <c r="C463" i="13"/>
  <c r="C469" i="13"/>
  <c r="C470" i="13"/>
  <c r="C425" i="13"/>
  <c r="C460" i="13"/>
  <c r="C452" i="13"/>
  <c r="C444" i="13"/>
  <c r="C436" i="13"/>
  <c r="C357" i="13"/>
  <c r="C356" i="13"/>
  <c r="C345" i="13"/>
  <c r="C344" i="13"/>
  <c r="C333" i="13"/>
  <c r="C332" i="13"/>
  <c r="C326" i="13"/>
  <c r="C321" i="13"/>
  <c r="C320" i="13"/>
  <c r="C309" i="13"/>
  <c r="C308" i="13"/>
  <c r="C302" i="13"/>
  <c r="C297" i="13"/>
  <c r="C296" i="13"/>
  <c r="H134" i="13"/>
  <c r="H133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C63" i="13"/>
  <c r="C51" i="13"/>
  <c r="C39" i="13"/>
  <c r="C27" i="13"/>
  <c r="C15" i="13"/>
  <c r="C3" i="13"/>
  <c r="B126" i="5"/>
  <c r="AG126" i="5" s="1"/>
  <c r="B127" i="5"/>
  <c r="AG127" i="5" s="1"/>
  <c r="B128" i="5"/>
  <c r="AG128" i="5" s="1"/>
  <c r="B130" i="5"/>
  <c r="AG130" i="5" s="1"/>
  <c r="B131" i="5"/>
  <c r="AG131" i="5" s="1"/>
  <c r="B132" i="5"/>
  <c r="AG132" i="5" s="1"/>
  <c r="B133" i="5"/>
  <c r="AG133" i="5" s="1"/>
  <c r="B135" i="5"/>
  <c r="AG135" i="5" s="1"/>
  <c r="B137" i="5"/>
  <c r="AG137" i="5" s="1"/>
  <c r="B138" i="5"/>
  <c r="AG138" i="5" s="1"/>
  <c r="B140" i="5"/>
  <c r="AG140" i="5" s="1"/>
  <c r="B141" i="5"/>
  <c r="AG141" i="5" s="1"/>
  <c r="B142" i="5"/>
  <c r="AG142" i="5" s="1"/>
  <c r="B143" i="5"/>
  <c r="AG143" i="5" s="1"/>
  <c r="B144" i="5"/>
  <c r="AG144" i="5" s="1"/>
  <c r="B145" i="5"/>
  <c r="AG145" i="5" s="1"/>
  <c r="B146" i="5"/>
  <c r="AG146" i="5" s="1"/>
  <c r="B147" i="5"/>
  <c r="AG147" i="5" s="1"/>
  <c r="B148" i="5"/>
  <c r="AG148" i="5" s="1"/>
  <c r="B151" i="5"/>
  <c r="AG151" i="5" s="1"/>
  <c r="B152" i="5"/>
  <c r="AG152" i="5" s="1"/>
  <c r="B153" i="5"/>
  <c r="AG153" i="5" s="1"/>
  <c r="B156" i="5"/>
  <c r="AG156" i="5" s="1"/>
  <c r="B159" i="5"/>
  <c r="AG159" i="5" s="1"/>
  <c r="B160" i="5"/>
  <c r="AG160" i="5" s="1"/>
  <c r="B161" i="5"/>
  <c r="AG161" i="5" s="1"/>
  <c r="B162" i="5"/>
  <c r="AG162" i="5" s="1"/>
  <c r="B163" i="5"/>
  <c r="AG163" i="5" s="1"/>
  <c r="B165" i="5"/>
  <c r="AG165" i="5" s="1"/>
  <c r="B167" i="5"/>
  <c r="AG167" i="5" s="1"/>
  <c r="B168" i="5"/>
  <c r="AG168" i="5" s="1"/>
  <c r="B169" i="5"/>
  <c r="AG169" i="5" s="1"/>
  <c r="B173" i="5"/>
  <c r="AG173" i="5" s="1"/>
  <c r="B175" i="5"/>
  <c r="AG175" i="5" s="1"/>
  <c r="B176" i="5"/>
  <c r="AG176" i="5" s="1"/>
  <c r="B177" i="5"/>
  <c r="AG177" i="5" s="1"/>
  <c r="B179" i="5"/>
  <c r="AG179" i="5" s="1"/>
  <c r="B180" i="5"/>
  <c r="AG180" i="5" s="1"/>
  <c r="B124" i="5"/>
  <c r="B117" i="5"/>
  <c r="B155" i="5" s="1"/>
  <c r="AG155" i="5" s="1"/>
  <c r="C117" i="5"/>
  <c r="D117" i="5"/>
  <c r="E117" i="5"/>
  <c r="F117" i="5"/>
  <c r="G117" i="5"/>
  <c r="H117" i="5"/>
  <c r="I117" i="5"/>
  <c r="J117" i="5"/>
  <c r="K117" i="5"/>
  <c r="B118" i="5"/>
  <c r="B154" i="5" s="1"/>
  <c r="AG154" i="5" s="1"/>
  <c r="C118" i="5"/>
  <c r="D118" i="5"/>
  <c r="E118" i="5"/>
  <c r="F118" i="5"/>
  <c r="G118" i="5"/>
  <c r="H118" i="5"/>
  <c r="I118" i="5"/>
  <c r="J118" i="5"/>
  <c r="K118" i="5"/>
  <c r="C116" i="5"/>
  <c r="D116" i="5"/>
  <c r="E116" i="5"/>
  <c r="F116" i="5"/>
  <c r="G116" i="5"/>
  <c r="H116" i="5"/>
  <c r="I116" i="5"/>
  <c r="J116" i="5"/>
  <c r="K116" i="5"/>
  <c r="B116" i="5"/>
  <c r="B178" i="5" s="1"/>
  <c r="AG178" i="5" s="1"/>
  <c r="C104" i="5"/>
  <c r="D104" i="5"/>
  <c r="E104" i="5"/>
  <c r="F104" i="5"/>
  <c r="G104" i="5"/>
  <c r="H104" i="5"/>
  <c r="I104" i="5"/>
  <c r="J104" i="5"/>
  <c r="K104" i="5"/>
  <c r="C105" i="5"/>
  <c r="D105" i="5"/>
  <c r="E105" i="5"/>
  <c r="F105" i="5"/>
  <c r="G105" i="5"/>
  <c r="H105" i="5"/>
  <c r="I105" i="5"/>
  <c r="J105" i="5"/>
  <c r="K105" i="5"/>
  <c r="C106" i="5"/>
  <c r="D106" i="5"/>
  <c r="E106" i="5"/>
  <c r="F106" i="5"/>
  <c r="G106" i="5"/>
  <c r="H106" i="5"/>
  <c r="I106" i="5"/>
  <c r="J106" i="5"/>
  <c r="K106" i="5"/>
  <c r="C107" i="5"/>
  <c r="D107" i="5"/>
  <c r="E107" i="5"/>
  <c r="F107" i="5"/>
  <c r="G107" i="5"/>
  <c r="H107" i="5"/>
  <c r="I107" i="5"/>
  <c r="J107" i="5"/>
  <c r="K107" i="5"/>
  <c r="B105" i="5"/>
  <c r="B182" i="5" s="1"/>
  <c r="AG182" i="5" s="1"/>
  <c r="B106" i="5"/>
  <c r="B166" i="5" s="1"/>
  <c r="AG166" i="5" s="1"/>
  <c r="B107" i="5"/>
  <c r="B164" i="5" s="1"/>
  <c r="AG164" i="5" s="1"/>
  <c r="B104" i="5"/>
  <c r="B149" i="5" s="1"/>
  <c r="AG149" i="5" s="1"/>
  <c r="B83" i="5"/>
  <c r="B150" i="5" s="1"/>
  <c r="AG150" i="5" s="1"/>
  <c r="C83" i="5"/>
  <c r="D83" i="5"/>
  <c r="E83" i="5"/>
  <c r="F83" i="5"/>
  <c r="G83" i="5"/>
  <c r="H83" i="5"/>
  <c r="I83" i="5"/>
  <c r="J83" i="5"/>
  <c r="K83" i="5"/>
  <c r="B84" i="5"/>
  <c r="B157" i="5" s="1"/>
  <c r="AG157" i="5" s="1"/>
  <c r="C84" i="5"/>
  <c r="D84" i="5"/>
  <c r="E84" i="5"/>
  <c r="F84" i="5"/>
  <c r="G84" i="5"/>
  <c r="H84" i="5"/>
  <c r="I84" i="5"/>
  <c r="J84" i="5"/>
  <c r="K84" i="5"/>
  <c r="B85" i="5"/>
  <c r="B129" i="5" s="1"/>
  <c r="AG129" i="5" s="1"/>
  <c r="C85" i="5"/>
  <c r="D85" i="5"/>
  <c r="E85" i="5"/>
  <c r="F85" i="5"/>
  <c r="G85" i="5"/>
  <c r="H85" i="5"/>
  <c r="I85" i="5"/>
  <c r="J85" i="5"/>
  <c r="K85" i="5"/>
  <c r="B86" i="5"/>
  <c r="B134" i="5" s="1"/>
  <c r="AG134" i="5" s="1"/>
  <c r="C86" i="5"/>
  <c r="D86" i="5"/>
  <c r="E86" i="5"/>
  <c r="F86" i="5"/>
  <c r="G86" i="5"/>
  <c r="H86" i="5"/>
  <c r="I86" i="5"/>
  <c r="J86" i="5"/>
  <c r="K86" i="5"/>
  <c r="B87" i="5"/>
  <c r="B136" i="5" s="1"/>
  <c r="AG136" i="5" s="1"/>
  <c r="C87" i="5"/>
  <c r="D87" i="5"/>
  <c r="E87" i="5"/>
  <c r="F87" i="5"/>
  <c r="G87" i="5"/>
  <c r="H87" i="5"/>
  <c r="I87" i="5"/>
  <c r="J87" i="5"/>
  <c r="K87" i="5"/>
  <c r="B88" i="5"/>
  <c r="B139" i="5" s="1"/>
  <c r="AG139" i="5" s="1"/>
  <c r="C88" i="5"/>
  <c r="D88" i="5"/>
  <c r="E88" i="5"/>
  <c r="F88" i="5"/>
  <c r="G88" i="5"/>
  <c r="H88" i="5"/>
  <c r="I88" i="5"/>
  <c r="J88" i="5"/>
  <c r="K88" i="5"/>
  <c r="B89" i="5"/>
  <c r="B158" i="5" s="1"/>
  <c r="AG158" i="5" s="1"/>
  <c r="C89" i="5"/>
  <c r="D89" i="5"/>
  <c r="E89" i="5"/>
  <c r="F89" i="5"/>
  <c r="G89" i="5"/>
  <c r="H89" i="5"/>
  <c r="I89" i="5"/>
  <c r="J89" i="5"/>
  <c r="K89" i="5"/>
  <c r="B90" i="5"/>
  <c r="B170" i="5" s="1"/>
  <c r="AG170" i="5" s="1"/>
  <c r="C90" i="5"/>
  <c r="D90" i="5"/>
  <c r="E90" i="5"/>
  <c r="F90" i="5"/>
  <c r="G90" i="5"/>
  <c r="H90" i="5"/>
  <c r="I90" i="5"/>
  <c r="J90" i="5"/>
  <c r="K90" i="5"/>
  <c r="B91" i="5"/>
  <c r="B171" i="5" s="1"/>
  <c r="AG171" i="5" s="1"/>
  <c r="C91" i="5"/>
  <c r="D91" i="5"/>
  <c r="E91" i="5"/>
  <c r="F91" i="5"/>
  <c r="G91" i="5"/>
  <c r="H91" i="5"/>
  <c r="I91" i="5"/>
  <c r="J91" i="5"/>
  <c r="K91" i="5"/>
  <c r="B92" i="5"/>
  <c r="B172" i="5" s="1"/>
  <c r="AG172" i="5" s="1"/>
  <c r="C92" i="5"/>
  <c r="D92" i="5"/>
  <c r="E92" i="5"/>
  <c r="F92" i="5"/>
  <c r="G92" i="5"/>
  <c r="H92" i="5"/>
  <c r="I92" i="5"/>
  <c r="J92" i="5"/>
  <c r="K92" i="5"/>
  <c r="B93" i="5"/>
  <c r="B174" i="5" s="1"/>
  <c r="AG174" i="5" s="1"/>
  <c r="C93" i="5"/>
  <c r="D93" i="5"/>
  <c r="E93" i="5"/>
  <c r="F93" i="5"/>
  <c r="G93" i="5"/>
  <c r="H93" i="5"/>
  <c r="I93" i="5"/>
  <c r="J93" i="5"/>
  <c r="K93" i="5"/>
  <c r="B94" i="5"/>
  <c r="B181" i="5" s="1"/>
  <c r="AG181" i="5" s="1"/>
  <c r="C94" i="5"/>
  <c r="D94" i="5"/>
  <c r="E94" i="5"/>
  <c r="F94" i="5"/>
  <c r="G94" i="5"/>
  <c r="H94" i="5"/>
  <c r="I94" i="5"/>
  <c r="J94" i="5"/>
  <c r="K94" i="5"/>
  <c r="K82" i="5"/>
  <c r="B82" i="5"/>
  <c r="B125" i="5" s="1"/>
  <c r="AG125" i="5" s="1"/>
  <c r="C82" i="5"/>
  <c r="D82" i="5"/>
  <c r="E82" i="5"/>
  <c r="F82" i="5"/>
  <c r="G82" i="5"/>
  <c r="H82" i="5"/>
  <c r="I82" i="5"/>
  <c r="J82" i="5"/>
  <c r="C6" i="5"/>
  <c r="D6" i="5"/>
  <c r="E6" i="5"/>
  <c r="F6" i="5"/>
  <c r="G6" i="5"/>
  <c r="H6" i="5"/>
  <c r="I6" i="5"/>
  <c r="J6" i="5"/>
  <c r="K6" i="5"/>
  <c r="C7" i="5"/>
  <c r="C126" i="5" s="1"/>
  <c r="AH126" i="5" s="1"/>
  <c r="D7" i="5"/>
  <c r="D126" i="5" s="1"/>
  <c r="AI126" i="5" s="1"/>
  <c r="E7" i="5"/>
  <c r="E126" i="5" s="1"/>
  <c r="AJ126" i="5" s="1"/>
  <c r="F7" i="5"/>
  <c r="F126" i="5" s="1"/>
  <c r="AK126" i="5" s="1"/>
  <c r="G7" i="5"/>
  <c r="G126" i="5" s="1"/>
  <c r="AL126" i="5" s="1"/>
  <c r="H7" i="5"/>
  <c r="H126" i="5" s="1"/>
  <c r="AM126" i="5" s="1"/>
  <c r="I7" i="5"/>
  <c r="I126" i="5" s="1"/>
  <c r="AN126" i="5" s="1"/>
  <c r="J7" i="5"/>
  <c r="J126" i="5" s="1"/>
  <c r="AO126" i="5" s="1"/>
  <c r="K7" i="5"/>
  <c r="K126" i="5" s="1"/>
  <c r="AP126" i="5" s="1"/>
  <c r="C8" i="5"/>
  <c r="C127" i="5" s="1"/>
  <c r="AH127" i="5" s="1"/>
  <c r="D8" i="5"/>
  <c r="D127" i="5" s="1"/>
  <c r="AI127" i="5" s="1"/>
  <c r="E8" i="5"/>
  <c r="E127" i="5" s="1"/>
  <c r="AJ127" i="5" s="1"/>
  <c r="F8" i="5"/>
  <c r="F127" i="5" s="1"/>
  <c r="AK127" i="5" s="1"/>
  <c r="G8" i="5"/>
  <c r="G127" i="5" s="1"/>
  <c r="AL127" i="5" s="1"/>
  <c r="H8" i="5"/>
  <c r="H127" i="5" s="1"/>
  <c r="AM127" i="5" s="1"/>
  <c r="I8" i="5"/>
  <c r="I127" i="5" s="1"/>
  <c r="AN127" i="5" s="1"/>
  <c r="J8" i="5"/>
  <c r="J127" i="5" s="1"/>
  <c r="AO127" i="5" s="1"/>
  <c r="K8" i="5"/>
  <c r="K127" i="5" s="1"/>
  <c r="AP127" i="5" s="1"/>
  <c r="C9" i="5"/>
  <c r="C128" i="5" s="1"/>
  <c r="AH128" i="5" s="1"/>
  <c r="D9" i="5"/>
  <c r="D128" i="5" s="1"/>
  <c r="AI128" i="5" s="1"/>
  <c r="E9" i="5"/>
  <c r="E128" i="5" s="1"/>
  <c r="AJ128" i="5" s="1"/>
  <c r="F9" i="5"/>
  <c r="F128" i="5" s="1"/>
  <c r="AK128" i="5" s="1"/>
  <c r="G9" i="5"/>
  <c r="G128" i="5" s="1"/>
  <c r="AL128" i="5" s="1"/>
  <c r="H9" i="5"/>
  <c r="H128" i="5" s="1"/>
  <c r="AM128" i="5" s="1"/>
  <c r="I9" i="5"/>
  <c r="I128" i="5" s="1"/>
  <c r="AN128" i="5" s="1"/>
  <c r="J9" i="5"/>
  <c r="J128" i="5" s="1"/>
  <c r="AO128" i="5" s="1"/>
  <c r="K9" i="5"/>
  <c r="K128" i="5" s="1"/>
  <c r="AP128" i="5" s="1"/>
  <c r="C10" i="5"/>
  <c r="D10" i="5"/>
  <c r="E10" i="5"/>
  <c r="F10" i="5"/>
  <c r="G10" i="5"/>
  <c r="H10" i="5"/>
  <c r="I10" i="5"/>
  <c r="J10" i="5"/>
  <c r="K10" i="5"/>
  <c r="C11" i="5"/>
  <c r="C130" i="5" s="1"/>
  <c r="AH130" i="5" s="1"/>
  <c r="D11" i="5"/>
  <c r="D130" i="5" s="1"/>
  <c r="AI130" i="5" s="1"/>
  <c r="E11" i="5"/>
  <c r="E130" i="5" s="1"/>
  <c r="AJ130" i="5" s="1"/>
  <c r="F11" i="5"/>
  <c r="F130" i="5" s="1"/>
  <c r="AK130" i="5" s="1"/>
  <c r="G11" i="5"/>
  <c r="G130" i="5" s="1"/>
  <c r="AL130" i="5" s="1"/>
  <c r="H11" i="5"/>
  <c r="H130" i="5" s="1"/>
  <c r="AM130" i="5" s="1"/>
  <c r="I11" i="5"/>
  <c r="I130" i="5" s="1"/>
  <c r="AN130" i="5" s="1"/>
  <c r="J11" i="5"/>
  <c r="J130" i="5" s="1"/>
  <c r="AO130" i="5" s="1"/>
  <c r="K11" i="5"/>
  <c r="K130" i="5" s="1"/>
  <c r="AP130" i="5" s="1"/>
  <c r="C12" i="5"/>
  <c r="C131" i="5" s="1"/>
  <c r="AH131" i="5" s="1"/>
  <c r="D12" i="5"/>
  <c r="D131" i="5" s="1"/>
  <c r="AI131" i="5" s="1"/>
  <c r="E12" i="5"/>
  <c r="E131" i="5" s="1"/>
  <c r="AJ131" i="5" s="1"/>
  <c r="F12" i="5"/>
  <c r="F131" i="5" s="1"/>
  <c r="AK131" i="5" s="1"/>
  <c r="G12" i="5"/>
  <c r="G131" i="5" s="1"/>
  <c r="AL131" i="5" s="1"/>
  <c r="H12" i="5"/>
  <c r="H131" i="5" s="1"/>
  <c r="AM131" i="5" s="1"/>
  <c r="I12" i="5"/>
  <c r="I131" i="5" s="1"/>
  <c r="AN131" i="5" s="1"/>
  <c r="J12" i="5"/>
  <c r="J131" i="5" s="1"/>
  <c r="AO131" i="5" s="1"/>
  <c r="K12" i="5"/>
  <c r="K131" i="5" s="1"/>
  <c r="AP131" i="5" s="1"/>
  <c r="C13" i="5"/>
  <c r="C132" i="5" s="1"/>
  <c r="AH132" i="5" s="1"/>
  <c r="D13" i="5"/>
  <c r="D132" i="5" s="1"/>
  <c r="AI132" i="5" s="1"/>
  <c r="E13" i="5"/>
  <c r="E132" i="5" s="1"/>
  <c r="AJ132" i="5" s="1"/>
  <c r="F13" i="5"/>
  <c r="F132" i="5" s="1"/>
  <c r="AK132" i="5" s="1"/>
  <c r="G13" i="5"/>
  <c r="G132" i="5" s="1"/>
  <c r="AL132" i="5" s="1"/>
  <c r="H13" i="5"/>
  <c r="H132" i="5" s="1"/>
  <c r="AM132" i="5" s="1"/>
  <c r="I13" i="5"/>
  <c r="I132" i="5" s="1"/>
  <c r="AN132" i="5" s="1"/>
  <c r="J13" i="5"/>
  <c r="J132" i="5" s="1"/>
  <c r="AO132" i="5" s="1"/>
  <c r="K13" i="5"/>
  <c r="K132" i="5" s="1"/>
  <c r="AP132" i="5" s="1"/>
  <c r="C14" i="5"/>
  <c r="C133" i="5" s="1"/>
  <c r="AH133" i="5" s="1"/>
  <c r="D14" i="5"/>
  <c r="D133" i="5" s="1"/>
  <c r="AI133" i="5" s="1"/>
  <c r="E14" i="5"/>
  <c r="E133" i="5" s="1"/>
  <c r="AJ133" i="5" s="1"/>
  <c r="F14" i="5"/>
  <c r="F133" i="5" s="1"/>
  <c r="AK133" i="5" s="1"/>
  <c r="G14" i="5"/>
  <c r="G133" i="5" s="1"/>
  <c r="AL133" i="5" s="1"/>
  <c r="H14" i="5"/>
  <c r="H133" i="5" s="1"/>
  <c r="AM133" i="5" s="1"/>
  <c r="I14" i="5"/>
  <c r="I133" i="5" s="1"/>
  <c r="AN133" i="5" s="1"/>
  <c r="J14" i="5"/>
  <c r="J133" i="5" s="1"/>
  <c r="AO133" i="5" s="1"/>
  <c r="K14" i="5"/>
  <c r="K133" i="5" s="1"/>
  <c r="AP133" i="5" s="1"/>
  <c r="C15" i="5"/>
  <c r="D15" i="5"/>
  <c r="E15" i="5"/>
  <c r="F15" i="5"/>
  <c r="G15" i="5"/>
  <c r="H15" i="5"/>
  <c r="I15" i="5"/>
  <c r="J15" i="5"/>
  <c r="K15" i="5"/>
  <c r="C16" i="5"/>
  <c r="C135" i="5" s="1"/>
  <c r="AH135" i="5" s="1"/>
  <c r="D16" i="5"/>
  <c r="D135" i="5" s="1"/>
  <c r="AI135" i="5" s="1"/>
  <c r="E16" i="5"/>
  <c r="E135" i="5" s="1"/>
  <c r="AJ135" i="5" s="1"/>
  <c r="F16" i="5"/>
  <c r="F135" i="5" s="1"/>
  <c r="AK135" i="5" s="1"/>
  <c r="G16" i="5"/>
  <c r="G135" i="5" s="1"/>
  <c r="AL135" i="5" s="1"/>
  <c r="H16" i="5"/>
  <c r="H135" i="5" s="1"/>
  <c r="AM135" i="5" s="1"/>
  <c r="I16" i="5"/>
  <c r="I135" i="5" s="1"/>
  <c r="AN135" i="5" s="1"/>
  <c r="J16" i="5"/>
  <c r="J135" i="5" s="1"/>
  <c r="AO135" i="5" s="1"/>
  <c r="K16" i="5"/>
  <c r="K135" i="5" s="1"/>
  <c r="AP135" i="5" s="1"/>
  <c r="C17" i="5"/>
  <c r="D17" i="5"/>
  <c r="E17" i="5"/>
  <c r="F17" i="5"/>
  <c r="G17" i="5"/>
  <c r="H17" i="5"/>
  <c r="I17" i="5"/>
  <c r="J17" i="5"/>
  <c r="K17" i="5"/>
  <c r="C18" i="5"/>
  <c r="C137" i="5" s="1"/>
  <c r="AH137" i="5" s="1"/>
  <c r="D18" i="5"/>
  <c r="D137" i="5" s="1"/>
  <c r="AI137" i="5" s="1"/>
  <c r="E18" i="5"/>
  <c r="E137" i="5" s="1"/>
  <c r="AJ137" i="5" s="1"/>
  <c r="F18" i="5"/>
  <c r="F137" i="5" s="1"/>
  <c r="AK137" i="5" s="1"/>
  <c r="G18" i="5"/>
  <c r="G137" i="5" s="1"/>
  <c r="AL137" i="5" s="1"/>
  <c r="H18" i="5"/>
  <c r="H137" i="5" s="1"/>
  <c r="AM137" i="5" s="1"/>
  <c r="I18" i="5"/>
  <c r="I137" i="5" s="1"/>
  <c r="AN137" i="5" s="1"/>
  <c r="J18" i="5"/>
  <c r="J137" i="5" s="1"/>
  <c r="AO137" i="5" s="1"/>
  <c r="K18" i="5"/>
  <c r="K137" i="5" s="1"/>
  <c r="AP137" i="5" s="1"/>
  <c r="C19" i="5"/>
  <c r="C138" i="5" s="1"/>
  <c r="AH138" i="5" s="1"/>
  <c r="D19" i="5"/>
  <c r="D138" i="5" s="1"/>
  <c r="AI138" i="5" s="1"/>
  <c r="E19" i="5"/>
  <c r="E138" i="5" s="1"/>
  <c r="AJ138" i="5" s="1"/>
  <c r="F19" i="5"/>
  <c r="F138" i="5" s="1"/>
  <c r="AK138" i="5" s="1"/>
  <c r="G19" i="5"/>
  <c r="G138" i="5" s="1"/>
  <c r="AL138" i="5" s="1"/>
  <c r="H19" i="5"/>
  <c r="H138" i="5" s="1"/>
  <c r="AM138" i="5" s="1"/>
  <c r="I19" i="5"/>
  <c r="I138" i="5" s="1"/>
  <c r="AN138" i="5" s="1"/>
  <c r="J19" i="5"/>
  <c r="J138" i="5" s="1"/>
  <c r="AO138" i="5" s="1"/>
  <c r="K19" i="5"/>
  <c r="K138" i="5" s="1"/>
  <c r="AP138" i="5" s="1"/>
  <c r="C20" i="5"/>
  <c r="D20" i="5"/>
  <c r="E20" i="5"/>
  <c r="F20" i="5"/>
  <c r="G20" i="5"/>
  <c r="H20" i="5"/>
  <c r="I20" i="5"/>
  <c r="J20" i="5"/>
  <c r="K20" i="5"/>
  <c r="C21" i="5"/>
  <c r="C140" i="5" s="1"/>
  <c r="AH140" i="5" s="1"/>
  <c r="D21" i="5"/>
  <c r="D140" i="5" s="1"/>
  <c r="AI140" i="5" s="1"/>
  <c r="E21" i="5"/>
  <c r="E140" i="5" s="1"/>
  <c r="AJ140" i="5" s="1"/>
  <c r="F21" i="5"/>
  <c r="F140" i="5" s="1"/>
  <c r="AK140" i="5" s="1"/>
  <c r="G21" i="5"/>
  <c r="G140" i="5" s="1"/>
  <c r="AL140" i="5" s="1"/>
  <c r="H21" i="5"/>
  <c r="H140" i="5" s="1"/>
  <c r="AM140" i="5" s="1"/>
  <c r="I21" i="5"/>
  <c r="I140" i="5" s="1"/>
  <c r="AN140" i="5" s="1"/>
  <c r="J21" i="5"/>
  <c r="J140" i="5" s="1"/>
  <c r="AO140" i="5" s="1"/>
  <c r="K21" i="5"/>
  <c r="K140" i="5" s="1"/>
  <c r="AP140" i="5" s="1"/>
  <c r="C22" i="5"/>
  <c r="C141" i="5" s="1"/>
  <c r="AH141" i="5" s="1"/>
  <c r="D22" i="5"/>
  <c r="D141" i="5" s="1"/>
  <c r="AI141" i="5" s="1"/>
  <c r="E22" i="5"/>
  <c r="E141" i="5" s="1"/>
  <c r="AJ141" i="5" s="1"/>
  <c r="F22" i="5"/>
  <c r="F141" i="5" s="1"/>
  <c r="AK141" i="5" s="1"/>
  <c r="G22" i="5"/>
  <c r="G141" i="5" s="1"/>
  <c r="AL141" i="5" s="1"/>
  <c r="H22" i="5"/>
  <c r="H141" i="5" s="1"/>
  <c r="AM141" i="5" s="1"/>
  <c r="I22" i="5"/>
  <c r="I141" i="5" s="1"/>
  <c r="AN141" i="5" s="1"/>
  <c r="J22" i="5"/>
  <c r="J141" i="5" s="1"/>
  <c r="AO141" i="5" s="1"/>
  <c r="K22" i="5"/>
  <c r="K141" i="5" s="1"/>
  <c r="AP141" i="5" s="1"/>
  <c r="C23" i="5"/>
  <c r="C142" i="5" s="1"/>
  <c r="AH142" i="5" s="1"/>
  <c r="D23" i="5"/>
  <c r="D142" i="5" s="1"/>
  <c r="AI142" i="5" s="1"/>
  <c r="E23" i="5"/>
  <c r="E142" i="5" s="1"/>
  <c r="AJ142" i="5" s="1"/>
  <c r="F23" i="5"/>
  <c r="F142" i="5" s="1"/>
  <c r="AK142" i="5" s="1"/>
  <c r="G23" i="5"/>
  <c r="G142" i="5" s="1"/>
  <c r="AL142" i="5" s="1"/>
  <c r="H23" i="5"/>
  <c r="H142" i="5" s="1"/>
  <c r="AM142" i="5" s="1"/>
  <c r="I23" i="5"/>
  <c r="I142" i="5" s="1"/>
  <c r="AN142" i="5" s="1"/>
  <c r="J23" i="5"/>
  <c r="J142" i="5" s="1"/>
  <c r="AO142" i="5" s="1"/>
  <c r="K23" i="5"/>
  <c r="K142" i="5" s="1"/>
  <c r="AP142" i="5" s="1"/>
  <c r="C24" i="5"/>
  <c r="C143" i="5" s="1"/>
  <c r="AH143" i="5" s="1"/>
  <c r="D24" i="5"/>
  <c r="D143" i="5" s="1"/>
  <c r="AI143" i="5" s="1"/>
  <c r="E24" i="5"/>
  <c r="E143" i="5" s="1"/>
  <c r="AJ143" i="5" s="1"/>
  <c r="F24" i="5"/>
  <c r="F143" i="5" s="1"/>
  <c r="AK143" i="5" s="1"/>
  <c r="G24" i="5"/>
  <c r="G143" i="5" s="1"/>
  <c r="AL143" i="5" s="1"/>
  <c r="H24" i="5"/>
  <c r="H143" i="5" s="1"/>
  <c r="AM143" i="5" s="1"/>
  <c r="I24" i="5"/>
  <c r="I143" i="5" s="1"/>
  <c r="AN143" i="5" s="1"/>
  <c r="J24" i="5"/>
  <c r="J143" i="5" s="1"/>
  <c r="AO143" i="5" s="1"/>
  <c r="K24" i="5"/>
  <c r="K143" i="5" s="1"/>
  <c r="AP143" i="5" s="1"/>
  <c r="C25" i="5"/>
  <c r="C144" i="5" s="1"/>
  <c r="AH144" i="5" s="1"/>
  <c r="D25" i="5"/>
  <c r="D144" i="5" s="1"/>
  <c r="AI144" i="5" s="1"/>
  <c r="E25" i="5"/>
  <c r="E144" i="5" s="1"/>
  <c r="AJ144" i="5" s="1"/>
  <c r="F25" i="5"/>
  <c r="F144" i="5" s="1"/>
  <c r="AK144" i="5" s="1"/>
  <c r="G25" i="5"/>
  <c r="G144" i="5" s="1"/>
  <c r="AL144" i="5" s="1"/>
  <c r="H25" i="5"/>
  <c r="H144" i="5" s="1"/>
  <c r="AM144" i="5" s="1"/>
  <c r="I25" i="5"/>
  <c r="I144" i="5" s="1"/>
  <c r="AN144" i="5" s="1"/>
  <c r="J25" i="5"/>
  <c r="J144" i="5" s="1"/>
  <c r="AO144" i="5" s="1"/>
  <c r="K25" i="5"/>
  <c r="K144" i="5" s="1"/>
  <c r="AP144" i="5" s="1"/>
  <c r="C26" i="5"/>
  <c r="C145" i="5" s="1"/>
  <c r="AH145" i="5" s="1"/>
  <c r="D26" i="5"/>
  <c r="D145" i="5" s="1"/>
  <c r="AI145" i="5" s="1"/>
  <c r="E26" i="5"/>
  <c r="E145" i="5" s="1"/>
  <c r="AJ145" i="5" s="1"/>
  <c r="F26" i="5"/>
  <c r="F145" i="5" s="1"/>
  <c r="AK145" i="5" s="1"/>
  <c r="G26" i="5"/>
  <c r="G145" i="5" s="1"/>
  <c r="AL145" i="5" s="1"/>
  <c r="H26" i="5"/>
  <c r="H145" i="5" s="1"/>
  <c r="AM145" i="5" s="1"/>
  <c r="I26" i="5"/>
  <c r="I145" i="5" s="1"/>
  <c r="AN145" i="5" s="1"/>
  <c r="J26" i="5"/>
  <c r="J145" i="5" s="1"/>
  <c r="AO145" i="5" s="1"/>
  <c r="K26" i="5"/>
  <c r="K145" i="5" s="1"/>
  <c r="AP145" i="5" s="1"/>
  <c r="C27" i="5"/>
  <c r="C146" i="5" s="1"/>
  <c r="AH146" i="5" s="1"/>
  <c r="D27" i="5"/>
  <c r="D146" i="5" s="1"/>
  <c r="AI146" i="5" s="1"/>
  <c r="E27" i="5"/>
  <c r="E146" i="5" s="1"/>
  <c r="AJ146" i="5" s="1"/>
  <c r="F27" i="5"/>
  <c r="F146" i="5" s="1"/>
  <c r="AK146" i="5" s="1"/>
  <c r="G27" i="5"/>
  <c r="G146" i="5" s="1"/>
  <c r="AL146" i="5" s="1"/>
  <c r="H27" i="5"/>
  <c r="H146" i="5" s="1"/>
  <c r="AM146" i="5" s="1"/>
  <c r="I27" i="5"/>
  <c r="I146" i="5" s="1"/>
  <c r="AN146" i="5" s="1"/>
  <c r="J27" i="5"/>
  <c r="J146" i="5" s="1"/>
  <c r="AO146" i="5" s="1"/>
  <c r="K27" i="5"/>
  <c r="K146" i="5" s="1"/>
  <c r="AP146" i="5" s="1"/>
  <c r="C28" i="5"/>
  <c r="C147" i="5" s="1"/>
  <c r="AH147" i="5" s="1"/>
  <c r="D28" i="5"/>
  <c r="D147" i="5" s="1"/>
  <c r="AI147" i="5" s="1"/>
  <c r="E28" i="5"/>
  <c r="E147" i="5" s="1"/>
  <c r="AJ147" i="5" s="1"/>
  <c r="F28" i="5"/>
  <c r="F147" i="5" s="1"/>
  <c r="AK147" i="5" s="1"/>
  <c r="G28" i="5"/>
  <c r="G147" i="5" s="1"/>
  <c r="AL147" i="5" s="1"/>
  <c r="H28" i="5"/>
  <c r="H147" i="5" s="1"/>
  <c r="AM147" i="5" s="1"/>
  <c r="I28" i="5"/>
  <c r="I147" i="5" s="1"/>
  <c r="AN147" i="5" s="1"/>
  <c r="J28" i="5"/>
  <c r="J147" i="5" s="1"/>
  <c r="AO147" i="5" s="1"/>
  <c r="K28" i="5"/>
  <c r="K147" i="5" s="1"/>
  <c r="AP147" i="5" s="1"/>
  <c r="C29" i="5"/>
  <c r="C148" i="5" s="1"/>
  <c r="AH148" i="5" s="1"/>
  <c r="D29" i="5"/>
  <c r="D148" i="5" s="1"/>
  <c r="AI148" i="5" s="1"/>
  <c r="E29" i="5"/>
  <c r="E148" i="5" s="1"/>
  <c r="AJ148" i="5" s="1"/>
  <c r="F29" i="5"/>
  <c r="F148" i="5" s="1"/>
  <c r="AK148" i="5" s="1"/>
  <c r="G29" i="5"/>
  <c r="G148" i="5" s="1"/>
  <c r="AL148" i="5" s="1"/>
  <c r="H29" i="5"/>
  <c r="H148" i="5" s="1"/>
  <c r="AM148" i="5" s="1"/>
  <c r="I29" i="5"/>
  <c r="I148" i="5" s="1"/>
  <c r="AN148" i="5" s="1"/>
  <c r="J29" i="5"/>
  <c r="J148" i="5" s="1"/>
  <c r="AO148" i="5" s="1"/>
  <c r="K29" i="5"/>
  <c r="K148" i="5" s="1"/>
  <c r="AP148" i="5" s="1"/>
  <c r="C30" i="5"/>
  <c r="D30" i="5"/>
  <c r="E30" i="5"/>
  <c r="F30" i="5"/>
  <c r="G30" i="5"/>
  <c r="H30" i="5"/>
  <c r="I30" i="5"/>
  <c r="J30" i="5"/>
  <c r="K30" i="5"/>
  <c r="C31" i="5"/>
  <c r="D31" i="5"/>
  <c r="E31" i="5"/>
  <c r="F31" i="5"/>
  <c r="G31" i="5"/>
  <c r="H31" i="5"/>
  <c r="I31" i="5"/>
  <c r="J31" i="5"/>
  <c r="K31" i="5"/>
  <c r="C32" i="5"/>
  <c r="C151" i="5" s="1"/>
  <c r="AH151" i="5" s="1"/>
  <c r="D32" i="5"/>
  <c r="D151" i="5" s="1"/>
  <c r="AI151" i="5" s="1"/>
  <c r="E32" i="5"/>
  <c r="E151" i="5" s="1"/>
  <c r="AJ151" i="5" s="1"/>
  <c r="F32" i="5"/>
  <c r="F151" i="5" s="1"/>
  <c r="AK151" i="5" s="1"/>
  <c r="G32" i="5"/>
  <c r="G151" i="5" s="1"/>
  <c r="AL151" i="5" s="1"/>
  <c r="H32" i="5"/>
  <c r="H151" i="5" s="1"/>
  <c r="AM151" i="5" s="1"/>
  <c r="I32" i="5"/>
  <c r="I151" i="5" s="1"/>
  <c r="AN151" i="5" s="1"/>
  <c r="J32" i="5"/>
  <c r="J151" i="5" s="1"/>
  <c r="AO151" i="5" s="1"/>
  <c r="K32" i="5"/>
  <c r="K151" i="5" s="1"/>
  <c r="AP151" i="5" s="1"/>
  <c r="C33" i="5"/>
  <c r="C152" i="5" s="1"/>
  <c r="AH152" i="5" s="1"/>
  <c r="D33" i="5"/>
  <c r="D152" i="5" s="1"/>
  <c r="AI152" i="5" s="1"/>
  <c r="E33" i="5"/>
  <c r="E152" i="5" s="1"/>
  <c r="AJ152" i="5" s="1"/>
  <c r="F33" i="5"/>
  <c r="F152" i="5" s="1"/>
  <c r="AK152" i="5" s="1"/>
  <c r="G33" i="5"/>
  <c r="G152" i="5" s="1"/>
  <c r="AL152" i="5" s="1"/>
  <c r="H33" i="5"/>
  <c r="H152" i="5" s="1"/>
  <c r="AM152" i="5" s="1"/>
  <c r="I33" i="5"/>
  <c r="I152" i="5" s="1"/>
  <c r="AN152" i="5" s="1"/>
  <c r="J33" i="5"/>
  <c r="J152" i="5" s="1"/>
  <c r="AO152" i="5" s="1"/>
  <c r="K33" i="5"/>
  <c r="K152" i="5" s="1"/>
  <c r="AP152" i="5" s="1"/>
  <c r="C34" i="5"/>
  <c r="C153" i="5" s="1"/>
  <c r="AH153" i="5" s="1"/>
  <c r="D34" i="5"/>
  <c r="D153" i="5" s="1"/>
  <c r="AI153" i="5" s="1"/>
  <c r="E34" i="5"/>
  <c r="E153" i="5" s="1"/>
  <c r="AJ153" i="5" s="1"/>
  <c r="F34" i="5"/>
  <c r="F153" i="5" s="1"/>
  <c r="AK153" i="5" s="1"/>
  <c r="G34" i="5"/>
  <c r="G153" i="5" s="1"/>
  <c r="AL153" i="5" s="1"/>
  <c r="H34" i="5"/>
  <c r="H153" i="5" s="1"/>
  <c r="AM153" i="5" s="1"/>
  <c r="I34" i="5"/>
  <c r="I153" i="5" s="1"/>
  <c r="AN153" i="5" s="1"/>
  <c r="J34" i="5"/>
  <c r="J153" i="5" s="1"/>
  <c r="AO153" i="5" s="1"/>
  <c r="K34" i="5"/>
  <c r="K153" i="5" s="1"/>
  <c r="AP153" i="5" s="1"/>
  <c r="C35" i="5"/>
  <c r="D35" i="5"/>
  <c r="E35" i="5"/>
  <c r="F35" i="5"/>
  <c r="G35" i="5"/>
  <c r="H35" i="5"/>
  <c r="I35" i="5"/>
  <c r="J35" i="5"/>
  <c r="K35" i="5"/>
  <c r="C36" i="5"/>
  <c r="D36" i="5"/>
  <c r="E36" i="5"/>
  <c r="F36" i="5"/>
  <c r="G36" i="5"/>
  <c r="H36" i="5"/>
  <c r="I36" i="5"/>
  <c r="J36" i="5"/>
  <c r="K36" i="5"/>
  <c r="C37" i="5"/>
  <c r="C156" i="5" s="1"/>
  <c r="AH156" i="5" s="1"/>
  <c r="D37" i="5"/>
  <c r="D156" i="5" s="1"/>
  <c r="AI156" i="5" s="1"/>
  <c r="E37" i="5"/>
  <c r="E156" i="5" s="1"/>
  <c r="AJ156" i="5" s="1"/>
  <c r="F37" i="5"/>
  <c r="F156" i="5" s="1"/>
  <c r="AK156" i="5" s="1"/>
  <c r="G37" i="5"/>
  <c r="G156" i="5" s="1"/>
  <c r="AL156" i="5" s="1"/>
  <c r="H37" i="5"/>
  <c r="H156" i="5" s="1"/>
  <c r="AM156" i="5" s="1"/>
  <c r="I37" i="5"/>
  <c r="I156" i="5" s="1"/>
  <c r="AN156" i="5" s="1"/>
  <c r="J37" i="5"/>
  <c r="J156" i="5" s="1"/>
  <c r="AO156" i="5" s="1"/>
  <c r="K37" i="5"/>
  <c r="K156" i="5" s="1"/>
  <c r="AP156" i="5" s="1"/>
  <c r="C38" i="5"/>
  <c r="D38" i="5"/>
  <c r="E38" i="5"/>
  <c r="F38" i="5"/>
  <c r="G38" i="5"/>
  <c r="H38" i="5"/>
  <c r="I38" i="5"/>
  <c r="J38" i="5"/>
  <c r="K38" i="5"/>
  <c r="C39" i="5"/>
  <c r="D39" i="5"/>
  <c r="E39" i="5"/>
  <c r="F39" i="5"/>
  <c r="G39" i="5"/>
  <c r="H39" i="5"/>
  <c r="I39" i="5"/>
  <c r="J39" i="5"/>
  <c r="K39" i="5"/>
  <c r="C40" i="5"/>
  <c r="C159" i="5" s="1"/>
  <c r="AH159" i="5" s="1"/>
  <c r="D40" i="5"/>
  <c r="D159" i="5" s="1"/>
  <c r="AI159" i="5" s="1"/>
  <c r="E40" i="5"/>
  <c r="E159" i="5" s="1"/>
  <c r="AJ159" i="5" s="1"/>
  <c r="F40" i="5"/>
  <c r="F159" i="5" s="1"/>
  <c r="AK159" i="5" s="1"/>
  <c r="G40" i="5"/>
  <c r="G159" i="5" s="1"/>
  <c r="AL159" i="5" s="1"/>
  <c r="H40" i="5"/>
  <c r="H159" i="5" s="1"/>
  <c r="AM159" i="5" s="1"/>
  <c r="I40" i="5"/>
  <c r="I159" i="5" s="1"/>
  <c r="AN159" i="5" s="1"/>
  <c r="J40" i="5"/>
  <c r="J159" i="5" s="1"/>
  <c r="AO159" i="5" s="1"/>
  <c r="K40" i="5"/>
  <c r="K159" i="5" s="1"/>
  <c r="AP159" i="5" s="1"/>
  <c r="C41" i="5"/>
  <c r="C160" i="5" s="1"/>
  <c r="AH160" i="5" s="1"/>
  <c r="D41" i="5"/>
  <c r="D160" i="5" s="1"/>
  <c r="AI160" i="5" s="1"/>
  <c r="E41" i="5"/>
  <c r="E160" i="5" s="1"/>
  <c r="AJ160" i="5" s="1"/>
  <c r="F41" i="5"/>
  <c r="F160" i="5" s="1"/>
  <c r="AK160" i="5" s="1"/>
  <c r="G41" i="5"/>
  <c r="G160" i="5" s="1"/>
  <c r="AL160" i="5" s="1"/>
  <c r="H41" i="5"/>
  <c r="H160" i="5" s="1"/>
  <c r="AM160" i="5" s="1"/>
  <c r="I41" i="5"/>
  <c r="I160" i="5" s="1"/>
  <c r="AN160" i="5" s="1"/>
  <c r="J41" i="5"/>
  <c r="J160" i="5" s="1"/>
  <c r="AO160" i="5" s="1"/>
  <c r="K41" i="5"/>
  <c r="K160" i="5" s="1"/>
  <c r="AP160" i="5" s="1"/>
  <c r="C42" i="5"/>
  <c r="C161" i="5" s="1"/>
  <c r="AH161" i="5" s="1"/>
  <c r="D42" i="5"/>
  <c r="D161" i="5" s="1"/>
  <c r="AI161" i="5" s="1"/>
  <c r="E42" i="5"/>
  <c r="E161" i="5" s="1"/>
  <c r="AJ161" i="5" s="1"/>
  <c r="F42" i="5"/>
  <c r="F161" i="5" s="1"/>
  <c r="AK161" i="5" s="1"/>
  <c r="G42" i="5"/>
  <c r="G161" i="5" s="1"/>
  <c r="AL161" i="5" s="1"/>
  <c r="H42" i="5"/>
  <c r="H161" i="5" s="1"/>
  <c r="AM161" i="5" s="1"/>
  <c r="I42" i="5"/>
  <c r="I161" i="5" s="1"/>
  <c r="AN161" i="5" s="1"/>
  <c r="J42" i="5"/>
  <c r="J161" i="5" s="1"/>
  <c r="AO161" i="5" s="1"/>
  <c r="K42" i="5"/>
  <c r="K161" i="5" s="1"/>
  <c r="AP161" i="5" s="1"/>
  <c r="C43" i="5"/>
  <c r="C162" i="5" s="1"/>
  <c r="AH162" i="5" s="1"/>
  <c r="D43" i="5"/>
  <c r="D162" i="5" s="1"/>
  <c r="AI162" i="5" s="1"/>
  <c r="E43" i="5"/>
  <c r="E162" i="5" s="1"/>
  <c r="AJ162" i="5" s="1"/>
  <c r="F43" i="5"/>
  <c r="F162" i="5" s="1"/>
  <c r="AK162" i="5" s="1"/>
  <c r="G43" i="5"/>
  <c r="G162" i="5" s="1"/>
  <c r="AL162" i="5" s="1"/>
  <c r="H43" i="5"/>
  <c r="H162" i="5" s="1"/>
  <c r="AM162" i="5" s="1"/>
  <c r="I43" i="5"/>
  <c r="I162" i="5" s="1"/>
  <c r="AN162" i="5" s="1"/>
  <c r="J43" i="5"/>
  <c r="J162" i="5" s="1"/>
  <c r="AO162" i="5" s="1"/>
  <c r="K43" i="5"/>
  <c r="K162" i="5" s="1"/>
  <c r="AP162" i="5" s="1"/>
  <c r="C44" i="5"/>
  <c r="C163" i="5" s="1"/>
  <c r="AH163" i="5" s="1"/>
  <c r="D44" i="5"/>
  <c r="D163" i="5" s="1"/>
  <c r="AI163" i="5" s="1"/>
  <c r="E44" i="5"/>
  <c r="E163" i="5" s="1"/>
  <c r="AJ163" i="5" s="1"/>
  <c r="F44" i="5"/>
  <c r="F163" i="5" s="1"/>
  <c r="AK163" i="5" s="1"/>
  <c r="G44" i="5"/>
  <c r="G163" i="5" s="1"/>
  <c r="AL163" i="5" s="1"/>
  <c r="H44" i="5"/>
  <c r="H163" i="5" s="1"/>
  <c r="AM163" i="5" s="1"/>
  <c r="I44" i="5"/>
  <c r="I163" i="5" s="1"/>
  <c r="AN163" i="5" s="1"/>
  <c r="J44" i="5"/>
  <c r="J163" i="5" s="1"/>
  <c r="AO163" i="5" s="1"/>
  <c r="K44" i="5"/>
  <c r="K163" i="5" s="1"/>
  <c r="AP163" i="5" s="1"/>
  <c r="C45" i="5"/>
  <c r="D45" i="5"/>
  <c r="E45" i="5"/>
  <c r="F45" i="5"/>
  <c r="G45" i="5"/>
  <c r="H45" i="5"/>
  <c r="I45" i="5"/>
  <c r="J45" i="5"/>
  <c r="K45" i="5"/>
  <c r="C46" i="5"/>
  <c r="C165" i="5" s="1"/>
  <c r="AH165" i="5" s="1"/>
  <c r="D46" i="5"/>
  <c r="D165" i="5" s="1"/>
  <c r="AI165" i="5" s="1"/>
  <c r="E46" i="5"/>
  <c r="E165" i="5" s="1"/>
  <c r="AJ165" i="5" s="1"/>
  <c r="F46" i="5"/>
  <c r="F165" i="5" s="1"/>
  <c r="AK165" i="5" s="1"/>
  <c r="G46" i="5"/>
  <c r="G165" i="5" s="1"/>
  <c r="AL165" i="5" s="1"/>
  <c r="H46" i="5"/>
  <c r="H165" i="5" s="1"/>
  <c r="AM165" i="5" s="1"/>
  <c r="I46" i="5"/>
  <c r="I165" i="5" s="1"/>
  <c r="AN165" i="5" s="1"/>
  <c r="J46" i="5"/>
  <c r="J165" i="5" s="1"/>
  <c r="AO165" i="5" s="1"/>
  <c r="K46" i="5"/>
  <c r="K165" i="5" s="1"/>
  <c r="AP165" i="5" s="1"/>
  <c r="C47" i="5"/>
  <c r="D47" i="5"/>
  <c r="E47" i="5"/>
  <c r="F47" i="5"/>
  <c r="G47" i="5"/>
  <c r="H47" i="5"/>
  <c r="I47" i="5"/>
  <c r="J47" i="5"/>
  <c r="K47" i="5"/>
  <c r="C48" i="5"/>
  <c r="C167" i="5" s="1"/>
  <c r="AH167" i="5" s="1"/>
  <c r="D48" i="5"/>
  <c r="D167" i="5" s="1"/>
  <c r="AI167" i="5" s="1"/>
  <c r="E48" i="5"/>
  <c r="E167" i="5" s="1"/>
  <c r="AJ167" i="5" s="1"/>
  <c r="F48" i="5"/>
  <c r="F167" i="5" s="1"/>
  <c r="AK167" i="5" s="1"/>
  <c r="G48" i="5"/>
  <c r="G167" i="5" s="1"/>
  <c r="AL167" i="5" s="1"/>
  <c r="H48" i="5"/>
  <c r="H167" i="5" s="1"/>
  <c r="AM167" i="5" s="1"/>
  <c r="I48" i="5"/>
  <c r="I167" i="5" s="1"/>
  <c r="AN167" i="5" s="1"/>
  <c r="J48" i="5"/>
  <c r="J167" i="5" s="1"/>
  <c r="AO167" i="5" s="1"/>
  <c r="K48" i="5"/>
  <c r="K167" i="5" s="1"/>
  <c r="AP167" i="5" s="1"/>
  <c r="C49" i="5"/>
  <c r="C168" i="5" s="1"/>
  <c r="AH168" i="5" s="1"/>
  <c r="D49" i="5"/>
  <c r="D168" i="5" s="1"/>
  <c r="AI168" i="5" s="1"/>
  <c r="E49" i="5"/>
  <c r="E168" i="5" s="1"/>
  <c r="AJ168" i="5" s="1"/>
  <c r="F49" i="5"/>
  <c r="F168" i="5" s="1"/>
  <c r="AK168" i="5" s="1"/>
  <c r="G49" i="5"/>
  <c r="G168" i="5" s="1"/>
  <c r="AL168" i="5" s="1"/>
  <c r="H49" i="5"/>
  <c r="H168" i="5" s="1"/>
  <c r="AM168" i="5" s="1"/>
  <c r="I49" i="5"/>
  <c r="I168" i="5" s="1"/>
  <c r="AN168" i="5" s="1"/>
  <c r="J49" i="5"/>
  <c r="J168" i="5" s="1"/>
  <c r="AO168" i="5" s="1"/>
  <c r="K49" i="5"/>
  <c r="K168" i="5" s="1"/>
  <c r="AP168" i="5" s="1"/>
  <c r="C50" i="5"/>
  <c r="C169" i="5" s="1"/>
  <c r="AH169" i="5" s="1"/>
  <c r="D50" i="5"/>
  <c r="D169" i="5" s="1"/>
  <c r="AI169" i="5" s="1"/>
  <c r="E50" i="5"/>
  <c r="E169" i="5" s="1"/>
  <c r="AJ169" i="5" s="1"/>
  <c r="F50" i="5"/>
  <c r="F169" i="5" s="1"/>
  <c r="AK169" i="5" s="1"/>
  <c r="G50" i="5"/>
  <c r="G169" i="5" s="1"/>
  <c r="AL169" i="5" s="1"/>
  <c r="H50" i="5"/>
  <c r="H169" i="5" s="1"/>
  <c r="AM169" i="5" s="1"/>
  <c r="I50" i="5"/>
  <c r="I169" i="5" s="1"/>
  <c r="AN169" i="5" s="1"/>
  <c r="J50" i="5"/>
  <c r="J169" i="5" s="1"/>
  <c r="AO169" i="5" s="1"/>
  <c r="K50" i="5"/>
  <c r="K169" i="5" s="1"/>
  <c r="AP169" i="5" s="1"/>
  <c r="C51" i="5"/>
  <c r="D51" i="5"/>
  <c r="E51" i="5"/>
  <c r="F51" i="5"/>
  <c r="G51" i="5"/>
  <c r="H51" i="5"/>
  <c r="I51" i="5"/>
  <c r="J51" i="5"/>
  <c r="K51" i="5"/>
  <c r="C52" i="5"/>
  <c r="D52" i="5"/>
  <c r="E52" i="5"/>
  <c r="F52" i="5"/>
  <c r="G52" i="5"/>
  <c r="H52" i="5"/>
  <c r="I52" i="5"/>
  <c r="J52" i="5"/>
  <c r="K52" i="5"/>
  <c r="C53" i="5"/>
  <c r="D53" i="5"/>
  <c r="E53" i="5"/>
  <c r="F53" i="5"/>
  <c r="G53" i="5"/>
  <c r="H53" i="5"/>
  <c r="I53" i="5"/>
  <c r="J53" i="5"/>
  <c r="K53" i="5"/>
  <c r="C54" i="5"/>
  <c r="C173" i="5" s="1"/>
  <c r="AH173" i="5" s="1"/>
  <c r="D54" i="5"/>
  <c r="D173" i="5" s="1"/>
  <c r="AI173" i="5" s="1"/>
  <c r="E54" i="5"/>
  <c r="E173" i="5" s="1"/>
  <c r="AJ173" i="5" s="1"/>
  <c r="F54" i="5"/>
  <c r="F173" i="5" s="1"/>
  <c r="AK173" i="5" s="1"/>
  <c r="G54" i="5"/>
  <c r="G173" i="5" s="1"/>
  <c r="AL173" i="5" s="1"/>
  <c r="H54" i="5"/>
  <c r="H173" i="5" s="1"/>
  <c r="AM173" i="5" s="1"/>
  <c r="I54" i="5"/>
  <c r="I173" i="5" s="1"/>
  <c r="AN173" i="5" s="1"/>
  <c r="J54" i="5"/>
  <c r="J173" i="5" s="1"/>
  <c r="AO173" i="5" s="1"/>
  <c r="K54" i="5"/>
  <c r="K173" i="5" s="1"/>
  <c r="AP173" i="5" s="1"/>
  <c r="C55" i="5"/>
  <c r="D55" i="5"/>
  <c r="E55" i="5"/>
  <c r="F55" i="5"/>
  <c r="G55" i="5"/>
  <c r="H55" i="5"/>
  <c r="I55" i="5"/>
  <c r="J55" i="5"/>
  <c r="K55" i="5"/>
  <c r="C56" i="5"/>
  <c r="C175" i="5" s="1"/>
  <c r="AH175" i="5" s="1"/>
  <c r="D56" i="5"/>
  <c r="D175" i="5" s="1"/>
  <c r="AI175" i="5" s="1"/>
  <c r="E56" i="5"/>
  <c r="E175" i="5" s="1"/>
  <c r="AJ175" i="5" s="1"/>
  <c r="F56" i="5"/>
  <c r="F175" i="5" s="1"/>
  <c r="AK175" i="5" s="1"/>
  <c r="G56" i="5"/>
  <c r="G175" i="5" s="1"/>
  <c r="AL175" i="5" s="1"/>
  <c r="H56" i="5"/>
  <c r="H175" i="5" s="1"/>
  <c r="AM175" i="5" s="1"/>
  <c r="I56" i="5"/>
  <c r="I175" i="5" s="1"/>
  <c r="AN175" i="5" s="1"/>
  <c r="J56" i="5"/>
  <c r="J175" i="5" s="1"/>
  <c r="AO175" i="5" s="1"/>
  <c r="K56" i="5"/>
  <c r="K175" i="5" s="1"/>
  <c r="AP175" i="5" s="1"/>
  <c r="C57" i="5"/>
  <c r="C176" i="5" s="1"/>
  <c r="AH176" i="5" s="1"/>
  <c r="D57" i="5"/>
  <c r="D176" i="5" s="1"/>
  <c r="AI176" i="5" s="1"/>
  <c r="E57" i="5"/>
  <c r="E176" i="5" s="1"/>
  <c r="AJ176" i="5" s="1"/>
  <c r="F57" i="5"/>
  <c r="F176" i="5" s="1"/>
  <c r="AK176" i="5" s="1"/>
  <c r="G57" i="5"/>
  <c r="G176" i="5" s="1"/>
  <c r="AL176" i="5" s="1"/>
  <c r="H57" i="5"/>
  <c r="H176" i="5" s="1"/>
  <c r="AM176" i="5" s="1"/>
  <c r="I57" i="5"/>
  <c r="I176" i="5" s="1"/>
  <c r="AN176" i="5" s="1"/>
  <c r="J57" i="5"/>
  <c r="J176" i="5" s="1"/>
  <c r="AO176" i="5" s="1"/>
  <c r="K57" i="5"/>
  <c r="K176" i="5" s="1"/>
  <c r="AP176" i="5" s="1"/>
  <c r="C58" i="5"/>
  <c r="C177" i="5" s="1"/>
  <c r="AH177" i="5" s="1"/>
  <c r="D58" i="5"/>
  <c r="D177" i="5" s="1"/>
  <c r="AI177" i="5" s="1"/>
  <c r="E58" i="5"/>
  <c r="E177" i="5" s="1"/>
  <c r="AJ177" i="5" s="1"/>
  <c r="F58" i="5"/>
  <c r="F177" i="5" s="1"/>
  <c r="AK177" i="5" s="1"/>
  <c r="G58" i="5"/>
  <c r="G177" i="5" s="1"/>
  <c r="AL177" i="5" s="1"/>
  <c r="H58" i="5"/>
  <c r="H177" i="5" s="1"/>
  <c r="AM177" i="5" s="1"/>
  <c r="I58" i="5"/>
  <c r="I177" i="5" s="1"/>
  <c r="AN177" i="5" s="1"/>
  <c r="J58" i="5"/>
  <c r="J177" i="5" s="1"/>
  <c r="AO177" i="5" s="1"/>
  <c r="K58" i="5"/>
  <c r="K177" i="5" s="1"/>
  <c r="AP177" i="5" s="1"/>
  <c r="C59" i="5"/>
  <c r="D59" i="5"/>
  <c r="E59" i="5"/>
  <c r="F59" i="5"/>
  <c r="G59" i="5"/>
  <c r="H59" i="5"/>
  <c r="I59" i="5"/>
  <c r="J59" i="5"/>
  <c r="K59" i="5"/>
  <c r="C60" i="5"/>
  <c r="C179" i="5" s="1"/>
  <c r="AH179" i="5" s="1"/>
  <c r="D60" i="5"/>
  <c r="D179" i="5" s="1"/>
  <c r="AI179" i="5" s="1"/>
  <c r="E60" i="5"/>
  <c r="E179" i="5" s="1"/>
  <c r="AJ179" i="5" s="1"/>
  <c r="F60" i="5"/>
  <c r="F179" i="5" s="1"/>
  <c r="AK179" i="5" s="1"/>
  <c r="G60" i="5"/>
  <c r="G179" i="5" s="1"/>
  <c r="AL179" i="5" s="1"/>
  <c r="H60" i="5"/>
  <c r="H179" i="5" s="1"/>
  <c r="AM179" i="5" s="1"/>
  <c r="I60" i="5"/>
  <c r="I179" i="5" s="1"/>
  <c r="AN179" i="5" s="1"/>
  <c r="J60" i="5"/>
  <c r="J179" i="5" s="1"/>
  <c r="AO179" i="5" s="1"/>
  <c r="K60" i="5"/>
  <c r="K179" i="5" s="1"/>
  <c r="AP179" i="5" s="1"/>
  <c r="C61" i="5"/>
  <c r="C180" i="5" s="1"/>
  <c r="AH180" i="5" s="1"/>
  <c r="D61" i="5"/>
  <c r="D180" i="5" s="1"/>
  <c r="AI180" i="5" s="1"/>
  <c r="E61" i="5"/>
  <c r="E180" i="5" s="1"/>
  <c r="AJ180" i="5" s="1"/>
  <c r="F61" i="5"/>
  <c r="F180" i="5" s="1"/>
  <c r="AK180" i="5" s="1"/>
  <c r="G61" i="5"/>
  <c r="G180" i="5" s="1"/>
  <c r="AL180" i="5" s="1"/>
  <c r="H61" i="5"/>
  <c r="H180" i="5" s="1"/>
  <c r="AM180" i="5" s="1"/>
  <c r="I61" i="5"/>
  <c r="I180" i="5" s="1"/>
  <c r="AN180" i="5" s="1"/>
  <c r="J61" i="5"/>
  <c r="J180" i="5" s="1"/>
  <c r="AO180" i="5" s="1"/>
  <c r="K61" i="5"/>
  <c r="K180" i="5" s="1"/>
  <c r="AP180" i="5" s="1"/>
  <c r="C62" i="5"/>
  <c r="D62" i="5"/>
  <c r="E62" i="5"/>
  <c r="F62" i="5"/>
  <c r="G62" i="5"/>
  <c r="H62" i="5"/>
  <c r="I62" i="5"/>
  <c r="J62" i="5"/>
  <c r="K62" i="5"/>
  <c r="C63" i="5"/>
  <c r="D63" i="5"/>
  <c r="E63" i="5"/>
  <c r="F63" i="5"/>
  <c r="G63" i="5"/>
  <c r="H63" i="5"/>
  <c r="I63" i="5"/>
  <c r="J63" i="5"/>
  <c r="K63" i="5"/>
  <c r="D5" i="5"/>
  <c r="D124" i="5" s="1"/>
  <c r="AI124" i="5" s="1"/>
  <c r="E5" i="5"/>
  <c r="E124" i="5" s="1"/>
  <c r="AJ124" i="5" s="1"/>
  <c r="F5" i="5"/>
  <c r="F124" i="5" s="1"/>
  <c r="AK124" i="5" s="1"/>
  <c r="G5" i="5"/>
  <c r="G124" i="5" s="1"/>
  <c r="AL124" i="5" s="1"/>
  <c r="H5" i="5"/>
  <c r="H124" i="5" s="1"/>
  <c r="AM124" i="5" s="1"/>
  <c r="I5" i="5"/>
  <c r="I124" i="5" s="1"/>
  <c r="AN124" i="5" s="1"/>
  <c r="J5" i="5"/>
  <c r="J124" i="5" s="1"/>
  <c r="AO124" i="5" s="1"/>
  <c r="K5" i="5"/>
  <c r="K124" i="5" s="1"/>
  <c r="AP124" i="5" s="1"/>
  <c r="C5" i="5"/>
  <c r="C124" i="5" s="1"/>
  <c r="AH124" i="5" s="1"/>
  <c r="C368" i="13"/>
  <c r="C370" i="13"/>
  <c r="C371" i="13"/>
  <c r="C372" i="13"/>
  <c r="C376" i="13"/>
  <c r="C378" i="13"/>
  <c r="C379" i="13"/>
  <c r="C380" i="13"/>
  <c r="C384" i="13"/>
  <c r="C386" i="13"/>
  <c r="C387" i="13"/>
  <c r="C388" i="13"/>
  <c r="C392" i="13"/>
  <c r="C394" i="13"/>
  <c r="C395" i="13"/>
  <c r="C396" i="13"/>
  <c r="C400" i="13"/>
  <c r="C402" i="13"/>
  <c r="C403" i="13"/>
  <c r="C404" i="13"/>
  <c r="C408" i="13"/>
  <c r="C410" i="13"/>
  <c r="C411" i="13"/>
  <c r="C412" i="13"/>
  <c r="C416" i="13"/>
  <c r="C418" i="13"/>
  <c r="C419" i="13"/>
  <c r="C420" i="13"/>
  <c r="C424" i="13"/>
  <c r="C367" i="13"/>
  <c r="C369" i="13"/>
  <c r="C373" i="13"/>
  <c r="C374" i="13"/>
  <c r="C375" i="13"/>
  <c r="C377" i="13"/>
  <c r="C381" i="13"/>
  <c r="C382" i="13"/>
  <c r="C383" i="13"/>
  <c r="C385" i="13"/>
  <c r="C389" i="13"/>
  <c r="C390" i="13"/>
  <c r="C391" i="13"/>
  <c r="C393" i="13"/>
  <c r="C397" i="13"/>
  <c r="C398" i="13"/>
  <c r="C399" i="13"/>
  <c r="C401" i="13"/>
  <c r="C405" i="13"/>
  <c r="C406" i="13"/>
  <c r="C407" i="13"/>
  <c r="C409" i="13"/>
  <c r="C413" i="13"/>
  <c r="C414" i="13"/>
  <c r="C415" i="13"/>
  <c r="C417" i="13"/>
  <c r="C421" i="13"/>
  <c r="C422" i="13"/>
  <c r="C423" i="13"/>
  <c r="C291" i="13"/>
  <c r="C293" i="13"/>
  <c r="C294" i="13"/>
  <c r="C299" i="13"/>
  <c r="C301" i="13"/>
  <c r="C307" i="13"/>
  <c r="C310" i="13"/>
  <c r="C315" i="13"/>
  <c r="C318" i="13"/>
  <c r="C323" i="13"/>
  <c r="C331" i="13"/>
  <c r="C339" i="13"/>
  <c r="C347" i="13"/>
  <c r="C355" i="13"/>
  <c r="C363" i="13"/>
  <c r="C288" i="13"/>
  <c r="C289" i="13"/>
  <c r="C290" i="13"/>
  <c r="C292" i="13"/>
  <c r="C295" i="13"/>
  <c r="C298" i="13"/>
  <c r="C300" i="13"/>
  <c r="C303" i="13"/>
  <c r="C304" i="13"/>
  <c r="C305" i="13"/>
  <c r="C306" i="13"/>
  <c r="C311" i="13"/>
  <c r="C312" i="13"/>
  <c r="C313" i="13"/>
  <c r="C316" i="13"/>
  <c r="C317" i="13"/>
  <c r="C319" i="13"/>
  <c r="C322" i="13"/>
  <c r="C324" i="13"/>
  <c r="C325" i="13"/>
  <c r="C327" i="13"/>
  <c r="C328" i="13"/>
  <c r="C329" i="13"/>
  <c r="C330" i="13"/>
  <c r="C334" i="13"/>
  <c r="C335" i="13"/>
  <c r="C336" i="13"/>
  <c r="C337" i="13"/>
  <c r="C338" i="13"/>
  <c r="C340" i="13"/>
  <c r="C341" i="13"/>
  <c r="C342" i="13"/>
  <c r="C343" i="13"/>
  <c r="C346" i="13"/>
  <c r="C348" i="13"/>
  <c r="C349" i="13"/>
  <c r="C350" i="13"/>
  <c r="C351" i="13"/>
  <c r="C352" i="13"/>
  <c r="C353" i="13"/>
  <c r="C354" i="13"/>
  <c r="C358" i="13"/>
  <c r="C359" i="13"/>
  <c r="C360" i="13"/>
  <c r="C361" i="13"/>
  <c r="C362" i="13"/>
  <c r="C364" i="13"/>
  <c r="C365" i="13"/>
  <c r="C287" i="13"/>
  <c r="K136" i="13"/>
  <c r="K137" i="13"/>
  <c r="K138" i="13"/>
  <c r="K139" i="13"/>
  <c r="K140" i="13"/>
  <c r="K141" i="13"/>
  <c r="K142" i="13"/>
  <c r="K143" i="13"/>
  <c r="K144" i="13"/>
  <c r="K145" i="13"/>
  <c r="K146" i="13"/>
  <c r="K147" i="13"/>
  <c r="K148" i="13"/>
  <c r="K149" i="13"/>
  <c r="K150" i="13"/>
  <c r="K151" i="13"/>
  <c r="K152" i="13"/>
  <c r="K153" i="13"/>
  <c r="K154" i="13"/>
  <c r="K155" i="13"/>
  <c r="K156" i="13"/>
  <c r="K157" i="13"/>
  <c r="K158" i="13"/>
  <c r="K159" i="13"/>
  <c r="K160" i="13"/>
  <c r="K161" i="13"/>
  <c r="K162" i="13"/>
  <c r="K163" i="13"/>
  <c r="K164" i="13"/>
  <c r="K165" i="13"/>
  <c r="K166" i="13"/>
  <c r="K167" i="13"/>
  <c r="K168" i="13"/>
  <c r="K169" i="13"/>
  <c r="K170" i="13"/>
  <c r="K171" i="13"/>
  <c r="K172" i="13"/>
  <c r="K173" i="13"/>
  <c r="K174" i="13"/>
  <c r="K175" i="13"/>
  <c r="K176" i="13"/>
  <c r="K177" i="13"/>
  <c r="K178" i="13"/>
  <c r="K179" i="13"/>
  <c r="K180" i="13"/>
  <c r="K181" i="13"/>
  <c r="K182" i="13"/>
  <c r="K183" i="13"/>
  <c r="K184" i="13"/>
  <c r="K185" i="13"/>
  <c r="K186" i="13"/>
  <c r="K187" i="13"/>
  <c r="K188" i="13"/>
  <c r="K189" i="13"/>
  <c r="K190" i="13"/>
  <c r="K191" i="13"/>
  <c r="K192" i="13"/>
  <c r="K193" i="13"/>
  <c r="K194" i="13"/>
  <c r="K195" i="13"/>
  <c r="K196" i="13"/>
  <c r="K197" i="13"/>
  <c r="K198" i="13"/>
  <c r="K199" i="13"/>
  <c r="K200" i="13"/>
  <c r="K201" i="13"/>
  <c r="K202" i="13"/>
  <c r="K203" i="13"/>
  <c r="K204" i="13"/>
  <c r="K205" i="13"/>
  <c r="K206" i="13"/>
  <c r="K207" i="13"/>
  <c r="K208" i="13"/>
  <c r="K209" i="13"/>
  <c r="K210" i="13"/>
  <c r="K211" i="13"/>
  <c r="K212" i="13"/>
  <c r="K213" i="13"/>
  <c r="K214" i="13"/>
  <c r="K215" i="13"/>
  <c r="K216" i="13"/>
  <c r="K217" i="13"/>
  <c r="K218" i="13"/>
  <c r="K219" i="13"/>
  <c r="K220" i="13"/>
  <c r="K221" i="13"/>
  <c r="K222" i="13"/>
  <c r="K223" i="13"/>
  <c r="K224" i="13"/>
  <c r="K225" i="13"/>
  <c r="K226" i="13"/>
  <c r="K227" i="13"/>
  <c r="K228" i="13"/>
  <c r="K229" i="13"/>
  <c r="K230" i="13"/>
  <c r="K231" i="13"/>
  <c r="K232" i="13"/>
  <c r="K233" i="13"/>
  <c r="K234" i="13"/>
  <c r="K235" i="13"/>
  <c r="K236" i="13"/>
  <c r="K237" i="13"/>
  <c r="K238" i="13"/>
  <c r="K239" i="13"/>
  <c r="K240" i="13"/>
  <c r="K241" i="13"/>
  <c r="K242" i="13"/>
  <c r="K243" i="13"/>
  <c r="K244" i="13"/>
  <c r="K245" i="13"/>
  <c r="K246" i="13"/>
  <c r="K247" i="13"/>
  <c r="K248" i="13"/>
  <c r="K249" i="13"/>
  <c r="K250" i="13"/>
  <c r="K251" i="13"/>
  <c r="K252" i="13"/>
  <c r="K253" i="13"/>
  <c r="K254" i="13"/>
  <c r="K255" i="13"/>
  <c r="K256" i="13"/>
  <c r="K257" i="13"/>
  <c r="K258" i="13"/>
  <c r="K259" i="13"/>
  <c r="K260" i="13"/>
  <c r="K261" i="13"/>
  <c r="K262" i="13"/>
  <c r="K263" i="13"/>
  <c r="K264" i="13"/>
  <c r="K265" i="13"/>
  <c r="K266" i="13"/>
  <c r="K267" i="13"/>
  <c r="K268" i="13"/>
  <c r="K269" i="13"/>
  <c r="K270" i="13"/>
  <c r="K271" i="13"/>
  <c r="K272" i="13"/>
  <c r="K273" i="13"/>
  <c r="K274" i="13"/>
  <c r="K275" i="13"/>
  <c r="K276" i="13"/>
  <c r="K277" i="13"/>
  <c r="K278" i="13"/>
  <c r="K279" i="13"/>
  <c r="K280" i="13"/>
  <c r="K281" i="13"/>
  <c r="K282" i="13"/>
  <c r="K283" i="13"/>
  <c r="K284" i="13"/>
  <c r="K285" i="13"/>
  <c r="C4" i="13"/>
  <c r="C5" i="13"/>
  <c r="C6" i="13"/>
  <c r="C7" i="13"/>
  <c r="C8" i="13"/>
  <c r="C9" i="13"/>
  <c r="C10" i="13"/>
  <c r="C11" i="13"/>
  <c r="C12" i="13"/>
  <c r="C13" i="13"/>
  <c r="C14" i="13"/>
  <c r="C16" i="13"/>
  <c r="C17" i="13"/>
  <c r="C18" i="13"/>
  <c r="C19" i="13"/>
  <c r="C20" i="13"/>
  <c r="C21" i="13"/>
  <c r="C22" i="13"/>
  <c r="C23" i="13"/>
  <c r="C24" i="13"/>
  <c r="C25" i="13"/>
  <c r="C26" i="13"/>
  <c r="C28" i="13"/>
  <c r="C29" i="13"/>
  <c r="C30" i="13"/>
  <c r="C31" i="13"/>
  <c r="C32" i="13"/>
  <c r="C33" i="13"/>
  <c r="C34" i="13"/>
  <c r="C35" i="13"/>
  <c r="C36" i="13"/>
  <c r="C37" i="13"/>
  <c r="C38" i="13"/>
  <c r="C40" i="13"/>
  <c r="C41" i="13"/>
  <c r="C42" i="13"/>
  <c r="C43" i="13"/>
  <c r="C44" i="13"/>
  <c r="C45" i="13"/>
  <c r="C46" i="13"/>
  <c r="C47" i="13"/>
  <c r="C48" i="13"/>
  <c r="C49" i="13"/>
  <c r="C50" i="13"/>
  <c r="C52" i="13"/>
  <c r="C53" i="13"/>
  <c r="C54" i="13"/>
  <c r="C55" i="13"/>
  <c r="C56" i="13"/>
  <c r="C57" i="13"/>
  <c r="C58" i="13"/>
  <c r="C59" i="13"/>
  <c r="C60" i="13"/>
  <c r="C61" i="13"/>
  <c r="C62" i="13"/>
  <c r="C64" i="13"/>
  <c r="C65" i="13"/>
  <c r="C66" i="13"/>
  <c r="C67" i="13"/>
  <c r="C68" i="13"/>
  <c r="C69" i="13"/>
  <c r="C70" i="13"/>
  <c r="E3" i="13"/>
  <c r="E4" i="13" s="1"/>
  <c r="E5" i="13" s="1"/>
  <c r="E6" i="13" s="1"/>
  <c r="E7" i="13" s="1"/>
  <c r="E8" i="13" s="1"/>
  <c r="E9" i="13" s="1"/>
  <c r="E10" i="13" s="1"/>
  <c r="E11" i="13" s="1"/>
  <c r="E12" i="13" s="1"/>
  <c r="E13" i="13" s="1"/>
  <c r="E14" i="13" s="1"/>
  <c r="E15" i="13" s="1"/>
  <c r="E16" i="13" s="1"/>
  <c r="E17" i="13" s="1"/>
  <c r="E18" i="13" s="1"/>
  <c r="E19" i="13" s="1"/>
  <c r="E20" i="13" s="1"/>
  <c r="E21" i="13" s="1"/>
  <c r="E22" i="13" s="1"/>
  <c r="E23" i="13" s="1"/>
  <c r="E24" i="13" s="1"/>
  <c r="E25" i="13" s="1"/>
  <c r="E26" i="13" s="1"/>
  <c r="E27" i="13" s="1"/>
  <c r="E28" i="13" s="1"/>
  <c r="E29" i="13" s="1"/>
  <c r="E30" i="13" s="1"/>
  <c r="E31" i="13" s="1"/>
  <c r="E32" i="13" s="1"/>
  <c r="E33" i="13" s="1"/>
  <c r="E34" i="13" s="1"/>
  <c r="E35" i="13" s="1"/>
  <c r="E36" i="13" s="1"/>
  <c r="E37" i="13" s="1"/>
  <c r="E38" i="13" s="1"/>
  <c r="E39" i="13" s="1"/>
  <c r="E40" i="13" s="1"/>
  <c r="E41" i="13" s="1"/>
  <c r="E42" i="13" s="1"/>
  <c r="E43" i="13" s="1"/>
  <c r="E44" i="13" s="1"/>
  <c r="E45" i="13" s="1"/>
  <c r="E46" i="13" s="1"/>
  <c r="E47" i="13" s="1"/>
  <c r="E48" i="13" s="1"/>
  <c r="E49" i="13" s="1"/>
  <c r="E50" i="13" s="1"/>
  <c r="E51" i="13" s="1"/>
  <c r="E52" i="13" s="1"/>
  <c r="E53" i="13" s="1"/>
  <c r="E54" i="13" s="1"/>
  <c r="E55" i="13" s="1"/>
  <c r="E56" i="13" s="1"/>
  <c r="E57" i="13" s="1"/>
  <c r="E58" i="13" s="1"/>
  <c r="E59" i="13" s="1"/>
  <c r="E60" i="13" s="1"/>
  <c r="E61" i="13" s="1"/>
  <c r="E62" i="13" s="1"/>
  <c r="E63" i="13" s="1"/>
  <c r="E64" i="13" s="1"/>
  <c r="E65" i="13" s="1"/>
  <c r="E66" i="13" s="1"/>
  <c r="E67" i="13" s="1"/>
  <c r="E68" i="13" s="1"/>
  <c r="E69" i="13" s="1"/>
  <c r="E70" i="13" s="1"/>
  <c r="E72" i="13" s="1"/>
  <c r="E73" i="13" s="1"/>
  <c r="E74" i="13" s="1"/>
  <c r="E75" i="13" s="1"/>
  <c r="E76" i="13" s="1"/>
  <c r="E77" i="13" s="1"/>
  <c r="E78" i="13" s="1"/>
  <c r="E79" i="13" s="1"/>
  <c r="E80" i="13" s="1"/>
  <c r="E81" i="13" s="1"/>
  <c r="E82" i="13" s="1"/>
  <c r="E83" i="13" s="1"/>
  <c r="E84" i="13" s="1"/>
  <c r="E85" i="13" s="1"/>
  <c r="E86" i="13" s="1"/>
  <c r="E87" i="13" s="1"/>
  <c r="E88" i="13" s="1"/>
  <c r="E89" i="13" s="1"/>
  <c r="E90" i="13" s="1"/>
  <c r="E91" i="13" s="1"/>
  <c r="E92" i="13" s="1"/>
  <c r="E93" i="13" s="1"/>
  <c r="E94" i="13" s="1"/>
  <c r="E95" i="13" s="1"/>
  <c r="E96" i="13" s="1"/>
  <c r="E97" i="13" s="1"/>
  <c r="E98" i="13" s="1"/>
  <c r="E99" i="13" s="1"/>
  <c r="E100" i="13" s="1"/>
  <c r="E101" i="13" s="1"/>
  <c r="E102" i="13" s="1"/>
  <c r="E103" i="13" s="1"/>
  <c r="E104" i="13" s="1"/>
  <c r="E105" i="13" s="1"/>
  <c r="E106" i="13" s="1"/>
  <c r="E107" i="13" s="1"/>
  <c r="E108" i="13" s="1"/>
  <c r="E109" i="13" s="1"/>
  <c r="E110" i="13" s="1"/>
  <c r="E111" i="13" s="1"/>
  <c r="E112" i="13" s="1"/>
  <c r="E113" i="13" s="1"/>
  <c r="E114" i="13" s="1"/>
  <c r="E115" i="13" s="1"/>
  <c r="E116" i="13" s="1"/>
  <c r="E117" i="13" s="1"/>
  <c r="E118" i="13" s="1"/>
  <c r="E119" i="13" s="1"/>
  <c r="E120" i="13" s="1"/>
  <c r="E121" i="13" s="1"/>
  <c r="E122" i="13" s="1"/>
  <c r="E123" i="13" s="1"/>
  <c r="E124" i="13" s="1"/>
  <c r="E125" i="13" s="1"/>
  <c r="E126" i="13" s="1"/>
  <c r="E127" i="13" s="1"/>
  <c r="E128" i="13" s="1"/>
  <c r="E129" i="13" s="1"/>
  <c r="E130" i="13" s="1"/>
  <c r="E131" i="13" s="1"/>
  <c r="E132" i="13" s="1"/>
  <c r="E133" i="13" s="1"/>
  <c r="E134" i="13" s="1"/>
  <c r="E136" i="13" s="1"/>
  <c r="E137" i="13" s="1"/>
  <c r="E138" i="13" s="1"/>
  <c r="E139" i="13" s="1"/>
  <c r="E140" i="13" s="1"/>
  <c r="E141" i="13" s="1"/>
  <c r="E142" i="13" s="1"/>
  <c r="E143" i="13" s="1"/>
  <c r="E144" i="13" s="1"/>
  <c r="E145" i="13" s="1"/>
  <c r="E146" i="13" s="1"/>
  <c r="E147" i="13" s="1"/>
  <c r="E148" i="13" s="1"/>
  <c r="E149" i="13" s="1"/>
  <c r="E150" i="13" s="1"/>
  <c r="E151" i="13" s="1"/>
  <c r="E152" i="13" s="1"/>
  <c r="E153" i="13" s="1"/>
  <c r="E154" i="13" s="1"/>
  <c r="E155" i="13" s="1"/>
  <c r="E156" i="13" s="1"/>
  <c r="E157" i="13" s="1"/>
  <c r="E158" i="13" s="1"/>
  <c r="E159" i="13" s="1"/>
  <c r="E160" i="13" s="1"/>
  <c r="E161" i="13" s="1"/>
  <c r="E162" i="13" s="1"/>
  <c r="E163" i="13" s="1"/>
  <c r="E164" i="13" s="1"/>
  <c r="E165" i="13" s="1"/>
  <c r="E166" i="13" s="1"/>
  <c r="E167" i="13" s="1"/>
  <c r="E168" i="13" s="1"/>
  <c r="E169" i="13" s="1"/>
  <c r="E170" i="13" s="1"/>
  <c r="E171" i="13" s="1"/>
  <c r="E172" i="13" s="1"/>
  <c r="E173" i="13" s="1"/>
  <c r="E174" i="13" s="1"/>
  <c r="E175" i="13" s="1"/>
  <c r="E176" i="13" s="1"/>
  <c r="E177" i="13" s="1"/>
  <c r="E178" i="13" s="1"/>
  <c r="E179" i="13" s="1"/>
  <c r="E180" i="13" s="1"/>
  <c r="E181" i="13" s="1"/>
  <c r="E182" i="13" s="1"/>
  <c r="E183" i="13" s="1"/>
  <c r="E184" i="13" s="1"/>
  <c r="E185" i="13" s="1"/>
  <c r="E186" i="13" s="1"/>
  <c r="E187" i="13" s="1"/>
  <c r="E188" i="13" s="1"/>
  <c r="E189" i="13" s="1"/>
  <c r="E190" i="13" s="1"/>
  <c r="E191" i="13" s="1"/>
  <c r="E192" i="13" s="1"/>
  <c r="E193" i="13" s="1"/>
  <c r="E194" i="13" s="1"/>
  <c r="E195" i="13" s="1"/>
  <c r="E196" i="13" s="1"/>
  <c r="E197" i="13" s="1"/>
  <c r="E198" i="13" s="1"/>
  <c r="E199" i="13" s="1"/>
  <c r="E200" i="13" s="1"/>
  <c r="E201" i="13" s="1"/>
  <c r="E202" i="13" s="1"/>
  <c r="E203" i="13" s="1"/>
  <c r="E204" i="13" s="1"/>
  <c r="E205" i="13" s="1"/>
  <c r="E206" i="13" s="1"/>
  <c r="E207" i="13" s="1"/>
  <c r="E208" i="13" s="1"/>
  <c r="E209" i="13" s="1"/>
  <c r="E210" i="13" s="1"/>
  <c r="E211" i="13" s="1"/>
  <c r="E212" i="13" s="1"/>
  <c r="E213" i="13" s="1"/>
  <c r="E214" i="13" s="1"/>
  <c r="E215" i="13" s="1"/>
  <c r="E216" i="13" s="1"/>
  <c r="E217" i="13" s="1"/>
  <c r="E218" i="13" s="1"/>
  <c r="E219" i="13" s="1"/>
  <c r="E220" i="13" s="1"/>
  <c r="E221" i="13" s="1"/>
  <c r="E222" i="13" s="1"/>
  <c r="E223" i="13" s="1"/>
  <c r="E224" i="13" s="1"/>
  <c r="E225" i="13" s="1"/>
  <c r="E226" i="13" s="1"/>
  <c r="E227" i="13" s="1"/>
  <c r="E228" i="13" s="1"/>
  <c r="E229" i="13" s="1"/>
  <c r="E230" i="13" s="1"/>
  <c r="E231" i="13" s="1"/>
  <c r="E232" i="13" s="1"/>
  <c r="E233" i="13" s="1"/>
  <c r="E234" i="13" s="1"/>
  <c r="E235" i="13" s="1"/>
  <c r="E236" i="13" s="1"/>
  <c r="E237" i="13" s="1"/>
  <c r="E238" i="13" s="1"/>
  <c r="E239" i="13" s="1"/>
  <c r="E240" i="13" s="1"/>
  <c r="E241" i="13" s="1"/>
  <c r="E242" i="13" s="1"/>
  <c r="E243" i="13" s="1"/>
  <c r="E244" i="13" s="1"/>
  <c r="E245" i="13" s="1"/>
  <c r="E246" i="13" s="1"/>
  <c r="E247" i="13" s="1"/>
  <c r="E248" i="13" s="1"/>
  <c r="E249" i="13" s="1"/>
  <c r="E250" i="13" s="1"/>
  <c r="E251" i="13" s="1"/>
  <c r="E252" i="13" s="1"/>
  <c r="E253" i="13" s="1"/>
  <c r="E254" i="13" s="1"/>
  <c r="E255" i="13" s="1"/>
  <c r="E256" i="13" s="1"/>
  <c r="E257" i="13" s="1"/>
  <c r="E258" i="13" s="1"/>
  <c r="E259" i="13" s="1"/>
  <c r="E260" i="13" s="1"/>
  <c r="E261" i="13" s="1"/>
  <c r="E262" i="13" s="1"/>
  <c r="E263" i="13" s="1"/>
  <c r="E264" i="13" s="1"/>
  <c r="E265" i="13" s="1"/>
  <c r="E266" i="13" s="1"/>
  <c r="E267" i="13" s="1"/>
  <c r="E268" i="13" s="1"/>
  <c r="E269" i="13" s="1"/>
  <c r="E270" i="13" s="1"/>
  <c r="E271" i="13" s="1"/>
  <c r="E272" i="13" s="1"/>
  <c r="E273" i="13" s="1"/>
  <c r="E274" i="13" s="1"/>
  <c r="E275" i="13" s="1"/>
  <c r="E276" i="13" s="1"/>
  <c r="E277" i="13" s="1"/>
  <c r="E278" i="13" s="1"/>
  <c r="E279" i="13" s="1"/>
  <c r="E280" i="13" s="1"/>
  <c r="E281" i="13" s="1"/>
  <c r="E282" i="13" s="1"/>
  <c r="E283" i="13" s="1"/>
  <c r="E284" i="13" s="1"/>
  <c r="E285" i="13" s="1"/>
  <c r="L56" i="2"/>
  <c r="M56" i="2" s="1"/>
  <c r="L64" i="2"/>
  <c r="M64" i="2" s="1"/>
  <c r="L37" i="2"/>
  <c r="M37" i="2" s="1"/>
  <c r="L27" i="2"/>
  <c r="M27" i="2" s="1"/>
  <c r="L30" i="2"/>
  <c r="M30" i="2" s="1"/>
  <c r="L35" i="2"/>
  <c r="M35" i="2" s="1"/>
  <c r="L23" i="2"/>
  <c r="M23" i="2" s="1"/>
  <c r="L24" i="2"/>
  <c r="M24" i="2" s="1"/>
  <c r="L21" i="2"/>
  <c r="M21" i="2" s="1"/>
  <c r="I582" i="2"/>
  <c r="L66" i="2" s="1"/>
  <c r="M66" i="2" s="1"/>
  <c r="I571" i="2"/>
  <c r="L65" i="2" s="1"/>
  <c r="M65" i="2" s="1"/>
  <c r="I560" i="2"/>
  <c r="I549" i="2"/>
  <c r="L63" i="2" s="1"/>
  <c r="M63" i="2" s="1"/>
  <c r="I538" i="2"/>
  <c r="L62" i="2" s="1"/>
  <c r="M62" i="2" s="1"/>
  <c r="I527" i="2"/>
  <c r="L61" i="2" s="1"/>
  <c r="M61" i="2" s="1"/>
  <c r="I516" i="2"/>
  <c r="L60" i="2" s="1"/>
  <c r="M60" i="2" s="1"/>
  <c r="I505" i="2"/>
  <c r="L59" i="2" s="1"/>
  <c r="M59" i="2" s="1"/>
  <c r="I494" i="2"/>
  <c r="L58" i="2" s="1"/>
  <c r="M58" i="2" s="1"/>
  <c r="I483" i="2"/>
  <c r="L57" i="2" s="1"/>
  <c r="M57" i="2" s="1"/>
  <c r="I472" i="2"/>
  <c r="I461" i="2"/>
  <c r="L55" i="2" s="1"/>
  <c r="M55" i="2" s="1"/>
  <c r="I450" i="2"/>
  <c r="L54" i="2" s="1"/>
  <c r="M54" i="2" s="1"/>
  <c r="I439" i="2"/>
  <c r="L53" i="2" s="1"/>
  <c r="M53" i="2" s="1"/>
  <c r="I428" i="2"/>
  <c r="L52" i="2" s="1"/>
  <c r="M52" i="2" s="1"/>
  <c r="I417" i="2"/>
  <c r="L51" i="2" s="1"/>
  <c r="M51" i="2" s="1"/>
  <c r="I406" i="2"/>
  <c r="L50" i="2" s="1"/>
  <c r="M50" i="2" s="1"/>
  <c r="I395" i="2"/>
  <c r="L49" i="2" s="1"/>
  <c r="M49" i="2" s="1"/>
  <c r="I384" i="2"/>
  <c r="L48" i="2" s="1"/>
  <c r="M48" i="2" s="1"/>
  <c r="I373" i="2"/>
  <c r="L47" i="2" s="1"/>
  <c r="M47" i="2" s="1"/>
  <c r="I362" i="2"/>
  <c r="L46" i="2" s="1"/>
  <c r="M46" i="2" s="1"/>
  <c r="I351" i="2"/>
  <c r="L45" i="2" s="1"/>
  <c r="M45" i="2" s="1"/>
  <c r="I340" i="2"/>
  <c r="L44" i="2" s="1"/>
  <c r="M44" i="2" s="1"/>
  <c r="I329" i="2"/>
  <c r="L43" i="2" s="1"/>
  <c r="M43" i="2" s="1"/>
  <c r="I318" i="2"/>
  <c r="I307" i="2"/>
  <c r="I296" i="2"/>
  <c r="I284" i="2"/>
  <c r="L42" i="2" s="1"/>
  <c r="M42" i="2" s="1"/>
  <c r="I273" i="2"/>
  <c r="L41" i="2" s="1"/>
  <c r="M41" i="2" s="1"/>
  <c r="I262" i="2"/>
  <c r="L40" i="2" s="1"/>
  <c r="M40" i="2" s="1"/>
  <c r="I251" i="2"/>
  <c r="L39" i="2" s="1"/>
  <c r="M39" i="2" s="1"/>
  <c r="I240" i="2"/>
  <c r="L38" i="2" s="1"/>
  <c r="M38" i="2" s="1"/>
  <c r="I229" i="2"/>
  <c r="I218" i="2"/>
  <c r="L36" i="2" s="1"/>
  <c r="M36" i="2" s="1"/>
  <c r="I206" i="2"/>
  <c r="I195" i="2"/>
  <c r="I184" i="2"/>
  <c r="L34" i="2" s="1"/>
  <c r="M34" i="2" s="1"/>
  <c r="I173" i="2"/>
  <c r="L33" i="2" s="1"/>
  <c r="M33" i="2" s="1"/>
  <c r="I162" i="2"/>
  <c r="L32" i="2" s="1"/>
  <c r="M32" i="2" s="1"/>
  <c r="I151" i="2"/>
  <c r="L31" i="2" s="1"/>
  <c r="M31" i="2" s="1"/>
  <c r="I140" i="2"/>
  <c r="I129" i="2"/>
  <c r="L29" i="2" s="1"/>
  <c r="M29" i="2" s="1"/>
  <c r="I118" i="2"/>
  <c r="L28" i="2" s="1"/>
  <c r="M28" i="2" s="1"/>
  <c r="I107" i="2"/>
  <c r="I96" i="2"/>
  <c r="L26" i="2" s="1"/>
  <c r="M26" i="2" s="1"/>
  <c r="I85" i="2"/>
  <c r="L25" i="2" s="1"/>
  <c r="M25" i="2" s="1"/>
  <c r="I74" i="2"/>
  <c r="I63" i="2"/>
  <c r="I52" i="2"/>
  <c r="I41" i="2"/>
  <c r="L22" i="2" s="1"/>
  <c r="M22" i="2" s="1"/>
  <c r="I30" i="2"/>
  <c r="AA16" i="1"/>
  <c r="AB16" i="1" s="1"/>
  <c r="AA23" i="1"/>
  <c r="AB23" i="1" s="1"/>
  <c r="AA26" i="1"/>
  <c r="AB26" i="1" s="1"/>
  <c r="AA33" i="1"/>
  <c r="AB33" i="1" s="1"/>
  <c r="AB38" i="1"/>
  <c r="AA47" i="1"/>
  <c r="AB47" i="1" s="1"/>
  <c r="AA48" i="1"/>
  <c r="AB48" i="1" s="1"/>
  <c r="AA55" i="1"/>
  <c r="AB55" i="1" s="1"/>
  <c r="AA58" i="1"/>
  <c r="AB58" i="1" s="1"/>
  <c r="AA64" i="1"/>
  <c r="AB64" i="1" s="1"/>
  <c r="AA67" i="1"/>
  <c r="AB67" i="1" s="1"/>
  <c r="AA72" i="1"/>
  <c r="AB72" i="1" s="1"/>
  <c r="AA75" i="1"/>
  <c r="AB75" i="1" s="1"/>
  <c r="AA79" i="1"/>
  <c r="AB79" i="1" s="1"/>
  <c r="AA80" i="1"/>
  <c r="AB80" i="1" s="1"/>
  <c r="AA83" i="1"/>
  <c r="AB83" i="1" s="1"/>
  <c r="AA86" i="1"/>
  <c r="AB86" i="1" s="1"/>
  <c r="AA88" i="1"/>
  <c r="AB88" i="1" s="1"/>
  <c r="Y900" i="1"/>
  <c r="AA87" i="1" s="1"/>
  <c r="AB87" i="1" s="1"/>
  <c r="Y889" i="1"/>
  <c r="Y878" i="1"/>
  <c r="AA85" i="1" s="1"/>
  <c r="AB85" i="1" s="1"/>
  <c r="Y867" i="1"/>
  <c r="Y856" i="1"/>
  <c r="AA89" i="1" s="1"/>
  <c r="AB89" i="1" s="1"/>
  <c r="Y845" i="1"/>
  <c r="AA84" i="1" s="1"/>
  <c r="AB84" i="1" s="1"/>
  <c r="Y834" i="1"/>
  <c r="Y823" i="1"/>
  <c r="AA82" i="1" s="1"/>
  <c r="AB82" i="1" s="1"/>
  <c r="Y812" i="1"/>
  <c r="AA81" i="1" s="1"/>
  <c r="AB81" i="1" s="1"/>
  <c r="Y801" i="1"/>
  <c r="Y790" i="1"/>
  <c r="Y779" i="1"/>
  <c r="AA78" i="1" s="1"/>
  <c r="AB78" i="1" s="1"/>
  <c r="Y768" i="1"/>
  <c r="AA77" i="1" s="1"/>
  <c r="AB77" i="1" s="1"/>
  <c r="Y757" i="1"/>
  <c r="AA76" i="1" s="1"/>
  <c r="AB76" i="1" s="1"/>
  <c r="Y746" i="1"/>
  <c r="Y735" i="1"/>
  <c r="AA74" i="1" s="1"/>
  <c r="AB74" i="1" s="1"/>
  <c r="Y724" i="1"/>
  <c r="AA73" i="1" s="1"/>
  <c r="AB73" i="1" s="1"/>
  <c r="Y713" i="1"/>
  <c r="Y702" i="1"/>
  <c r="AA71" i="1" s="1"/>
  <c r="AB71" i="1" s="1"/>
  <c r="Y691" i="1"/>
  <c r="AA70" i="1" s="1"/>
  <c r="AB70" i="1" s="1"/>
  <c r="Y680" i="1"/>
  <c r="AA69" i="1" s="1"/>
  <c r="AB69" i="1" s="1"/>
  <c r="Y669" i="1"/>
  <c r="AA68" i="1" s="1"/>
  <c r="AB68" i="1" s="1"/>
  <c r="Y658" i="1"/>
  <c r="Y647" i="1"/>
  <c r="AA66" i="1" s="1"/>
  <c r="AB66" i="1" s="1"/>
  <c r="Y636" i="1"/>
  <c r="AA65" i="1" s="1"/>
  <c r="AB65" i="1" s="1"/>
  <c r="Y625" i="1"/>
  <c r="Y614" i="1"/>
  <c r="AA63" i="1" s="1"/>
  <c r="AB63" i="1" s="1"/>
  <c r="Y603" i="1"/>
  <c r="AA62" i="1" s="1"/>
  <c r="AB62" i="1" s="1"/>
  <c r="Y592" i="1"/>
  <c r="AA61" i="1" s="1"/>
  <c r="AB61" i="1" s="1"/>
  <c r="Y581" i="1"/>
  <c r="AA60" i="1" s="1"/>
  <c r="AB60" i="1" s="1"/>
  <c r="Y570" i="1"/>
  <c r="AA59" i="1" s="1"/>
  <c r="AB59" i="1" s="1"/>
  <c r="Y559" i="1"/>
  <c r="Y548" i="1"/>
  <c r="AA57" i="1" s="1"/>
  <c r="AB57" i="1" s="1"/>
  <c r="Y537" i="1"/>
  <c r="AA56" i="1" s="1"/>
  <c r="AB56" i="1" s="1"/>
  <c r="Y526" i="1"/>
  <c r="Y515" i="1"/>
  <c r="AA54" i="1" s="1"/>
  <c r="AB54" i="1" s="1"/>
  <c r="Y504" i="1"/>
  <c r="AA53" i="1" s="1"/>
  <c r="AB53" i="1" s="1"/>
  <c r="Y493" i="1"/>
  <c r="AA52" i="1" s="1"/>
  <c r="AB52" i="1" s="1"/>
  <c r="Y482" i="1"/>
  <c r="AA51" i="1" s="1"/>
  <c r="AB51" i="1" s="1"/>
  <c r="Y471" i="1"/>
  <c r="AA50" i="1" s="1"/>
  <c r="AB50" i="1" s="1"/>
  <c r="Y460" i="1"/>
  <c r="AA49" i="1" s="1"/>
  <c r="AB49" i="1" s="1"/>
  <c r="Y449" i="1"/>
  <c r="Y438" i="1"/>
  <c r="Y427" i="1"/>
  <c r="AA46" i="1" s="1"/>
  <c r="AB46" i="1" s="1"/>
  <c r="Y416" i="1"/>
  <c r="Y405" i="1"/>
  <c r="AA45" i="1" s="1"/>
  <c r="AB45" i="1" s="1"/>
  <c r="Y394" i="1"/>
  <c r="Y383" i="1"/>
  <c r="AA44" i="1" s="1"/>
  <c r="AB44" i="1" s="1"/>
  <c r="Y372" i="1"/>
  <c r="AA43" i="1" s="1"/>
  <c r="AB43" i="1" s="1"/>
  <c r="Y361" i="1"/>
  <c r="AA42" i="1" s="1"/>
  <c r="AB42" i="1" s="1"/>
  <c r="Y350" i="1"/>
  <c r="AA41" i="1" s="1"/>
  <c r="AB41" i="1" s="1"/>
  <c r="Y339" i="1"/>
  <c r="AA40" i="1" s="1"/>
  <c r="AB40" i="1" s="1"/>
  <c r="Y328" i="1"/>
  <c r="AA39" i="1" s="1"/>
  <c r="AB39" i="1" s="1"/>
  <c r="Y317" i="1"/>
  <c r="Y306" i="1"/>
  <c r="AA37" i="1" s="1"/>
  <c r="AB37" i="1" s="1"/>
  <c r="Y295" i="1"/>
  <c r="AA36" i="1" s="1"/>
  <c r="AB36" i="1" s="1"/>
  <c r="Y284" i="1"/>
  <c r="AA35" i="1" s="1"/>
  <c r="AB35" i="1" s="1"/>
  <c r="Y273" i="1"/>
  <c r="AA34" i="1" s="1"/>
  <c r="AB34" i="1" s="1"/>
  <c r="Y262" i="1"/>
  <c r="Y251" i="1"/>
  <c r="AA32" i="1" s="1"/>
  <c r="AB32" i="1" s="1"/>
  <c r="Y240" i="1"/>
  <c r="AA31" i="1" s="1"/>
  <c r="AB31" i="1" s="1"/>
  <c r="Y229" i="1"/>
  <c r="AA30" i="1" s="1"/>
  <c r="AB30" i="1" s="1"/>
  <c r="Y218" i="1"/>
  <c r="AA29" i="1" s="1"/>
  <c r="AB29" i="1" s="1"/>
  <c r="Y207" i="1"/>
  <c r="AA28" i="1" s="1"/>
  <c r="AB28" i="1" s="1"/>
  <c r="Y196" i="1"/>
  <c r="AA27" i="1" s="1"/>
  <c r="AB27" i="1" s="1"/>
  <c r="Y185" i="1"/>
  <c r="Y174" i="1"/>
  <c r="AA25" i="1" s="1"/>
  <c r="AB25" i="1" s="1"/>
  <c r="Y163" i="1"/>
  <c r="AA24" i="1" s="1"/>
  <c r="AB24" i="1" s="1"/>
  <c r="Y152" i="1"/>
  <c r="Y141" i="1"/>
  <c r="AA22" i="1" s="1"/>
  <c r="AB22" i="1" s="1"/>
  <c r="Y130" i="1"/>
  <c r="AA21" i="1" s="1"/>
  <c r="AB21" i="1" s="1"/>
  <c r="Y119" i="1"/>
  <c r="AA20" i="1" s="1"/>
  <c r="AB20" i="1" s="1"/>
  <c r="Y108" i="1"/>
  <c r="AA19" i="1" s="1"/>
  <c r="AB19" i="1" s="1"/>
  <c r="Y97" i="1"/>
  <c r="AA18" i="1" s="1"/>
  <c r="AB18" i="1" s="1"/>
  <c r="Y86" i="1"/>
  <c r="AA17" i="1" s="1"/>
  <c r="AB17" i="1" s="1"/>
  <c r="Y75" i="1"/>
  <c r="Y64" i="1"/>
  <c r="AA15" i="1" s="1"/>
  <c r="AB15" i="1" s="1"/>
  <c r="Y53" i="1"/>
  <c r="AA14" i="1" s="1"/>
  <c r="AB14" i="1" s="1"/>
  <c r="Y42" i="1"/>
  <c r="AA13" i="1" s="1"/>
  <c r="AB13" i="1" s="1"/>
  <c r="Y31" i="1"/>
  <c r="AA12" i="1" s="1"/>
  <c r="AB12" i="1" s="1"/>
  <c r="AA11" i="1"/>
  <c r="AB11" i="1" s="1"/>
  <c r="H181" i="5" l="1"/>
  <c r="AM181" i="5" s="1"/>
  <c r="I166" i="5"/>
  <c r="AN166" i="5" s="1"/>
  <c r="F182" i="5"/>
  <c r="AK182" i="5" s="1"/>
  <c r="C149" i="5"/>
  <c r="AH149" i="5" s="1"/>
  <c r="L124" i="5"/>
  <c r="E286" i="13"/>
  <c r="E288" i="13" s="1"/>
  <c r="E289" i="13" s="1"/>
  <c r="E290" i="13" s="1"/>
  <c r="E291" i="13" s="1"/>
  <c r="E292" i="13" s="1"/>
  <c r="E293" i="13" s="1"/>
  <c r="E294" i="13" s="1"/>
  <c r="E295" i="13" s="1"/>
  <c r="E296" i="13" s="1"/>
  <c r="E297" i="13" s="1"/>
  <c r="E298" i="13" s="1"/>
  <c r="E299" i="13" s="1"/>
  <c r="E300" i="13" s="1"/>
  <c r="E301" i="13" s="1"/>
  <c r="E302" i="13" s="1"/>
  <c r="E303" i="13" s="1"/>
  <c r="E304" i="13" s="1"/>
  <c r="E305" i="13" s="1"/>
  <c r="E306" i="13" s="1"/>
  <c r="E307" i="13" s="1"/>
  <c r="E308" i="13" s="1"/>
  <c r="E309" i="13" s="1"/>
  <c r="E310" i="13" s="1"/>
  <c r="E311" i="13" s="1"/>
  <c r="E312" i="13" s="1"/>
  <c r="E313" i="13" s="1"/>
  <c r="E314" i="13" s="1"/>
  <c r="E315" i="13" s="1"/>
  <c r="E316" i="13" s="1"/>
  <c r="E317" i="13" s="1"/>
  <c r="E318" i="13" s="1"/>
  <c r="E319" i="13" s="1"/>
  <c r="E320" i="13" s="1"/>
  <c r="E321" i="13" s="1"/>
  <c r="E322" i="13" s="1"/>
  <c r="E323" i="13" s="1"/>
  <c r="E324" i="13" s="1"/>
  <c r="E325" i="13" s="1"/>
  <c r="E326" i="13" s="1"/>
  <c r="E327" i="13" s="1"/>
  <c r="E328" i="13" s="1"/>
  <c r="E329" i="13" s="1"/>
  <c r="E330" i="13" s="1"/>
  <c r="E331" i="13" s="1"/>
  <c r="E332" i="13" s="1"/>
  <c r="E333" i="13" s="1"/>
  <c r="E334" i="13" s="1"/>
  <c r="E335" i="13" s="1"/>
  <c r="E336" i="13" s="1"/>
  <c r="E337" i="13" s="1"/>
  <c r="E338" i="13" s="1"/>
  <c r="E339" i="13" s="1"/>
  <c r="E340" i="13" s="1"/>
  <c r="E341" i="13" s="1"/>
  <c r="E342" i="13" s="1"/>
  <c r="E343" i="13" s="1"/>
  <c r="E344" i="13" s="1"/>
  <c r="E345" i="13" s="1"/>
  <c r="E346" i="13" s="1"/>
  <c r="E347" i="13" s="1"/>
  <c r="E348" i="13" s="1"/>
  <c r="E349" i="13" s="1"/>
  <c r="E350" i="13" s="1"/>
  <c r="E351" i="13" s="1"/>
  <c r="E352" i="13" s="1"/>
  <c r="E353" i="13" s="1"/>
  <c r="E354" i="13" s="1"/>
  <c r="E355" i="13" s="1"/>
  <c r="E356" i="13" s="1"/>
  <c r="E357" i="13" s="1"/>
  <c r="E358" i="13" s="1"/>
  <c r="E359" i="13" s="1"/>
  <c r="E360" i="13" s="1"/>
  <c r="E361" i="13" s="1"/>
  <c r="E362" i="13" s="1"/>
  <c r="E363" i="13" s="1"/>
  <c r="E364" i="13" s="1"/>
  <c r="E365" i="13" s="1"/>
  <c r="E367" i="13" s="1"/>
  <c r="E368" i="13" s="1"/>
  <c r="E369" i="13" s="1"/>
  <c r="E370" i="13" s="1"/>
  <c r="E371" i="13" s="1"/>
  <c r="E372" i="13" s="1"/>
  <c r="E373" i="13" s="1"/>
  <c r="E374" i="13" s="1"/>
  <c r="E375" i="13" s="1"/>
  <c r="E376" i="13" s="1"/>
  <c r="E377" i="13" s="1"/>
  <c r="E378" i="13" s="1"/>
  <c r="E379" i="13" s="1"/>
  <c r="E380" i="13" s="1"/>
  <c r="E381" i="13" s="1"/>
  <c r="E382" i="13" s="1"/>
  <c r="E383" i="13" s="1"/>
  <c r="E384" i="13" s="1"/>
  <c r="E385" i="13" s="1"/>
  <c r="E386" i="13" s="1"/>
  <c r="E387" i="13" s="1"/>
  <c r="E388" i="13" s="1"/>
  <c r="E389" i="13" s="1"/>
  <c r="E390" i="13" s="1"/>
  <c r="E391" i="13" s="1"/>
  <c r="E392" i="13" s="1"/>
  <c r="E393" i="13" s="1"/>
  <c r="E394" i="13" s="1"/>
  <c r="E395" i="13" s="1"/>
  <c r="E396" i="13" s="1"/>
  <c r="E397" i="13" s="1"/>
  <c r="E398" i="13" s="1"/>
  <c r="E399" i="13" s="1"/>
  <c r="E400" i="13" s="1"/>
  <c r="E401" i="13" s="1"/>
  <c r="E402" i="13" s="1"/>
  <c r="E403" i="13" s="1"/>
  <c r="E404" i="13" s="1"/>
  <c r="E405" i="13" s="1"/>
  <c r="E406" i="13" s="1"/>
  <c r="E407" i="13" s="1"/>
  <c r="E408" i="13" s="1"/>
  <c r="E409" i="13" s="1"/>
  <c r="E410" i="13" s="1"/>
  <c r="E411" i="13" s="1"/>
  <c r="E412" i="13" s="1"/>
  <c r="E413" i="13" s="1"/>
  <c r="E414" i="13" s="1"/>
  <c r="E415" i="13" s="1"/>
  <c r="E416" i="13" s="1"/>
  <c r="E417" i="13" s="1"/>
  <c r="E418" i="13" s="1"/>
  <c r="E419" i="13" s="1"/>
  <c r="E420" i="13" s="1"/>
  <c r="E421" i="13" s="1"/>
  <c r="E422" i="13" s="1"/>
  <c r="E423" i="13" s="1"/>
  <c r="E424" i="13" s="1"/>
  <c r="E426" i="13" s="1"/>
  <c r="E427" i="13" s="1"/>
  <c r="E428" i="13" s="1"/>
  <c r="E429" i="13" s="1"/>
  <c r="E430" i="13" s="1"/>
  <c r="E431" i="13" s="1"/>
  <c r="E432" i="13" s="1"/>
  <c r="E433" i="13" s="1"/>
  <c r="E434" i="13" s="1"/>
  <c r="E435" i="13" s="1"/>
  <c r="E436" i="13" s="1"/>
  <c r="E437" i="13" s="1"/>
  <c r="E438" i="13" s="1"/>
  <c r="E439" i="13" s="1"/>
  <c r="E440" i="13" s="1"/>
  <c r="E441" i="13" s="1"/>
  <c r="E442" i="13" s="1"/>
  <c r="E443" i="13" s="1"/>
  <c r="E444" i="13" s="1"/>
  <c r="E445" i="13" s="1"/>
  <c r="E446" i="13" s="1"/>
  <c r="E447" i="13" s="1"/>
  <c r="E448" i="13" s="1"/>
  <c r="E449" i="13" s="1"/>
  <c r="E450" i="13" s="1"/>
  <c r="E451" i="13" s="1"/>
  <c r="E452" i="13" s="1"/>
  <c r="E453" i="13" s="1"/>
  <c r="E454" i="13" s="1"/>
  <c r="E455" i="13" s="1"/>
  <c r="E456" i="13" s="1"/>
  <c r="E457" i="13" s="1"/>
  <c r="E458" i="13" s="1"/>
  <c r="E459" i="13" s="1"/>
  <c r="E460" i="13" s="1"/>
  <c r="E461" i="13" s="1"/>
  <c r="E462" i="13" s="1"/>
  <c r="E463" i="13" s="1"/>
  <c r="E464" i="13" s="1"/>
  <c r="E465" i="13" s="1"/>
  <c r="E466" i="13" s="1"/>
  <c r="E467" i="13" s="1"/>
  <c r="E468" i="13" s="1"/>
  <c r="E469" i="13" s="1"/>
  <c r="E470" i="13" s="1"/>
  <c r="G181" i="5"/>
  <c r="AL181" i="5" s="1"/>
  <c r="I158" i="5"/>
  <c r="AN158" i="5" s="1"/>
  <c r="K157" i="5"/>
  <c r="AP157" i="5" s="1"/>
  <c r="I150" i="5"/>
  <c r="AN150" i="5" s="1"/>
  <c r="E182" i="5"/>
  <c r="AJ182" i="5" s="1"/>
  <c r="I154" i="5"/>
  <c r="AN154" i="5" s="1"/>
  <c r="F181" i="5"/>
  <c r="AK181" i="5" s="1"/>
  <c r="G139" i="5"/>
  <c r="AL139" i="5" s="1"/>
  <c r="G155" i="5"/>
  <c r="AL155" i="5" s="1"/>
  <c r="E181" i="5"/>
  <c r="AJ181" i="5" s="1"/>
  <c r="I170" i="5"/>
  <c r="AN170" i="5" s="1"/>
  <c r="C182" i="5"/>
  <c r="AH182" i="5" s="1"/>
  <c r="K149" i="5"/>
  <c r="AP149" i="5" s="1"/>
  <c r="I178" i="5"/>
  <c r="AN178" i="5" s="1"/>
  <c r="D182" i="5"/>
  <c r="AI182" i="5" s="1"/>
  <c r="C181" i="5"/>
  <c r="AH181" i="5" s="1"/>
  <c r="G171" i="5"/>
  <c r="AL171" i="5" s="1"/>
  <c r="E164" i="5"/>
  <c r="AJ164" i="5" s="1"/>
  <c r="AG124" i="5"/>
  <c r="E178" i="5"/>
  <c r="AJ178" i="5" s="1"/>
  <c r="K181" i="5"/>
  <c r="AP181" i="5" s="1"/>
  <c r="I174" i="5"/>
  <c r="AN174" i="5" s="1"/>
  <c r="C157" i="5"/>
  <c r="AH157" i="5" s="1"/>
  <c r="I182" i="5"/>
  <c r="AN182" i="5" s="1"/>
  <c r="J181" i="5"/>
  <c r="AO181" i="5" s="1"/>
  <c r="H182" i="5"/>
  <c r="AM182" i="5" s="1"/>
  <c r="I181" i="5"/>
  <c r="AN181" i="5" s="1"/>
  <c r="E172" i="5"/>
  <c r="AJ172" i="5" s="1"/>
  <c r="G182" i="5"/>
  <c r="AL182" i="5" s="1"/>
  <c r="C2" i="13"/>
  <c r="D318" i="7"/>
  <c r="AJ11" i="1"/>
  <c r="C314" i="13"/>
  <c r="C366" i="13"/>
  <c r="K135" i="13"/>
  <c r="Q245" i="13"/>
  <c r="Q233" i="13"/>
  <c r="Q221" i="13"/>
  <c r="Q209" i="13"/>
  <c r="Q137" i="13"/>
  <c r="Q280" i="13"/>
  <c r="Q268" i="13"/>
  <c r="Q256" i="13"/>
  <c r="Q244" i="13"/>
  <c r="Q232" i="13"/>
  <c r="Q220" i="13"/>
  <c r="Q148" i="13"/>
  <c r="Q136" i="13"/>
  <c r="Q279" i="13"/>
  <c r="Q267" i="13"/>
  <c r="Q255" i="13"/>
  <c r="Q243" i="13"/>
  <c r="Q231" i="13"/>
  <c r="Q207" i="13"/>
  <c r="Q195" i="13"/>
  <c r="Q183" i="13"/>
  <c r="Q171" i="13"/>
  <c r="Q159" i="13"/>
  <c r="Q147" i="13"/>
  <c r="Q278" i="13"/>
  <c r="Q266" i="13"/>
  <c r="Q254" i="13"/>
  <c r="Q242" i="13"/>
  <c r="Q230" i="13"/>
  <c r="Q218" i="13"/>
  <c r="Q206" i="13"/>
  <c r="Q194" i="13"/>
  <c r="Q182" i="13"/>
  <c r="Q170" i="13"/>
  <c r="Q158" i="13"/>
  <c r="Q146" i="13"/>
  <c r="Q277" i="13"/>
  <c r="Q265" i="13"/>
  <c r="Q253" i="13"/>
  <c r="Q241" i="13"/>
  <c r="Q229" i="13"/>
  <c r="Q217" i="13"/>
  <c r="Q205" i="13"/>
  <c r="Q193" i="13"/>
  <c r="Q181" i="13"/>
  <c r="Q169" i="13"/>
  <c r="Q157" i="13"/>
  <c r="Q145" i="13"/>
  <c r="Q276" i="13"/>
  <c r="Q264" i="13"/>
  <c r="Q252" i="13"/>
  <c r="Q240" i="13"/>
  <c r="Q228" i="13"/>
  <c r="Q216" i="13"/>
  <c r="Q204" i="13"/>
  <c r="Q192" i="13"/>
  <c r="Q180" i="13"/>
  <c r="Q168" i="13"/>
  <c r="Q156" i="13"/>
  <c r="Q144" i="13"/>
  <c r="Q275" i="13"/>
  <c r="Q263" i="13"/>
  <c r="Q251" i="13"/>
  <c r="Q239" i="13"/>
  <c r="Q227" i="13"/>
  <c r="Q215" i="13"/>
  <c r="Q203" i="13"/>
  <c r="Q191" i="13"/>
  <c r="Q179" i="13"/>
  <c r="Q167" i="13"/>
  <c r="Q155" i="13"/>
  <c r="Q143" i="13"/>
  <c r="I125" i="5"/>
  <c r="AN125" i="5" s="1"/>
  <c r="K125" i="5"/>
  <c r="AP125" i="5" s="1"/>
  <c r="D181" i="5"/>
  <c r="F174" i="5"/>
  <c r="AK174" i="5" s="1"/>
  <c r="H172" i="5"/>
  <c r="AM172" i="5" s="1"/>
  <c r="J171" i="5"/>
  <c r="AO171" i="5" s="1"/>
  <c r="D170" i="5"/>
  <c r="AI170" i="5" s="1"/>
  <c r="F158" i="5"/>
  <c r="AK158" i="5" s="1"/>
  <c r="H139" i="5"/>
  <c r="AM139" i="5" s="1"/>
  <c r="J136" i="5"/>
  <c r="AO136" i="5" s="1"/>
  <c r="D134" i="5"/>
  <c r="AI134" i="5" s="1"/>
  <c r="F129" i="5"/>
  <c r="AK129" i="5" s="1"/>
  <c r="H157" i="5"/>
  <c r="AM157" i="5" s="1"/>
  <c r="J150" i="5"/>
  <c r="AO150" i="5" s="1"/>
  <c r="H164" i="5"/>
  <c r="AM164" i="5" s="1"/>
  <c r="J182" i="5"/>
  <c r="AO182" i="5" s="1"/>
  <c r="F154" i="5"/>
  <c r="AK154" i="5" s="1"/>
  <c r="H155" i="5"/>
  <c r="AM155" i="5" s="1"/>
  <c r="L176" i="5"/>
  <c r="D428" i="7" s="1"/>
  <c r="L167" i="5"/>
  <c r="D419" i="7" s="1"/>
  <c r="L159" i="5"/>
  <c r="D411" i="7" s="1"/>
  <c r="L142" i="5"/>
  <c r="D394" i="7" s="1"/>
  <c r="L138" i="5"/>
  <c r="D390" i="7" s="1"/>
  <c r="L127" i="5"/>
  <c r="D379" i="7" s="1"/>
  <c r="H125" i="5"/>
  <c r="AM125" i="5" s="1"/>
  <c r="E174" i="5"/>
  <c r="AJ174" i="5" s="1"/>
  <c r="G172" i="5"/>
  <c r="AL172" i="5" s="1"/>
  <c r="I171" i="5"/>
  <c r="AN171" i="5" s="1"/>
  <c r="K170" i="5"/>
  <c r="AP170" i="5" s="1"/>
  <c r="C170" i="5"/>
  <c r="E158" i="5"/>
  <c r="AJ158" i="5" s="1"/>
  <c r="I136" i="5"/>
  <c r="AN136" i="5" s="1"/>
  <c r="K134" i="5"/>
  <c r="AP134" i="5" s="1"/>
  <c r="C134" i="5"/>
  <c r="AH134" i="5" s="1"/>
  <c r="E129" i="5"/>
  <c r="AJ129" i="5" s="1"/>
  <c r="G157" i="5"/>
  <c r="AL157" i="5" s="1"/>
  <c r="G164" i="5"/>
  <c r="AL164" i="5" s="1"/>
  <c r="H166" i="5"/>
  <c r="AM166" i="5" s="1"/>
  <c r="J149" i="5"/>
  <c r="AO149" i="5" s="1"/>
  <c r="D178" i="5"/>
  <c r="AI178" i="5" s="1"/>
  <c r="E154" i="5"/>
  <c r="AJ154" i="5" s="1"/>
  <c r="L179" i="5"/>
  <c r="D431" i="7" s="1"/>
  <c r="L162" i="5"/>
  <c r="D414" i="7" s="1"/>
  <c r="L137" i="5"/>
  <c r="D389" i="7" s="1"/>
  <c r="L126" i="5"/>
  <c r="D378" i="7" s="1"/>
  <c r="G125" i="5"/>
  <c r="AL125" i="5" s="1"/>
  <c r="D174" i="5"/>
  <c r="AI174" i="5" s="1"/>
  <c r="F172" i="5"/>
  <c r="AK172" i="5" s="1"/>
  <c r="H171" i="5"/>
  <c r="AM171" i="5" s="1"/>
  <c r="J170" i="5"/>
  <c r="AO170" i="5" s="1"/>
  <c r="D158" i="5"/>
  <c r="AI158" i="5" s="1"/>
  <c r="F139" i="5"/>
  <c r="AK139" i="5" s="1"/>
  <c r="H136" i="5"/>
  <c r="AM136" i="5" s="1"/>
  <c r="J134" i="5"/>
  <c r="AO134" i="5" s="1"/>
  <c r="D129" i="5"/>
  <c r="AI129" i="5" s="1"/>
  <c r="F157" i="5"/>
  <c r="AK157" i="5" s="1"/>
  <c r="H150" i="5"/>
  <c r="AM150" i="5" s="1"/>
  <c r="F164" i="5"/>
  <c r="AK164" i="5" s="1"/>
  <c r="G166" i="5"/>
  <c r="AL166" i="5" s="1"/>
  <c r="I149" i="5"/>
  <c r="AN149" i="5" s="1"/>
  <c r="K178" i="5"/>
  <c r="AP178" i="5" s="1"/>
  <c r="C178" i="5"/>
  <c r="D154" i="5"/>
  <c r="AI154" i="5" s="1"/>
  <c r="F155" i="5"/>
  <c r="AK155" i="5" s="1"/>
  <c r="L175" i="5"/>
  <c r="D427" i="7" s="1"/>
  <c r="L153" i="5"/>
  <c r="D405" i="7" s="1"/>
  <c r="L145" i="5"/>
  <c r="D397" i="7" s="1"/>
  <c r="L135" i="5"/>
  <c r="D387" i="7" s="1"/>
  <c r="F125" i="5"/>
  <c r="AK125" i="5" s="1"/>
  <c r="K174" i="5"/>
  <c r="AP174" i="5" s="1"/>
  <c r="C174" i="5"/>
  <c r="K158" i="5"/>
  <c r="AP158" i="5" s="1"/>
  <c r="C158" i="5"/>
  <c r="AH158" i="5" s="1"/>
  <c r="E139" i="5"/>
  <c r="AJ139" i="5" s="1"/>
  <c r="G136" i="5"/>
  <c r="AL136" i="5" s="1"/>
  <c r="I134" i="5"/>
  <c r="AN134" i="5" s="1"/>
  <c r="K129" i="5"/>
  <c r="AP129" i="5" s="1"/>
  <c r="C129" i="5"/>
  <c r="AH129" i="5" s="1"/>
  <c r="E157" i="5"/>
  <c r="G150" i="5"/>
  <c r="AL150" i="5" s="1"/>
  <c r="F166" i="5"/>
  <c r="AK166" i="5" s="1"/>
  <c r="H149" i="5"/>
  <c r="AM149" i="5" s="1"/>
  <c r="J178" i="5"/>
  <c r="AO178" i="5" s="1"/>
  <c r="K154" i="5"/>
  <c r="AP154" i="5" s="1"/>
  <c r="C154" i="5"/>
  <c r="AH154" i="5" s="1"/>
  <c r="E155" i="5"/>
  <c r="AJ155" i="5" s="1"/>
  <c r="L148" i="5"/>
  <c r="D400" i="7" s="1"/>
  <c r="L141" i="5"/>
  <c r="D393" i="7" s="1"/>
  <c r="L133" i="5"/>
  <c r="D385" i="7" s="1"/>
  <c r="E125" i="5"/>
  <c r="AJ125" i="5" s="1"/>
  <c r="J174" i="5"/>
  <c r="AO174" i="5" s="1"/>
  <c r="D172" i="5"/>
  <c r="F171" i="5"/>
  <c r="H170" i="5"/>
  <c r="AM170" i="5" s="1"/>
  <c r="J158" i="5"/>
  <c r="AO158" i="5" s="1"/>
  <c r="D139" i="5"/>
  <c r="AI139" i="5" s="1"/>
  <c r="F136" i="5"/>
  <c r="AK136" i="5" s="1"/>
  <c r="H134" i="5"/>
  <c r="J129" i="5"/>
  <c r="D157" i="5"/>
  <c r="AI157" i="5" s="1"/>
  <c r="F150" i="5"/>
  <c r="AK150" i="5" s="1"/>
  <c r="D164" i="5"/>
  <c r="AI164" i="5" s="1"/>
  <c r="E166" i="5"/>
  <c r="AJ166" i="5" s="1"/>
  <c r="G149" i="5"/>
  <c r="AL149" i="5" s="1"/>
  <c r="J154" i="5"/>
  <c r="D155" i="5"/>
  <c r="AI155" i="5" s="1"/>
  <c r="L180" i="5"/>
  <c r="D432" i="7" s="1"/>
  <c r="L169" i="5"/>
  <c r="D421" i="7" s="1"/>
  <c r="L165" i="5"/>
  <c r="D417" i="7" s="1"/>
  <c r="L161" i="5"/>
  <c r="D413" i="7" s="1"/>
  <c r="L152" i="5"/>
  <c r="D404" i="7" s="1"/>
  <c r="L144" i="5"/>
  <c r="D396" i="7" s="1"/>
  <c r="L132" i="5"/>
  <c r="D384" i="7" s="1"/>
  <c r="D125" i="5"/>
  <c r="AI125" i="5" s="1"/>
  <c r="K172" i="5"/>
  <c r="AP172" i="5" s="1"/>
  <c r="C172" i="5"/>
  <c r="AH172" i="5" s="1"/>
  <c r="E171" i="5"/>
  <c r="AJ171" i="5" s="1"/>
  <c r="G170" i="5"/>
  <c r="AL170" i="5" s="1"/>
  <c r="K139" i="5"/>
  <c r="AP139" i="5" s="1"/>
  <c r="C139" i="5"/>
  <c r="AH139" i="5" s="1"/>
  <c r="E136" i="5"/>
  <c r="AJ136" i="5" s="1"/>
  <c r="G134" i="5"/>
  <c r="AL134" i="5" s="1"/>
  <c r="I129" i="5"/>
  <c r="AN129" i="5" s="1"/>
  <c r="E150" i="5"/>
  <c r="AJ150" i="5" s="1"/>
  <c r="K164" i="5"/>
  <c r="AP164" i="5" s="1"/>
  <c r="C164" i="5"/>
  <c r="D166" i="5"/>
  <c r="AI166" i="5" s="1"/>
  <c r="F149" i="5"/>
  <c r="AK149" i="5" s="1"/>
  <c r="H178" i="5"/>
  <c r="AM178" i="5" s="1"/>
  <c r="K155" i="5"/>
  <c r="AP155" i="5" s="1"/>
  <c r="C155" i="5"/>
  <c r="AH155" i="5" s="1"/>
  <c r="L156" i="5"/>
  <c r="D408" i="7" s="1"/>
  <c r="L147" i="5"/>
  <c r="D399" i="7" s="1"/>
  <c r="L140" i="5"/>
  <c r="D392" i="7" s="1"/>
  <c r="L131" i="5"/>
  <c r="D383" i="7" s="1"/>
  <c r="C125" i="5"/>
  <c r="AH125" i="5" s="1"/>
  <c r="H174" i="5"/>
  <c r="AM174" i="5" s="1"/>
  <c r="J172" i="5"/>
  <c r="AO172" i="5" s="1"/>
  <c r="D171" i="5"/>
  <c r="AI171" i="5" s="1"/>
  <c r="F170" i="5"/>
  <c r="AK170" i="5" s="1"/>
  <c r="H158" i="5"/>
  <c r="AM158" i="5" s="1"/>
  <c r="J139" i="5"/>
  <c r="D136" i="5"/>
  <c r="AI136" i="5" s="1"/>
  <c r="F134" i="5"/>
  <c r="AK134" i="5" s="1"/>
  <c r="H129" i="5"/>
  <c r="AM129" i="5" s="1"/>
  <c r="J157" i="5"/>
  <c r="AO157" i="5" s="1"/>
  <c r="D150" i="5"/>
  <c r="AI150" i="5" s="1"/>
  <c r="J164" i="5"/>
  <c r="AO164" i="5" s="1"/>
  <c r="K166" i="5"/>
  <c r="AP166" i="5" s="1"/>
  <c r="C166" i="5"/>
  <c r="E149" i="5"/>
  <c r="AJ149" i="5" s="1"/>
  <c r="G178" i="5"/>
  <c r="AL178" i="5" s="1"/>
  <c r="H154" i="5"/>
  <c r="AM154" i="5" s="1"/>
  <c r="J155" i="5"/>
  <c r="AO155" i="5" s="1"/>
  <c r="L177" i="5"/>
  <c r="D429" i="7" s="1"/>
  <c r="L173" i="5"/>
  <c r="D425" i="7" s="1"/>
  <c r="L168" i="5"/>
  <c r="D420" i="7" s="1"/>
  <c r="L160" i="5"/>
  <c r="D412" i="7" s="1"/>
  <c r="L151" i="5"/>
  <c r="D403" i="7" s="1"/>
  <c r="L143" i="5"/>
  <c r="D395" i="7" s="1"/>
  <c r="L130" i="5"/>
  <c r="D382" i="7" s="1"/>
  <c r="J125" i="5"/>
  <c r="AO125" i="5" s="1"/>
  <c r="G174" i="5"/>
  <c r="AL174" i="5" s="1"/>
  <c r="I172" i="5"/>
  <c r="AN172" i="5" s="1"/>
  <c r="K171" i="5"/>
  <c r="AP171" i="5" s="1"/>
  <c r="C171" i="5"/>
  <c r="AH171" i="5" s="1"/>
  <c r="E170" i="5"/>
  <c r="AJ170" i="5" s="1"/>
  <c r="G158" i="5"/>
  <c r="I139" i="5"/>
  <c r="AN139" i="5" s="1"/>
  <c r="K136" i="5"/>
  <c r="AP136" i="5" s="1"/>
  <c r="C136" i="5"/>
  <c r="E134" i="5"/>
  <c r="AJ134" i="5" s="1"/>
  <c r="G129" i="5"/>
  <c r="AL129" i="5" s="1"/>
  <c r="I157" i="5"/>
  <c r="AN157" i="5" s="1"/>
  <c r="K150" i="5"/>
  <c r="AP150" i="5" s="1"/>
  <c r="C150" i="5"/>
  <c r="I164" i="5"/>
  <c r="AN164" i="5" s="1"/>
  <c r="J166" i="5"/>
  <c r="AO166" i="5" s="1"/>
  <c r="K182" i="5"/>
  <c r="D149" i="5"/>
  <c r="F178" i="5"/>
  <c r="AK178" i="5" s="1"/>
  <c r="G154" i="5"/>
  <c r="AL154" i="5" s="1"/>
  <c r="I155" i="5"/>
  <c r="AN155" i="5" s="1"/>
  <c r="L163" i="5"/>
  <c r="D415" i="7" s="1"/>
  <c r="L146" i="5"/>
  <c r="D398" i="7" s="1"/>
  <c r="L128" i="5"/>
  <c r="D380" i="7" s="1"/>
  <c r="L72" i="7"/>
  <c r="C135" i="13" l="1"/>
  <c r="Q160" i="13"/>
  <c r="Q149" i="13"/>
  <c r="Q172" i="13"/>
  <c r="Q161" i="13"/>
  <c r="Q184" i="13"/>
  <c r="Q173" i="13"/>
  <c r="Q196" i="13"/>
  <c r="Q185" i="13"/>
  <c r="Q219" i="13"/>
  <c r="Q208" i="13"/>
  <c r="Q197" i="13"/>
  <c r="Q257" i="13"/>
  <c r="Q269" i="13"/>
  <c r="Q174" i="13"/>
  <c r="Q186" i="13"/>
  <c r="Q198" i="13"/>
  <c r="Q281" i="13"/>
  <c r="Q210" i="13"/>
  <c r="Q258" i="13"/>
  <c r="Q150" i="13"/>
  <c r="Q270" i="13"/>
  <c r="Q162" i="13"/>
  <c r="Q282" i="13"/>
  <c r="Q222" i="13"/>
  <c r="Q139" i="13"/>
  <c r="Q234" i="13"/>
  <c r="Q151" i="13"/>
  <c r="Q246" i="13"/>
  <c r="Q163" i="13"/>
  <c r="Q274" i="13"/>
  <c r="Q175" i="13"/>
  <c r="Q199" i="13"/>
  <c r="Q235" i="13"/>
  <c r="Q247" i="13"/>
  <c r="Q152" i="13"/>
  <c r="Q164" i="13"/>
  <c r="Q224" i="13"/>
  <c r="Q177" i="13"/>
  <c r="Q211" i="13"/>
  <c r="Q213" i="13"/>
  <c r="Q223" i="13"/>
  <c r="Q237" i="13"/>
  <c r="H286" i="13"/>
  <c r="C286" i="13"/>
  <c r="Q236" i="13"/>
  <c r="Q249" i="13"/>
  <c r="Q248" i="13"/>
  <c r="Q178" i="13"/>
  <c r="Q140" i="13"/>
  <c r="Q284" i="13"/>
  <c r="Q190" i="13"/>
  <c r="L155" i="5"/>
  <c r="D407" i="7" s="1"/>
  <c r="L166" i="5"/>
  <c r="D418" i="7" s="1"/>
  <c r="AH166" i="5"/>
  <c r="L136" i="5"/>
  <c r="D388" i="7" s="1"/>
  <c r="AH136" i="5"/>
  <c r="L164" i="5"/>
  <c r="D416" i="7" s="1"/>
  <c r="AH164" i="5"/>
  <c r="L170" i="5"/>
  <c r="D422" i="7" s="1"/>
  <c r="AH170" i="5"/>
  <c r="L149" i="5"/>
  <c r="D401" i="7" s="1"/>
  <c r="AI149" i="5"/>
  <c r="L158" i="5"/>
  <c r="D410" i="7" s="1"/>
  <c r="AL158" i="5"/>
  <c r="L129" i="5"/>
  <c r="D381" i="7" s="1"/>
  <c r="AO129" i="5"/>
  <c r="L181" i="5"/>
  <c r="D433" i="7" s="1"/>
  <c r="AI181" i="5"/>
  <c r="L157" i="5"/>
  <c r="D409" i="7" s="1"/>
  <c r="AJ157" i="5"/>
  <c r="L182" i="5"/>
  <c r="D434" i="7" s="1"/>
  <c r="AP182" i="5"/>
  <c r="L134" i="5"/>
  <c r="D386" i="7" s="1"/>
  <c r="N386" i="7" s="1"/>
  <c r="AM134" i="5"/>
  <c r="L178" i="5"/>
  <c r="D430" i="7" s="1"/>
  <c r="AH178" i="5"/>
  <c r="L139" i="5"/>
  <c r="D391" i="7" s="1"/>
  <c r="AO139" i="5"/>
  <c r="L174" i="5"/>
  <c r="D426" i="7" s="1"/>
  <c r="AH174" i="5"/>
  <c r="L172" i="5"/>
  <c r="D424" i="7" s="1"/>
  <c r="AI172" i="5"/>
  <c r="L150" i="5"/>
  <c r="D402" i="7" s="1"/>
  <c r="AH150" i="5"/>
  <c r="L125" i="5"/>
  <c r="D377" i="7" s="1"/>
  <c r="L154" i="5"/>
  <c r="D406" i="7" s="1"/>
  <c r="AO154" i="5"/>
  <c r="L171" i="5"/>
  <c r="D423" i="7" s="1"/>
  <c r="AK171" i="5"/>
  <c r="Q176" i="13"/>
  <c r="Q138" i="13"/>
  <c r="Q261" i="13"/>
  <c r="Q187" i="13"/>
  <c r="Q259" i="13"/>
  <c r="Q212" i="13"/>
  <c r="Q165" i="13"/>
  <c r="Q154" i="13"/>
  <c r="C276" i="13"/>
  <c r="C264" i="13"/>
  <c r="C252" i="13"/>
  <c r="C240" i="13"/>
  <c r="C228" i="13"/>
  <c r="C216" i="13"/>
  <c r="C204" i="13"/>
  <c r="C192" i="13"/>
  <c r="C180" i="13"/>
  <c r="C168" i="13"/>
  <c r="C156" i="13"/>
  <c r="C144" i="13"/>
  <c r="C262" i="13"/>
  <c r="C214" i="13"/>
  <c r="C178" i="13"/>
  <c r="C142" i="13"/>
  <c r="C165" i="13"/>
  <c r="C260" i="13"/>
  <c r="C188" i="13"/>
  <c r="C140" i="13"/>
  <c r="C194" i="13"/>
  <c r="C275" i="13"/>
  <c r="C263" i="13"/>
  <c r="C251" i="13"/>
  <c r="C239" i="13"/>
  <c r="C227" i="13"/>
  <c r="C215" i="13"/>
  <c r="C203" i="13"/>
  <c r="C191" i="13"/>
  <c r="C179" i="13"/>
  <c r="C167" i="13"/>
  <c r="C155" i="13"/>
  <c r="C143" i="13"/>
  <c r="C274" i="13"/>
  <c r="C154" i="13"/>
  <c r="C153" i="13"/>
  <c r="C248" i="13"/>
  <c r="C230" i="13"/>
  <c r="C202" i="13"/>
  <c r="C284" i="13"/>
  <c r="C236" i="13"/>
  <c r="C200" i="13"/>
  <c r="C164" i="13"/>
  <c r="C285" i="13"/>
  <c r="C273" i="13"/>
  <c r="C261" i="13"/>
  <c r="C249" i="13"/>
  <c r="C237" i="13"/>
  <c r="C225" i="13"/>
  <c r="C213" i="13"/>
  <c r="C201" i="13"/>
  <c r="C189" i="13"/>
  <c r="C177" i="13"/>
  <c r="C272" i="13"/>
  <c r="C224" i="13"/>
  <c r="C176" i="13"/>
  <c r="C152" i="13"/>
  <c r="C182" i="13"/>
  <c r="C283" i="13"/>
  <c r="C271" i="13"/>
  <c r="C259" i="13"/>
  <c r="C247" i="13"/>
  <c r="C235" i="13"/>
  <c r="C223" i="13"/>
  <c r="C211" i="13"/>
  <c r="C199" i="13"/>
  <c r="C187" i="13"/>
  <c r="C175" i="13"/>
  <c r="C163" i="13"/>
  <c r="C151" i="13"/>
  <c r="C139" i="13"/>
  <c r="C267" i="13"/>
  <c r="C219" i="13"/>
  <c r="C183" i="13"/>
  <c r="C278" i="13"/>
  <c r="C206" i="13"/>
  <c r="C282" i="13"/>
  <c r="C270" i="13"/>
  <c r="C258" i="13"/>
  <c r="C246" i="13"/>
  <c r="C234" i="13"/>
  <c r="C222" i="13"/>
  <c r="C210" i="13"/>
  <c r="C198" i="13"/>
  <c r="C186" i="13"/>
  <c r="C174" i="13"/>
  <c r="C162" i="13"/>
  <c r="C150" i="13"/>
  <c r="C138" i="13"/>
  <c r="C279" i="13"/>
  <c r="C207" i="13"/>
  <c r="C159" i="13"/>
  <c r="C242" i="13"/>
  <c r="C146" i="13"/>
  <c r="C281" i="13"/>
  <c r="C269" i="13"/>
  <c r="C257" i="13"/>
  <c r="C245" i="13"/>
  <c r="C233" i="13"/>
  <c r="C221" i="13"/>
  <c r="C209" i="13"/>
  <c r="C197" i="13"/>
  <c r="C185" i="13"/>
  <c r="C173" i="13"/>
  <c r="C161" i="13"/>
  <c r="C149" i="13"/>
  <c r="C137" i="13"/>
  <c r="C243" i="13"/>
  <c r="C171" i="13"/>
  <c r="C266" i="13"/>
  <c r="C218" i="13"/>
  <c r="C280" i="13"/>
  <c r="C268" i="13"/>
  <c r="C256" i="13"/>
  <c r="C244" i="13"/>
  <c r="C232" i="13"/>
  <c r="C220" i="13"/>
  <c r="C208" i="13"/>
  <c r="C196" i="13"/>
  <c r="C184" i="13"/>
  <c r="C172" i="13"/>
  <c r="C160" i="13"/>
  <c r="C148" i="13"/>
  <c r="C136" i="13"/>
  <c r="C255" i="13"/>
  <c r="C231" i="13"/>
  <c r="C195" i="13"/>
  <c r="C147" i="13"/>
  <c r="C254" i="13"/>
  <c r="C158" i="13"/>
  <c r="C277" i="13"/>
  <c r="C265" i="13"/>
  <c r="C253" i="13"/>
  <c r="C241" i="13"/>
  <c r="C229" i="13"/>
  <c r="C217" i="13"/>
  <c r="C205" i="13"/>
  <c r="C193" i="13"/>
  <c r="C181" i="13"/>
  <c r="C169" i="13"/>
  <c r="C157" i="13"/>
  <c r="C145" i="13"/>
  <c r="C250" i="13"/>
  <c r="C238" i="13"/>
  <c r="C226" i="13"/>
  <c r="C190" i="13"/>
  <c r="C166" i="13"/>
  <c r="C141" i="13"/>
  <c r="C212" i="13"/>
  <c r="C170" i="13"/>
  <c r="Q202" i="13"/>
  <c r="Q271" i="13"/>
  <c r="Q283" i="13"/>
  <c r="Q188" i="13"/>
  <c r="Q260" i="13"/>
  <c r="Q189" i="13"/>
  <c r="Q273" i="13"/>
  <c r="Q250" i="13"/>
  <c r="Q141" i="13"/>
  <c r="Q200" i="13"/>
  <c r="Q272" i="13"/>
  <c r="Q201" i="13"/>
  <c r="Q285" i="13"/>
  <c r="Q262" i="13"/>
  <c r="Q135" i="13"/>
  <c r="Q214" i="13"/>
  <c r="Q153" i="13"/>
  <c r="Q225" i="13"/>
  <c r="Q142" i="13"/>
  <c r="Q226" i="13"/>
  <c r="Q166" i="13"/>
  <c r="Q238" i="13"/>
  <c r="D376" i="7"/>
  <c r="E375" i="7" s="1"/>
  <c r="J375" i="7" l="1"/>
  <c r="H29" i="32" s="1"/>
  <c r="X37" i="32" s="1"/>
  <c r="F8" i="32"/>
  <c r="V8" i="32" s="1"/>
  <c r="C4" i="9"/>
  <c r="D3" i="9" s="1"/>
  <c r="J2" i="7"/>
  <c r="H26" i="32" s="1"/>
  <c r="E2" i="7"/>
  <c r="F5" i="32" s="1"/>
  <c r="J137" i="7" l="1"/>
  <c r="D8" i="32"/>
  <c r="T8" i="32" s="1"/>
  <c r="E8" i="32"/>
  <c r="U8" i="32" s="1"/>
  <c r="D5" i="32"/>
  <c r="E5" i="32"/>
  <c r="L137" i="7"/>
  <c r="M137" i="7" s="1"/>
  <c r="H137" i="7" l="1"/>
  <c r="D292" i="7" l="1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291" i="7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11" i="1"/>
  <c r="E290" i="7" l="1"/>
  <c r="F7" i="32" s="1"/>
  <c r="J290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36" i="7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33" i="2"/>
  <c r="H34" i="2"/>
  <c r="H35" i="2"/>
  <c r="H36" i="2"/>
  <c r="H37" i="2"/>
  <c r="H38" i="2"/>
  <c r="H39" i="2"/>
  <c r="H40" i="2"/>
  <c r="H41" i="2"/>
  <c r="H32" i="2"/>
  <c r="H22" i="2"/>
  <c r="H23" i="2"/>
  <c r="H24" i="2"/>
  <c r="H25" i="2"/>
  <c r="H26" i="2"/>
  <c r="H27" i="2"/>
  <c r="H28" i="2"/>
  <c r="H29" i="2"/>
  <c r="H30" i="2"/>
  <c r="H21" i="2"/>
  <c r="E7" i="32" l="1"/>
  <c r="D7" i="32"/>
  <c r="A426" i="13" l="1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25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366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287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135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71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B2" i="13"/>
  <c r="B3" i="13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D366" i="13"/>
  <c r="C375" i="9" s="1"/>
  <c r="B367" i="13"/>
  <c r="D367" i="13"/>
  <c r="C376" i="9" s="1"/>
  <c r="B368" i="13"/>
  <c r="D368" i="13"/>
  <c r="C377" i="9" s="1"/>
  <c r="B369" i="13"/>
  <c r="D369" i="13"/>
  <c r="C378" i="9" s="1"/>
  <c r="B370" i="13"/>
  <c r="D370" i="13"/>
  <c r="C379" i="9" s="1"/>
  <c r="B371" i="13"/>
  <c r="D371" i="13"/>
  <c r="C380" i="9" s="1"/>
  <c r="B372" i="13"/>
  <c r="D372" i="13"/>
  <c r="C381" i="9" s="1"/>
  <c r="B373" i="13"/>
  <c r="D373" i="13"/>
  <c r="C382" i="9" s="1"/>
  <c r="B374" i="13"/>
  <c r="D374" i="13"/>
  <c r="C383" i="9" s="1"/>
  <c r="B375" i="13"/>
  <c r="D375" i="13"/>
  <c r="C384" i="9" s="1"/>
  <c r="B376" i="13"/>
  <c r="D376" i="13"/>
  <c r="C385" i="9" s="1"/>
  <c r="B377" i="13"/>
  <c r="D377" i="13"/>
  <c r="C386" i="9" s="1"/>
  <c r="B378" i="13"/>
  <c r="D378" i="13"/>
  <c r="C387" i="9" s="1"/>
  <c r="B379" i="13"/>
  <c r="D379" i="13"/>
  <c r="C388" i="9" s="1"/>
  <c r="B380" i="13"/>
  <c r="D380" i="13"/>
  <c r="C389" i="9" s="1"/>
  <c r="B381" i="13"/>
  <c r="D381" i="13"/>
  <c r="C390" i="9" s="1"/>
  <c r="B382" i="13"/>
  <c r="D382" i="13"/>
  <c r="C391" i="9" s="1"/>
  <c r="B383" i="13"/>
  <c r="D383" i="13"/>
  <c r="C392" i="9" s="1"/>
  <c r="B384" i="13"/>
  <c r="D384" i="13"/>
  <c r="C393" i="9" s="1"/>
  <c r="B385" i="13"/>
  <c r="D385" i="13"/>
  <c r="C394" i="9" s="1"/>
  <c r="B386" i="13"/>
  <c r="D386" i="13"/>
  <c r="C395" i="9" s="1"/>
  <c r="B387" i="13"/>
  <c r="D387" i="13"/>
  <c r="C396" i="9" s="1"/>
  <c r="B388" i="13"/>
  <c r="D388" i="13"/>
  <c r="C397" i="9" s="1"/>
  <c r="B389" i="13"/>
  <c r="D389" i="13"/>
  <c r="C398" i="9" s="1"/>
  <c r="B390" i="13"/>
  <c r="D390" i="13"/>
  <c r="C399" i="9" s="1"/>
  <c r="B391" i="13"/>
  <c r="D391" i="13"/>
  <c r="C400" i="9" s="1"/>
  <c r="B392" i="13"/>
  <c r="D392" i="13"/>
  <c r="C401" i="9" s="1"/>
  <c r="B393" i="13"/>
  <c r="D393" i="13"/>
  <c r="C402" i="9" s="1"/>
  <c r="B394" i="13"/>
  <c r="D394" i="13"/>
  <c r="C403" i="9" s="1"/>
  <c r="B395" i="13"/>
  <c r="D395" i="13"/>
  <c r="C404" i="9" s="1"/>
  <c r="B396" i="13"/>
  <c r="D396" i="13"/>
  <c r="C405" i="9" s="1"/>
  <c r="B397" i="13"/>
  <c r="D397" i="13"/>
  <c r="C406" i="9" s="1"/>
  <c r="B398" i="13"/>
  <c r="D398" i="13"/>
  <c r="C407" i="9" s="1"/>
  <c r="B399" i="13"/>
  <c r="D399" i="13"/>
  <c r="C408" i="9" s="1"/>
  <c r="B400" i="13"/>
  <c r="D400" i="13"/>
  <c r="C409" i="9" s="1"/>
  <c r="B401" i="13"/>
  <c r="D401" i="13"/>
  <c r="C410" i="9" s="1"/>
  <c r="B402" i="13"/>
  <c r="D402" i="13"/>
  <c r="C411" i="9" s="1"/>
  <c r="B403" i="13"/>
  <c r="D403" i="13"/>
  <c r="C412" i="9" s="1"/>
  <c r="B404" i="13"/>
  <c r="D404" i="13"/>
  <c r="C413" i="9" s="1"/>
  <c r="B405" i="13"/>
  <c r="D405" i="13"/>
  <c r="C414" i="9" s="1"/>
  <c r="B406" i="13"/>
  <c r="D406" i="13"/>
  <c r="C415" i="9" s="1"/>
  <c r="B407" i="13"/>
  <c r="D407" i="13"/>
  <c r="C416" i="9" s="1"/>
  <c r="B408" i="13"/>
  <c r="D408" i="13"/>
  <c r="C417" i="9" s="1"/>
  <c r="B409" i="13"/>
  <c r="D409" i="13"/>
  <c r="C418" i="9" s="1"/>
  <c r="B410" i="13"/>
  <c r="D410" i="13"/>
  <c r="C419" i="9" s="1"/>
  <c r="B411" i="13"/>
  <c r="D411" i="13"/>
  <c r="C420" i="9" s="1"/>
  <c r="B412" i="13"/>
  <c r="D412" i="13"/>
  <c r="C421" i="9" s="1"/>
  <c r="B413" i="13"/>
  <c r="D413" i="13"/>
  <c r="C422" i="9" s="1"/>
  <c r="B414" i="13"/>
  <c r="D414" i="13"/>
  <c r="C423" i="9" s="1"/>
  <c r="B415" i="13"/>
  <c r="D415" i="13"/>
  <c r="C424" i="9" s="1"/>
  <c r="B416" i="13"/>
  <c r="D416" i="13"/>
  <c r="C425" i="9" s="1"/>
  <c r="B417" i="13"/>
  <c r="D417" i="13"/>
  <c r="C426" i="9" s="1"/>
  <c r="B418" i="13"/>
  <c r="D418" i="13"/>
  <c r="C427" i="9" s="1"/>
  <c r="B419" i="13"/>
  <c r="D419" i="13"/>
  <c r="C428" i="9" s="1"/>
  <c r="B420" i="13"/>
  <c r="D420" i="13"/>
  <c r="C429" i="9" s="1"/>
  <c r="B421" i="13"/>
  <c r="D421" i="13"/>
  <c r="C430" i="9" s="1"/>
  <c r="B422" i="13"/>
  <c r="D422" i="13"/>
  <c r="C431" i="9" s="1"/>
  <c r="B423" i="13"/>
  <c r="D423" i="13"/>
  <c r="C432" i="9" s="1"/>
  <c r="B424" i="13"/>
  <c r="D424" i="13"/>
  <c r="C433" i="9" s="1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D375" i="9" l="1"/>
  <c r="L290" i="7" l="1"/>
  <c r="AK6" i="5" l="1"/>
  <c r="AL6" i="5"/>
  <c r="AM6" i="5"/>
  <c r="AN6" i="5"/>
  <c r="AO6" i="5"/>
  <c r="AP6" i="5"/>
  <c r="AQ6" i="5"/>
  <c r="AR6" i="5"/>
  <c r="AS6" i="5"/>
  <c r="AK7" i="5"/>
  <c r="AL7" i="5"/>
  <c r="AM7" i="5"/>
  <c r="AN7" i="5"/>
  <c r="AO7" i="5"/>
  <c r="AP7" i="5"/>
  <c r="AQ7" i="5"/>
  <c r="AR7" i="5"/>
  <c r="AS7" i="5"/>
  <c r="AK8" i="5"/>
  <c r="AL8" i="5"/>
  <c r="AM8" i="5"/>
  <c r="AN8" i="5"/>
  <c r="AO8" i="5"/>
  <c r="AP8" i="5"/>
  <c r="AQ8" i="5"/>
  <c r="AR8" i="5"/>
  <c r="AS8" i="5"/>
  <c r="AK9" i="5"/>
  <c r="AL9" i="5"/>
  <c r="AM9" i="5"/>
  <c r="AN9" i="5"/>
  <c r="AO9" i="5"/>
  <c r="AP9" i="5"/>
  <c r="AQ9" i="5"/>
  <c r="AR9" i="5"/>
  <c r="AS9" i="5"/>
  <c r="AK10" i="5"/>
  <c r="AL10" i="5"/>
  <c r="AM10" i="5"/>
  <c r="AN10" i="5"/>
  <c r="AO10" i="5"/>
  <c r="AP10" i="5"/>
  <c r="AQ10" i="5"/>
  <c r="AR10" i="5"/>
  <c r="AS10" i="5"/>
  <c r="AK11" i="5"/>
  <c r="AL11" i="5"/>
  <c r="AM11" i="5"/>
  <c r="AN11" i="5"/>
  <c r="AO11" i="5"/>
  <c r="AP11" i="5"/>
  <c r="AQ11" i="5"/>
  <c r="AR11" i="5"/>
  <c r="AS11" i="5"/>
  <c r="AK12" i="5"/>
  <c r="AL12" i="5"/>
  <c r="AM12" i="5"/>
  <c r="AN12" i="5"/>
  <c r="AO12" i="5"/>
  <c r="AP12" i="5"/>
  <c r="AQ12" i="5"/>
  <c r="AR12" i="5"/>
  <c r="AS12" i="5"/>
  <c r="AK13" i="5"/>
  <c r="AL13" i="5"/>
  <c r="AM13" i="5"/>
  <c r="AN13" i="5"/>
  <c r="AO13" i="5"/>
  <c r="AP13" i="5"/>
  <c r="AQ13" i="5"/>
  <c r="AR13" i="5"/>
  <c r="AS13" i="5"/>
  <c r="AK14" i="5"/>
  <c r="AL14" i="5"/>
  <c r="AM14" i="5"/>
  <c r="AN14" i="5"/>
  <c r="AO14" i="5"/>
  <c r="AP14" i="5"/>
  <c r="AQ14" i="5"/>
  <c r="AR14" i="5"/>
  <c r="AS14" i="5"/>
  <c r="AK15" i="5"/>
  <c r="AL15" i="5"/>
  <c r="AM15" i="5"/>
  <c r="AN15" i="5"/>
  <c r="AO15" i="5"/>
  <c r="AP15" i="5"/>
  <c r="AQ15" i="5"/>
  <c r="AR15" i="5"/>
  <c r="AS15" i="5"/>
  <c r="AK16" i="5"/>
  <c r="AL16" i="5"/>
  <c r="AM16" i="5"/>
  <c r="AN16" i="5"/>
  <c r="AO16" i="5"/>
  <c r="AP16" i="5"/>
  <c r="AQ16" i="5"/>
  <c r="AR16" i="5"/>
  <c r="AS16" i="5"/>
  <c r="AK17" i="5"/>
  <c r="AL17" i="5"/>
  <c r="AM17" i="5"/>
  <c r="AN17" i="5"/>
  <c r="AO17" i="5"/>
  <c r="AP17" i="5"/>
  <c r="AQ17" i="5"/>
  <c r="AR17" i="5"/>
  <c r="AS17" i="5"/>
  <c r="AK18" i="5"/>
  <c r="AL18" i="5"/>
  <c r="AM18" i="5"/>
  <c r="AN18" i="5"/>
  <c r="AO18" i="5"/>
  <c r="AP18" i="5"/>
  <c r="AQ18" i="5"/>
  <c r="AR18" i="5"/>
  <c r="AS18" i="5"/>
  <c r="AK19" i="5"/>
  <c r="AL19" i="5"/>
  <c r="AM19" i="5"/>
  <c r="AN19" i="5"/>
  <c r="AO19" i="5"/>
  <c r="AP19" i="5"/>
  <c r="AQ19" i="5"/>
  <c r="AR19" i="5"/>
  <c r="AS19" i="5"/>
  <c r="AK20" i="5"/>
  <c r="AL20" i="5"/>
  <c r="AM20" i="5"/>
  <c r="AN20" i="5"/>
  <c r="AO20" i="5"/>
  <c r="AP20" i="5"/>
  <c r="AQ20" i="5"/>
  <c r="AR20" i="5"/>
  <c r="AS20" i="5"/>
  <c r="AK21" i="5"/>
  <c r="AL21" i="5"/>
  <c r="AM21" i="5"/>
  <c r="AN21" i="5"/>
  <c r="AO21" i="5"/>
  <c r="AP21" i="5"/>
  <c r="AQ21" i="5"/>
  <c r="AR21" i="5"/>
  <c r="AS21" i="5"/>
  <c r="AK22" i="5"/>
  <c r="AL22" i="5"/>
  <c r="AM22" i="5"/>
  <c r="AN22" i="5"/>
  <c r="AO22" i="5"/>
  <c r="AP22" i="5"/>
  <c r="AQ22" i="5"/>
  <c r="AR22" i="5"/>
  <c r="AS22" i="5"/>
  <c r="AK23" i="5"/>
  <c r="AL23" i="5"/>
  <c r="AM23" i="5"/>
  <c r="AN23" i="5"/>
  <c r="AO23" i="5"/>
  <c r="AP23" i="5"/>
  <c r="AQ23" i="5"/>
  <c r="AR23" i="5"/>
  <c r="AS23" i="5"/>
  <c r="AK24" i="5"/>
  <c r="AL24" i="5"/>
  <c r="AM24" i="5"/>
  <c r="AN24" i="5"/>
  <c r="AO24" i="5"/>
  <c r="AP24" i="5"/>
  <c r="AQ24" i="5"/>
  <c r="AR24" i="5"/>
  <c r="AS24" i="5"/>
  <c r="AK25" i="5"/>
  <c r="AL25" i="5"/>
  <c r="AM25" i="5"/>
  <c r="AN25" i="5"/>
  <c r="AO25" i="5"/>
  <c r="AP25" i="5"/>
  <c r="AQ25" i="5"/>
  <c r="AR25" i="5"/>
  <c r="AS25" i="5"/>
  <c r="AK26" i="5"/>
  <c r="AL26" i="5"/>
  <c r="AM26" i="5"/>
  <c r="AN26" i="5"/>
  <c r="AO26" i="5"/>
  <c r="AP26" i="5"/>
  <c r="AQ26" i="5"/>
  <c r="AR26" i="5"/>
  <c r="AS26" i="5"/>
  <c r="AK27" i="5"/>
  <c r="AL27" i="5"/>
  <c r="AM27" i="5"/>
  <c r="AN27" i="5"/>
  <c r="AO27" i="5"/>
  <c r="AP27" i="5"/>
  <c r="AQ27" i="5"/>
  <c r="AR27" i="5"/>
  <c r="AS27" i="5"/>
  <c r="AK28" i="5"/>
  <c r="AL28" i="5"/>
  <c r="AM28" i="5"/>
  <c r="AN28" i="5"/>
  <c r="AO28" i="5"/>
  <c r="AP28" i="5"/>
  <c r="AQ28" i="5"/>
  <c r="AR28" i="5"/>
  <c r="AS28" i="5"/>
  <c r="AK29" i="5"/>
  <c r="AL29" i="5"/>
  <c r="AM29" i="5"/>
  <c r="AN29" i="5"/>
  <c r="AO29" i="5"/>
  <c r="AP29" i="5"/>
  <c r="AQ29" i="5"/>
  <c r="AR29" i="5"/>
  <c r="AS29" i="5"/>
  <c r="AK30" i="5"/>
  <c r="AL30" i="5"/>
  <c r="AM30" i="5"/>
  <c r="AN30" i="5"/>
  <c r="AO30" i="5"/>
  <c r="AP30" i="5"/>
  <c r="AQ30" i="5"/>
  <c r="AR30" i="5"/>
  <c r="AS30" i="5"/>
  <c r="AK31" i="5"/>
  <c r="AL31" i="5"/>
  <c r="AM31" i="5"/>
  <c r="AN31" i="5"/>
  <c r="AO31" i="5"/>
  <c r="AP31" i="5"/>
  <c r="AQ31" i="5"/>
  <c r="AR31" i="5"/>
  <c r="AS31" i="5"/>
  <c r="AK32" i="5"/>
  <c r="AL32" i="5"/>
  <c r="AM32" i="5"/>
  <c r="AN32" i="5"/>
  <c r="AO32" i="5"/>
  <c r="AP32" i="5"/>
  <c r="AQ32" i="5"/>
  <c r="AR32" i="5"/>
  <c r="AS32" i="5"/>
  <c r="AK33" i="5"/>
  <c r="AL33" i="5"/>
  <c r="AM33" i="5"/>
  <c r="AN33" i="5"/>
  <c r="AO33" i="5"/>
  <c r="AP33" i="5"/>
  <c r="AQ33" i="5"/>
  <c r="AR33" i="5"/>
  <c r="AS33" i="5"/>
  <c r="AK34" i="5"/>
  <c r="AL34" i="5"/>
  <c r="AM34" i="5"/>
  <c r="AN34" i="5"/>
  <c r="AO34" i="5"/>
  <c r="AP34" i="5"/>
  <c r="AQ34" i="5"/>
  <c r="AR34" i="5"/>
  <c r="AS34" i="5"/>
  <c r="AK35" i="5"/>
  <c r="AL35" i="5"/>
  <c r="AM35" i="5"/>
  <c r="AN35" i="5"/>
  <c r="AO35" i="5"/>
  <c r="AP35" i="5"/>
  <c r="AQ35" i="5"/>
  <c r="AR35" i="5"/>
  <c r="AS35" i="5"/>
  <c r="AK36" i="5"/>
  <c r="AL36" i="5"/>
  <c r="AM36" i="5"/>
  <c r="AN36" i="5"/>
  <c r="AO36" i="5"/>
  <c r="AP36" i="5"/>
  <c r="AQ36" i="5"/>
  <c r="AR36" i="5"/>
  <c r="AS36" i="5"/>
  <c r="AK37" i="5"/>
  <c r="AL37" i="5"/>
  <c r="AM37" i="5"/>
  <c r="AN37" i="5"/>
  <c r="AO37" i="5"/>
  <c r="AP37" i="5"/>
  <c r="AQ37" i="5"/>
  <c r="AR37" i="5"/>
  <c r="AS37" i="5"/>
  <c r="AK38" i="5"/>
  <c r="AL38" i="5"/>
  <c r="AM38" i="5"/>
  <c r="AN38" i="5"/>
  <c r="AO38" i="5"/>
  <c r="AP38" i="5"/>
  <c r="AQ38" i="5"/>
  <c r="AR38" i="5"/>
  <c r="AS38" i="5"/>
  <c r="AK39" i="5"/>
  <c r="AL39" i="5"/>
  <c r="AM39" i="5"/>
  <c r="AN39" i="5"/>
  <c r="AO39" i="5"/>
  <c r="AP39" i="5"/>
  <c r="AQ39" i="5"/>
  <c r="AR39" i="5"/>
  <c r="AS39" i="5"/>
  <c r="AK40" i="5"/>
  <c r="AL40" i="5"/>
  <c r="AM40" i="5"/>
  <c r="AN40" i="5"/>
  <c r="AO40" i="5"/>
  <c r="AP40" i="5"/>
  <c r="AQ40" i="5"/>
  <c r="AR40" i="5"/>
  <c r="AS40" i="5"/>
  <c r="AK41" i="5"/>
  <c r="AL41" i="5"/>
  <c r="AM41" i="5"/>
  <c r="AN41" i="5"/>
  <c r="AO41" i="5"/>
  <c r="AP41" i="5"/>
  <c r="AQ41" i="5"/>
  <c r="AR41" i="5"/>
  <c r="AS41" i="5"/>
  <c r="AK42" i="5"/>
  <c r="AL42" i="5"/>
  <c r="AM42" i="5"/>
  <c r="AN42" i="5"/>
  <c r="AO42" i="5"/>
  <c r="AP42" i="5"/>
  <c r="AQ42" i="5"/>
  <c r="AR42" i="5"/>
  <c r="AS42" i="5"/>
  <c r="AK43" i="5"/>
  <c r="AL43" i="5"/>
  <c r="AM43" i="5"/>
  <c r="AN43" i="5"/>
  <c r="AO43" i="5"/>
  <c r="AP43" i="5"/>
  <c r="AQ43" i="5"/>
  <c r="AR43" i="5"/>
  <c r="AS43" i="5"/>
  <c r="AK44" i="5"/>
  <c r="AL44" i="5"/>
  <c r="AM44" i="5"/>
  <c r="AN44" i="5"/>
  <c r="AO44" i="5"/>
  <c r="AP44" i="5"/>
  <c r="AQ44" i="5"/>
  <c r="AR44" i="5"/>
  <c r="AS44" i="5"/>
  <c r="AK45" i="5"/>
  <c r="AL45" i="5"/>
  <c r="AM45" i="5"/>
  <c r="AN45" i="5"/>
  <c r="AO45" i="5"/>
  <c r="AP45" i="5"/>
  <c r="AQ45" i="5"/>
  <c r="AR45" i="5"/>
  <c r="AS45" i="5"/>
  <c r="AK46" i="5"/>
  <c r="AL46" i="5"/>
  <c r="AM46" i="5"/>
  <c r="AN46" i="5"/>
  <c r="AO46" i="5"/>
  <c r="AP46" i="5"/>
  <c r="AQ46" i="5"/>
  <c r="AR46" i="5"/>
  <c r="AS46" i="5"/>
  <c r="AK47" i="5"/>
  <c r="AL47" i="5"/>
  <c r="AM47" i="5"/>
  <c r="AN47" i="5"/>
  <c r="AO47" i="5"/>
  <c r="AP47" i="5"/>
  <c r="AQ47" i="5"/>
  <c r="AR47" i="5"/>
  <c r="AS47" i="5"/>
  <c r="AK48" i="5"/>
  <c r="AL48" i="5"/>
  <c r="AM48" i="5"/>
  <c r="AN48" i="5"/>
  <c r="AO48" i="5"/>
  <c r="AP48" i="5"/>
  <c r="AQ48" i="5"/>
  <c r="AR48" i="5"/>
  <c r="AS48" i="5"/>
  <c r="AK49" i="5"/>
  <c r="AL49" i="5"/>
  <c r="AM49" i="5"/>
  <c r="AN49" i="5"/>
  <c r="AO49" i="5"/>
  <c r="AP49" i="5"/>
  <c r="AQ49" i="5"/>
  <c r="AR49" i="5"/>
  <c r="AS49" i="5"/>
  <c r="AK50" i="5"/>
  <c r="AL50" i="5"/>
  <c r="AM50" i="5"/>
  <c r="AN50" i="5"/>
  <c r="AO50" i="5"/>
  <c r="AP50" i="5"/>
  <c r="AQ50" i="5"/>
  <c r="AR50" i="5"/>
  <c r="AS50" i="5"/>
  <c r="AK51" i="5"/>
  <c r="AL51" i="5"/>
  <c r="AM51" i="5"/>
  <c r="AN51" i="5"/>
  <c r="AO51" i="5"/>
  <c r="AP51" i="5"/>
  <c r="AQ51" i="5"/>
  <c r="AR51" i="5"/>
  <c r="AS51" i="5"/>
  <c r="AK52" i="5"/>
  <c r="AL52" i="5"/>
  <c r="AM52" i="5"/>
  <c r="AN52" i="5"/>
  <c r="AO52" i="5"/>
  <c r="AP52" i="5"/>
  <c r="AQ52" i="5"/>
  <c r="AR52" i="5"/>
  <c r="AS52" i="5"/>
  <c r="AK53" i="5"/>
  <c r="AL53" i="5"/>
  <c r="AM53" i="5"/>
  <c r="AN53" i="5"/>
  <c r="AO53" i="5"/>
  <c r="AP53" i="5"/>
  <c r="AQ53" i="5"/>
  <c r="AR53" i="5"/>
  <c r="AS53" i="5"/>
  <c r="AK54" i="5"/>
  <c r="AL54" i="5"/>
  <c r="AM54" i="5"/>
  <c r="AN54" i="5"/>
  <c r="AO54" i="5"/>
  <c r="AP54" i="5"/>
  <c r="AQ54" i="5"/>
  <c r="AR54" i="5"/>
  <c r="AS54" i="5"/>
  <c r="AK55" i="5"/>
  <c r="AL55" i="5"/>
  <c r="AM55" i="5"/>
  <c r="AN55" i="5"/>
  <c r="AO55" i="5"/>
  <c r="AP55" i="5"/>
  <c r="AQ55" i="5"/>
  <c r="AR55" i="5"/>
  <c r="AS55" i="5"/>
  <c r="AK56" i="5"/>
  <c r="AL56" i="5"/>
  <c r="AM56" i="5"/>
  <c r="AN56" i="5"/>
  <c r="AO56" i="5"/>
  <c r="AP56" i="5"/>
  <c r="AQ56" i="5"/>
  <c r="AR56" i="5"/>
  <c r="AS56" i="5"/>
  <c r="AK57" i="5"/>
  <c r="AL57" i="5"/>
  <c r="AM57" i="5"/>
  <c r="AN57" i="5"/>
  <c r="AO57" i="5"/>
  <c r="AP57" i="5"/>
  <c r="AQ57" i="5"/>
  <c r="AR57" i="5"/>
  <c r="AS57" i="5"/>
  <c r="AK58" i="5"/>
  <c r="AL58" i="5"/>
  <c r="AM58" i="5"/>
  <c r="AN58" i="5"/>
  <c r="AO58" i="5"/>
  <c r="AP58" i="5"/>
  <c r="AQ58" i="5"/>
  <c r="AR58" i="5"/>
  <c r="AS58" i="5"/>
  <c r="AK59" i="5"/>
  <c r="AL59" i="5"/>
  <c r="AM59" i="5"/>
  <c r="AN59" i="5"/>
  <c r="AO59" i="5"/>
  <c r="AP59" i="5"/>
  <c r="AQ59" i="5"/>
  <c r="AR59" i="5"/>
  <c r="AS59" i="5"/>
  <c r="AK60" i="5"/>
  <c r="AL60" i="5"/>
  <c r="AM60" i="5"/>
  <c r="AN60" i="5"/>
  <c r="AO60" i="5"/>
  <c r="AP60" i="5"/>
  <c r="AQ60" i="5"/>
  <c r="AR60" i="5"/>
  <c r="AS60" i="5"/>
  <c r="AK61" i="5"/>
  <c r="AL61" i="5"/>
  <c r="AM61" i="5"/>
  <c r="AN61" i="5"/>
  <c r="AO61" i="5"/>
  <c r="AP61" i="5"/>
  <c r="AQ61" i="5"/>
  <c r="AR61" i="5"/>
  <c r="AS61" i="5"/>
  <c r="AK62" i="5"/>
  <c r="AL62" i="5"/>
  <c r="AM62" i="5"/>
  <c r="AN62" i="5"/>
  <c r="AO62" i="5"/>
  <c r="AP62" i="5"/>
  <c r="AQ62" i="5"/>
  <c r="AR62" i="5"/>
  <c r="AS62" i="5"/>
  <c r="AK63" i="5"/>
  <c r="AL63" i="5"/>
  <c r="AM63" i="5"/>
  <c r="AN63" i="5"/>
  <c r="AO63" i="5"/>
  <c r="AP63" i="5"/>
  <c r="AQ63" i="5"/>
  <c r="AR63" i="5"/>
  <c r="AS63" i="5"/>
  <c r="AK64" i="5"/>
  <c r="AL64" i="5"/>
  <c r="AM64" i="5"/>
  <c r="AN64" i="5"/>
  <c r="AO64" i="5"/>
  <c r="AP64" i="5"/>
  <c r="AQ64" i="5"/>
  <c r="AR64" i="5"/>
  <c r="AS64" i="5"/>
  <c r="AJ7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" i="5"/>
  <c r="L2" i="7" l="1"/>
  <c r="L435" i="7" l="1"/>
  <c r="N21" i="2" l="1"/>
  <c r="C473" i="9"/>
  <c r="F473" i="9" s="1"/>
  <c r="G473" i="9" s="1"/>
  <c r="D463" i="13"/>
  <c r="N452" i="7"/>
  <c r="D441" i="13"/>
  <c r="N441" i="7"/>
  <c r="D430" i="13"/>
  <c r="C461" i="9"/>
  <c r="F461" i="9" s="1"/>
  <c r="G461" i="9" s="1"/>
  <c r="D451" i="13"/>
  <c r="C460" i="9"/>
  <c r="F460" i="9" s="1"/>
  <c r="H460" i="9" s="1"/>
  <c r="D450" i="13"/>
  <c r="C450" i="9"/>
  <c r="F450" i="9" s="1"/>
  <c r="H450" i="9" s="1"/>
  <c r="D440" i="13"/>
  <c r="N440" i="7"/>
  <c r="D429" i="13"/>
  <c r="N472" i="7"/>
  <c r="D461" i="13"/>
  <c r="C449" i="9"/>
  <c r="F449" i="9" s="1"/>
  <c r="H449" i="9" s="1"/>
  <c r="D439" i="13"/>
  <c r="N442" i="7"/>
  <c r="D431" i="13"/>
  <c r="C472" i="9"/>
  <c r="F472" i="9" s="1"/>
  <c r="H472" i="9" s="1"/>
  <c r="D462" i="13"/>
  <c r="N460" i="7"/>
  <c r="D449" i="13"/>
  <c r="N471" i="7"/>
  <c r="D460" i="13"/>
  <c r="N459" i="7"/>
  <c r="D448" i="13"/>
  <c r="C474" i="9"/>
  <c r="F474" i="9" s="1"/>
  <c r="G474" i="9" s="1"/>
  <c r="D464" i="13"/>
  <c r="N453" i="7"/>
  <c r="D442" i="13"/>
  <c r="O21" i="2"/>
  <c r="P21" i="2" s="1"/>
  <c r="N470" i="7"/>
  <c r="D459" i="13"/>
  <c r="N458" i="7"/>
  <c r="D447" i="13"/>
  <c r="C448" i="9"/>
  <c r="F448" i="9" s="1"/>
  <c r="H448" i="9" s="1"/>
  <c r="D438" i="13"/>
  <c r="C438" i="9"/>
  <c r="D428" i="13"/>
  <c r="C462" i="9"/>
  <c r="F462" i="9" s="1"/>
  <c r="H462" i="9" s="1"/>
  <c r="D452" i="13"/>
  <c r="N481" i="7"/>
  <c r="D470" i="13"/>
  <c r="N469" i="7"/>
  <c r="D458" i="13"/>
  <c r="N457" i="7"/>
  <c r="D446" i="13"/>
  <c r="N448" i="7"/>
  <c r="D437" i="13"/>
  <c r="C437" i="9"/>
  <c r="D427" i="13"/>
  <c r="N480" i="7"/>
  <c r="D469" i="13"/>
  <c r="N468" i="7"/>
  <c r="D457" i="13"/>
  <c r="N456" i="7"/>
  <c r="D445" i="13"/>
  <c r="N447" i="7"/>
  <c r="D436" i="13"/>
  <c r="C436" i="9"/>
  <c r="D426" i="13"/>
  <c r="N455" i="7"/>
  <c r="D444" i="13"/>
  <c r="N446" i="7"/>
  <c r="D435" i="13"/>
  <c r="N479" i="7"/>
  <c r="D468" i="13"/>
  <c r="N467" i="7"/>
  <c r="D456" i="13"/>
  <c r="N478" i="7"/>
  <c r="D467" i="13"/>
  <c r="N466" i="7"/>
  <c r="D455" i="13"/>
  <c r="N445" i="7"/>
  <c r="D434" i="13"/>
  <c r="N477" i="7"/>
  <c r="D466" i="13"/>
  <c r="N454" i="7"/>
  <c r="D443" i="13"/>
  <c r="N444" i="7"/>
  <c r="D433" i="13"/>
  <c r="N465" i="7"/>
  <c r="D454" i="13"/>
  <c r="N476" i="7"/>
  <c r="D465" i="13"/>
  <c r="N464" i="7"/>
  <c r="D453" i="13"/>
  <c r="N443" i="7"/>
  <c r="D432" i="13"/>
  <c r="N475" i="7"/>
  <c r="N473" i="7"/>
  <c r="N463" i="7"/>
  <c r="N461" i="7"/>
  <c r="N451" i="7"/>
  <c r="N449" i="7"/>
  <c r="H473" i="9"/>
  <c r="N474" i="7"/>
  <c r="N462" i="7"/>
  <c r="N450" i="7"/>
  <c r="C471" i="9"/>
  <c r="F471" i="9" s="1"/>
  <c r="C459" i="9"/>
  <c r="F459" i="9" s="1"/>
  <c r="C447" i="9"/>
  <c r="F447" i="9" s="1"/>
  <c r="C470" i="9"/>
  <c r="F470" i="9" s="1"/>
  <c r="C458" i="9"/>
  <c r="F458" i="9" s="1"/>
  <c r="C446" i="9"/>
  <c r="F446" i="9" s="1"/>
  <c r="C469" i="9"/>
  <c r="F469" i="9" s="1"/>
  <c r="C457" i="9"/>
  <c r="F457" i="9" s="1"/>
  <c r="C445" i="9"/>
  <c r="F445" i="9" s="1"/>
  <c r="C480" i="9"/>
  <c r="F480" i="9" s="1"/>
  <c r="C468" i="9"/>
  <c r="F468" i="9" s="1"/>
  <c r="C456" i="9"/>
  <c r="F456" i="9" s="1"/>
  <c r="C444" i="9"/>
  <c r="F444" i="9" s="1"/>
  <c r="C479" i="9"/>
  <c r="F479" i="9" s="1"/>
  <c r="C467" i="9"/>
  <c r="F467" i="9" s="1"/>
  <c r="C455" i="9"/>
  <c r="F455" i="9" s="1"/>
  <c r="C443" i="9"/>
  <c r="F443" i="9" s="1"/>
  <c r="C478" i="9"/>
  <c r="F478" i="9" s="1"/>
  <c r="C466" i="9"/>
  <c r="F466" i="9" s="1"/>
  <c r="C454" i="9"/>
  <c r="F454" i="9" s="1"/>
  <c r="C442" i="9"/>
  <c r="F442" i="9" s="1"/>
  <c r="C477" i="9"/>
  <c r="F477" i="9" s="1"/>
  <c r="C465" i="9"/>
  <c r="F465" i="9" s="1"/>
  <c r="C453" i="9"/>
  <c r="F453" i="9" s="1"/>
  <c r="C441" i="9"/>
  <c r="F441" i="9" s="1"/>
  <c r="C476" i="9"/>
  <c r="F476" i="9" s="1"/>
  <c r="C464" i="9"/>
  <c r="F464" i="9" s="1"/>
  <c r="C452" i="9"/>
  <c r="F452" i="9" s="1"/>
  <c r="C440" i="9"/>
  <c r="F440" i="9" s="1"/>
  <c r="C475" i="9"/>
  <c r="F475" i="9" s="1"/>
  <c r="C463" i="9"/>
  <c r="F463" i="9" s="1"/>
  <c r="C451" i="9"/>
  <c r="F451" i="9" s="1"/>
  <c r="C439" i="9"/>
  <c r="F439" i="9" s="1"/>
  <c r="H461" i="9" l="1"/>
  <c r="H474" i="9"/>
  <c r="G462" i="9"/>
  <c r="O460" i="7"/>
  <c r="G472" i="9"/>
  <c r="G448" i="9"/>
  <c r="F435" i="7"/>
  <c r="G460" i="9"/>
  <c r="C435" i="9"/>
  <c r="G449" i="9"/>
  <c r="G450" i="9"/>
  <c r="D425" i="13"/>
  <c r="H471" i="9"/>
  <c r="G471" i="9"/>
  <c r="G468" i="9"/>
  <c r="H468" i="9"/>
  <c r="G457" i="9"/>
  <c r="H457" i="9"/>
  <c r="H439" i="9"/>
  <c r="G439" i="9"/>
  <c r="G469" i="9"/>
  <c r="H469" i="9"/>
  <c r="H440" i="9"/>
  <c r="G440" i="9"/>
  <c r="G446" i="9"/>
  <c r="H446" i="9"/>
  <c r="G477" i="9"/>
  <c r="H477" i="9"/>
  <c r="H451" i="9"/>
  <c r="G451" i="9"/>
  <c r="H475" i="9"/>
  <c r="G475" i="9"/>
  <c r="G458" i="9"/>
  <c r="H458" i="9"/>
  <c r="G445" i="9"/>
  <c r="H445" i="9"/>
  <c r="G466" i="9"/>
  <c r="H466" i="9"/>
  <c r="G443" i="9"/>
  <c r="H443" i="9"/>
  <c r="G467" i="9"/>
  <c r="H467" i="9"/>
  <c r="G470" i="9"/>
  <c r="H470" i="9"/>
  <c r="G480" i="9"/>
  <c r="H480" i="9"/>
  <c r="G479" i="9"/>
  <c r="H479" i="9"/>
  <c r="G444" i="9"/>
  <c r="H444" i="9"/>
  <c r="H447" i="9"/>
  <c r="G447" i="9"/>
  <c r="G465" i="9"/>
  <c r="H465" i="9"/>
  <c r="G442" i="9"/>
  <c r="H442" i="9"/>
  <c r="H463" i="9"/>
  <c r="G463" i="9"/>
  <c r="G478" i="9"/>
  <c r="H478" i="9"/>
  <c r="H452" i="9"/>
  <c r="G452" i="9"/>
  <c r="H464" i="9"/>
  <c r="G464" i="9"/>
  <c r="H476" i="9"/>
  <c r="G476" i="9"/>
  <c r="G441" i="9"/>
  <c r="H441" i="9"/>
  <c r="G453" i="9"/>
  <c r="H453" i="9"/>
  <c r="G456" i="9"/>
  <c r="H456" i="9"/>
  <c r="H459" i="9"/>
  <c r="G459" i="9"/>
  <c r="O454" i="7"/>
  <c r="O444" i="7"/>
  <c r="O457" i="7"/>
  <c r="O445" i="7"/>
  <c r="O443" i="7"/>
  <c r="O468" i="7"/>
  <c r="O448" i="7"/>
  <c r="O466" i="7"/>
  <c r="O452" i="7"/>
  <c r="O440" i="7"/>
  <c r="O476" i="7"/>
  <c r="O464" i="7"/>
  <c r="O475" i="7"/>
  <c r="O447" i="7"/>
  <c r="O477" i="7"/>
  <c r="O462" i="7"/>
  <c r="O446" i="7"/>
  <c r="O474" i="7"/>
  <c r="O458" i="7"/>
  <c r="O451" i="7"/>
  <c r="O453" i="7"/>
  <c r="O449" i="7"/>
  <c r="O461" i="7"/>
  <c r="O456" i="7"/>
  <c r="O473" i="7"/>
  <c r="O478" i="7"/>
  <c r="O480" i="7"/>
  <c r="O442" i="7"/>
  <c r="O465" i="7"/>
  <c r="O469" i="7"/>
  <c r="O450" i="7"/>
  <c r="O472" i="7"/>
  <c r="O455" i="7"/>
  <c r="O467" i="7"/>
  <c r="O479" i="7"/>
  <c r="O470" i="7"/>
  <c r="O463" i="7"/>
  <c r="O481" i="7"/>
  <c r="O441" i="7"/>
  <c r="O459" i="7"/>
  <c r="O471" i="7"/>
  <c r="G454" i="9" l="1"/>
  <c r="H454" i="9" s="1"/>
  <c r="D435" i="9"/>
  <c r="G455" i="9"/>
  <c r="H455" i="9" s="1"/>
  <c r="L90" i="1"/>
  <c r="M90" i="1" s="1"/>
  <c r="L91" i="1"/>
  <c r="M91" i="1" s="1"/>
  <c r="L89" i="1"/>
  <c r="M89" i="1" s="1"/>
  <c r="L88" i="1"/>
  <c r="M88" i="1" s="1"/>
  <c r="I9" i="1"/>
  <c r="H22" i="1"/>
  <c r="H23" i="1"/>
  <c r="H24" i="1"/>
  <c r="H25" i="1"/>
  <c r="H26" i="1"/>
  <c r="H27" i="1"/>
  <c r="H28" i="1"/>
  <c r="H29" i="1"/>
  <c r="H30" i="1"/>
  <c r="H31" i="1"/>
  <c r="H33" i="1"/>
  <c r="H34" i="1"/>
  <c r="H35" i="1"/>
  <c r="H36" i="1"/>
  <c r="H37" i="1"/>
  <c r="H38" i="1"/>
  <c r="H39" i="1"/>
  <c r="H40" i="1"/>
  <c r="H41" i="1"/>
  <c r="H42" i="1"/>
  <c r="H44" i="1"/>
  <c r="L14" i="1" s="1"/>
  <c r="M14" i="1" s="1"/>
  <c r="H45" i="1"/>
  <c r="H46" i="1"/>
  <c r="H47" i="1"/>
  <c r="H48" i="1"/>
  <c r="H49" i="1"/>
  <c r="H50" i="1"/>
  <c r="H51" i="1"/>
  <c r="H52" i="1"/>
  <c r="H53" i="1"/>
  <c r="H55" i="1"/>
  <c r="H56" i="1"/>
  <c r="H57" i="1"/>
  <c r="H58" i="1"/>
  <c r="H59" i="1"/>
  <c r="H60" i="1"/>
  <c r="H61" i="1"/>
  <c r="H62" i="1"/>
  <c r="H63" i="1"/>
  <c r="H64" i="1"/>
  <c r="H66" i="1"/>
  <c r="H67" i="1"/>
  <c r="L16" i="1" s="1"/>
  <c r="M16" i="1" s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L24" i="1" s="1"/>
  <c r="M24" i="1" s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L28" i="1" s="1"/>
  <c r="M28" i="1" s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L36" i="1" s="1"/>
  <c r="M36" i="1" s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L40" i="1" s="1"/>
  <c r="M40" i="1" s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L46" i="1" s="1"/>
  <c r="M46" i="1" s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L51" i="1" s="1"/>
  <c r="M51" i="1" s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L58" i="1" s="1"/>
  <c r="M58" i="1" s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L63" i="1" s="1"/>
  <c r="M63" i="1" s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L70" i="1" s="1"/>
  <c r="M70" i="1" s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L75" i="1" s="1"/>
  <c r="M75" i="1" s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L82" i="1" s="1"/>
  <c r="M82" i="1" s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13" i="1"/>
  <c r="H14" i="1"/>
  <c r="H15" i="1"/>
  <c r="H16" i="1"/>
  <c r="H17" i="1"/>
  <c r="H18" i="1"/>
  <c r="H19" i="1"/>
  <c r="H20" i="1"/>
  <c r="H12" i="1"/>
  <c r="L11" i="1"/>
  <c r="M11" i="1" l="1"/>
  <c r="D330" i="13"/>
  <c r="N334" i="7"/>
  <c r="C334" i="9"/>
  <c r="F334" i="9" s="1"/>
  <c r="D362" i="13"/>
  <c r="N366" i="7"/>
  <c r="C366" i="9"/>
  <c r="F366" i="9" s="1"/>
  <c r="D350" i="13"/>
  <c r="N354" i="7"/>
  <c r="C354" i="9"/>
  <c r="F354" i="9" s="1"/>
  <c r="D338" i="13"/>
  <c r="N342" i="7"/>
  <c r="C342" i="9"/>
  <c r="F342" i="9" s="1"/>
  <c r="D326" i="13"/>
  <c r="N330" i="7"/>
  <c r="C330" i="9"/>
  <c r="F330" i="9" s="1"/>
  <c r="D314" i="13"/>
  <c r="N318" i="7"/>
  <c r="C318" i="9"/>
  <c r="F318" i="9" s="1"/>
  <c r="D302" i="13"/>
  <c r="N306" i="7"/>
  <c r="C306" i="9"/>
  <c r="F306" i="9" s="1"/>
  <c r="D290" i="13"/>
  <c r="C294" i="9"/>
  <c r="D342" i="13"/>
  <c r="N346" i="7"/>
  <c r="C346" i="9"/>
  <c r="F346" i="9" s="1"/>
  <c r="D361" i="13"/>
  <c r="N365" i="7"/>
  <c r="C365" i="9"/>
  <c r="F365" i="9" s="1"/>
  <c r="D349" i="13"/>
  <c r="N353" i="7"/>
  <c r="C353" i="9"/>
  <c r="F353" i="9" s="1"/>
  <c r="D337" i="13"/>
  <c r="N341" i="7"/>
  <c r="C341" i="9"/>
  <c r="F341" i="9" s="1"/>
  <c r="D325" i="13"/>
  <c r="N329" i="7"/>
  <c r="C329" i="9"/>
  <c r="F329" i="9" s="1"/>
  <c r="D313" i="13"/>
  <c r="N317" i="7"/>
  <c r="C317" i="9"/>
  <c r="F317" i="9" s="1"/>
  <c r="D301" i="13"/>
  <c r="N305" i="7"/>
  <c r="C305" i="9"/>
  <c r="F305" i="9" s="1"/>
  <c r="D289" i="13"/>
  <c r="C293" i="9"/>
  <c r="D360" i="13"/>
  <c r="C364" i="9"/>
  <c r="F364" i="9" s="1"/>
  <c r="N364" i="7"/>
  <c r="D348" i="13"/>
  <c r="C352" i="9"/>
  <c r="F352" i="9" s="1"/>
  <c r="N352" i="7"/>
  <c r="D336" i="13"/>
  <c r="C340" i="9"/>
  <c r="F340" i="9" s="1"/>
  <c r="N340" i="7"/>
  <c r="D324" i="13"/>
  <c r="C328" i="9"/>
  <c r="F328" i="9" s="1"/>
  <c r="N328" i="7"/>
  <c r="D312" i="13"/>
  <c r="C316" i="9"/>
  <c r="F316" i="9" s="1"/>
  <c r="N316" i="7"/>
  <c r="D300" i="13"/>
  <c r="C304" i="9"/>
  <c r="F304" i="9" s="1"/>
  <c r="N304" i="7"/>
  <c r="D288" i="13"/>
  <c r="C292" i="9"/>
  <c r="D354" i="13"/>
  <c r="N358" i="7"/>
  <c r="C358" i="9"/>
  <c r="F358" i="9" s="1"/>
  <c r="D347" i="13"/>
  <c r="N351" i="7"/>
  <c r="C351" i="9"/>
  <c r="F351" i="9" s="1"/>
  <c r="D335" i="13"/>
  <c r="N339" i="7"/>
  <c r="C339" i="9"/>
  <c r="F339" i="9" s="1"/>
  <c r="D323" i="13"/>
  <c r="N327" i="7"/>
  <c r="C327" i="9"/>
  <c r="F327" i="9" s="1"/>
  <c r="D311" i="13"/>
  <c r="N315" i="7"/>
  <c r="C315" i="9"/>
  <c r="F315" i="9" s="1"/>
  <c r="D299" i="13"/>
  <c r="C303" i="9"/>
  <c r="F303" i="9" s="1"/>
  <c r="D359" i="13"/>
  <c r="N363" i="7"/>
  <c r="C363" i="9"/>
  <c r="F363" i="9" s="1"/>
  <c r="D358" i="13"/>
  <c r="N362" i="7"/>
  <c r="C362" i="9"/>
  <c r="F362" i="9" s="1"/>
  <c r="D346" i="13"/>
  <c r="N350" i="7"/>
  <c r="C350" i="9"/>
  <c r="F350" i="9" s="1"/>
  <c r="D334" i="13"/>
  <c r="N338" i="7"/>
  <c r="C338" i="9"/>
  <c r="F338" i="9" s="1"/>
  <c r="D322" i="13"/>
  <c r="N326" i="7"/>
  <c r="C326" i="9"/>
  <c r="F326" i="9" s="1"/>
  <c r="D310" i="13"/>
  <c r="N314" i="7"/>
  <c r="C314" i="9"/>
  <c r="F314" i="9" s="1"/>
  <c r="D298" i="13"/>
  <c r="C302" i="9"/>
  <c r="F302" i="9" s="1"/>
  <c r="D357" i="13"/>
  <c r="N361" i="7"/>
  <c r="C361" i="9"/>
  <c r="F361" i="9" s="1"/>
  <c r="D345" i="13"/>
  <c r="N349" i="7"/>
  <c r="C349" i="9"/>
  <c r="F349" i="9" s="1"/>
  <c r="D333" i="13"/>
  <c r="N337" i="7"/>
  <c r="C337" i="9"/>
  <c r="F337" i="9" s="1"/>
  <c r="D321" i="13"/>
  <c r="N325" i="7"/>
  <c r="C325" i="9"/>
  <c r="F325" i="9" s="1"/>
  <c r="D309" i="13"/>
  <c r="N313" i="7"/>
  <c r="C313" i="9"/>
  <c r="F313" i="9" s="1"/>
  <c r="D297" i="13"/>
  <c r="C301" i="9"/>
  <c r="F301" i="9" s="1"/>
  <c r="D356" i="13"/>
  <c r="N360" i="7"/>
  <c r="C360" i="9"/>
  <c r="F360" i="9" s="1"/>
  <c r="D344" i="13"/>
  <c r="N348" i="7"/>
  <c r="C348" i="9"/>
  <c r="F348" i="9" s="1"/>
  <c r="D332" i="13"/>
  <c r="N336" i="7"/>
  <c r="C336" i="9"/>
  <c r="F336" i="9" s="1"/>
  <c r="D320" i="13"/>
  <c r="N324" i="7"/>
  <c r="C324" i="9"/>
  <c r="F324" i="9" s="1"/>
  <c r="D308" i="13"/>
  <c r="N312" i="7"/>
  <c r="C312" i="9"/>
  <c r="F312" i="9" s="1"/>
  <c r="D296" i="13"/>
  <c r="C300" i="9"/>
  <c r="F300" i="9" s="1"/>
  <c r="D355" i="13"/>
  <c r="N359" i="7"/>
  <c r="C359" i="9"/>
  <c r="F359" i="9" s="1"/>
  <c r="D343" i="13"/>
  <c r="N347" i="7"/>
  <c r="C347" i="9"/>
  <c r="F347" i="9" s="1"/>
  <c r="D331" i="13"/>
  <c r="N335" i="7"/>
  <c r="C335" i="9"/>
  <c r="F335" i="9" s="1"/>
  <c r="D319" i="13"/>
  <c r="N323" i="7"/>
  <c r="C323" i="9"/>
  <c r="F323" i="9" s="1"/>
  <c r="D307" i="13"/>
  <c r="N311" i="7"/>
  <c r="C311" i="9"/>
  <c r="F311" i="9" s="1"/>
  <c r="D295" i="13"/>
  <c r="C299" i="9"/>
  <c r="F299" i="9" s="1"/>
  <c r="D294" i="13"/>
  <c r="C298" i="9"/>
  <c r="F298" i="9" s="1"/>
  <c r="D353" i="13"/>
  <c r="N357" i="7"/>
  <c r="C357" i="9"/>
  <c r="F357" i="9" s="1"/>
  <c r="D341" i="13"/>
  <c r="N345" i="7"/>
  <c r="C345" i="9"/>
  <c r="F345" i="9" s="1"/>
  <c r="D329" i="13"/>
  <c r="N333" i="7"/>
  <c r="C333" i="9"/>
  <c r="F333" i="9" s="1"/>
  <c r="D317" i="13"/>
  <c r="N321" i="7"/>
  <c r="C321" i="9"/>
  <c r="F321" i="9" s="1"/>
  <c r="D305" i="13"/>
  <c r="N309" i="7"/>
  <c r="C309" i="9"/>
  <c r="F309" i="9" s="1"/>
  <c r="D293" i="13"/>
  <c r="C297" i="9"/>
  <c r="D306" i="13"/>
  <c r="N310" i="7"/>
  <c r="C310" i="9"/>
  <c r="F310" i="9" s="1"/>
  <c r="D287" i="13"/>
  <c r="C291" i="9"/>
  <c r="D352" i="13"/>
  <c r="N356" i="7"/>
  <c r="C356" i="9"/>
  <c r="F356" i="9" s="1"/>
  <c r="D340" i="13"/>
  <c r="N344" i="7"/>
  <c r="C344" i="9"/>
  <c r="F344" i="9" s="1"/>
  <c r="D328" i="13"/>
  <c r="N332" i="7"/>
  <c r="C332" i="9"/>
  <c r="F332" i="9" s="1"/>
  <c r="D316" i="13"/>
  <c r="N320" i="7"/>
  <c r="C320" i="9"/>
  <c r="F320" i="9" s="1"/>
  <c r="D304" i="13"/>
  <c r="N308" i="7"/>
  <c r="C308" i="9"/>
  <c r="F308" i="9" s="1"/>
  <c r="D292" i="13"/>
  <c r="C296" i="9"/>
  <c r="D318" i="13"/>
  <c r="N322" i="7"/>
  <c r="C322" i="9"/>
  <c r="F322" i="9" s="1"/>
  <c r="D363" i="13"/>
  <c r="N367" i="7"/>
  <c r="C367" i="9"/>
  <c r="F367" i="9" s="1"/>
  <c r="D351" i="13"/>
  <c r="N355" i="7"/>
  <c r="C355" i="9"/>
  <c r="F355" i="9" s="1"/>
  <c r="D339" i="13"/>
  <c r="N343" i="7"/>
  <c r="C343" i="9"/>
  <c r="F343" i="9" s="1"/>
  <c r="D327" i="13"/>
  <c r="N331" i="7"/>
  <c r="C331" i="9"/>
  <c r="F331" i="9" s="1"/>
  <c r="D315" i="13"/>
  <c r="N319" i="7"/>
  <c r="C319" i="9"/>
  <c r="F319" i="9" s="1"/>
  <c r="D303" i="13"/>
  <c r="N307" i="7"/>
  <c r="C307" i="9"/>
  <c r="F307" i="9" s="1"/>
  <c r="D291" i="13"/>
  <c r="C295" i="9"/>
  <c r="L37" i="1"/>
  <c r="M37" i="1" s="1"/>
  <c r="L84" i="1"/>
  <c r="M84" i="1" s="1"/>
  <c r="L49" i="1"/>
  <c r="M49" i="1" s="1"/>
  <c r="L39" i="1"/>
  <c r="M39" i="1" s="1"/>
  <c r="L27" i="1"/>
  <c r="M27" i="1" s="1"/>
  <c r="L59" i="1"/>
  <c r="M59" i="1" s="1"/>
  <c r="L48" i="1"/>
  <c r="M48" i="1" s="1"/>
  <c r="L38" i="1"/>
  <c r="M38" i="1" s="1"/>
  <c r="L26" i="1"/>
  <c r="M26" i="1" s="1"/>
  <c r="L61" i="1"/>
  <c r="M61" i="1" s="1"/>
  <c r="L74" i="1"/>
  <c r="M74" i="1" s="1"/>
  <c r="L62" i="1"/>
  <c r="M62" i="1" s="1"/>
  <c r="L50" i="1"/>
  <c r="M50" i="1" s="1"/>
  <c r="L85" i="1"/>
  <c r="M85" i="1" s="1"/>
  <c r="L41" i="1"/>
  <c r="M41" i="1" s="1"/>
  <c r="L29" i="1"/>
  <c r="M29" i="1" s="1"/>
  <c r="L17" i="1"/>
  <c r="M17" i="1" s="1"/>
  <c r="L86" i="1"/>
  <c r="M86" i="1" s="1"/>
  <c r="L76" i="1"/>
  <c r="M76" i="1" s="1"/>
  <c r="L69" i="1"/>
  <c r="M69" i="1" s="1"/>
  <c r="L64" i="1"/>
  <c r="M64" i="1" s="1"/>
  <c r="L52" i="1"/>
  <c r="M52" i="1" s="1"/>
  <c r="L42" i="1"/>
  <c r="M42" i="1" s="1"/>
  <c r="L30" i="1"/>
  <c r="M30" i="1" s="1"/>
  <c r="L18" i="1"/>
  <c r="M18" i="1" s="1"/>
  <c r="L71" i="1"/>
  <c r="M71" i="1" s="1"/>
  <c r="L72" i="1"/>
  <c r="M72" i="1" s="1"/>
  <c r="L87" i="1"/>
  <c r="M87" i="1" s="1"/>
  <c r="L81" i="1"/>
  <c r="M81" i="1" s="1"/>
  <c r="L77" i="1"/>
  <c r="M77" i="1" s="1"/>
  <c r="L65" i="1"/>
  <c r="M65" i="1" s="1"/>
  <c r="L53" i="1"/>
  <c r="M53" i="1" s="1"/>
  <c r="L43" i="1"/>
  <c r="M43" i="1" s="1"/>
  <c r="L31" i="1"/>
  <c r="M31" i="1" s="1"/>
  <c r="L19" i="1"/>
  <c r="M19" i="1" s="1"/>
  <c r="L15" i="1"/>
  <c r="M15" i="1" s="1"/>
  <c r="L78" i="1"/>
  <c r="M78" i="1" s="1"/>
  <c r="L67" i="1"/>
  <c r="M67" i="1" s="1"/>
  <c r="L66" i="1"/>
  <c r="M66" i="1" s="1"/>
  <c r="L57" i="1"/>
  <c r="M57" i="1" s="1"/>
  <c r="L55" i="1"/>
  <c r="M55" i="1" s="1"/>
  <c r="L54" i="1"/>
  <c r="M54" i="1" s="1"/>
  <c r="L44" i="1"/>
  <c r="M44" i="1" s="1"/>
  <c r="L34" i="1"/>
  <c r="M34" i="1" s="1"/>
  <c r="L32" i="1"/>
  <c r="M32" i="1" s="1"/>
  <c r="L22" i="1"/>
  <c r="M22" i="1" s="1"/>
  <c r="L20" i="1"/>
  <c r="M20" i="1" s="1"/>
  <c r="L12" i="1"/>
  <c r="M12" i="1" s="1"/>
  <c r="L83" i="1"/>
  <c r="M83" i="1" s="1"/>
  <c r="L25" i="1"/>
  <c r="M25" i="1" s="1"/>
  <c r="L60" i="1"/>
  <c r="M60" i="1" s="1"/>
  <c r="L79" i="1"/>
  <c r="M79" i="1" s="1"/>
  <c r="L33" i="1"/>
  <c r="M33" i="1" s="1"/>
  <c r="L21" i="1"/>
  <c r="M21" i="1" s="1"/>
  <c r="L47" i="1"/>
  <c r="M47" i="1" s="1"/>
  <c r="L73" i="1"/>
  <c r="M73" i="1" s="1"/>
  <c r="L80" i="1"/>
  <c r="M80" i="1" s="1"/>
  <c r="L68" i="1"/>
  <c r="M68" i="1" s="1"/>
  <c r="L56" i="1"/>
  <c r="M56" i="1" s="1"/>
  <c r="L45" i="1"/>
  <c r="M45" i="1" s="1"/>
  <c r="L13" i="1"/>
  <c r="M13" i="1" s="1"/>
  <c r="L35" i="1"/>
  <c r="M35" i="1" s="1"/>
  <c r="L23" i="1"/>
  <c r="M23" i="1" s="1"/>
  <c r="N11" i="1" l="1"/>
  <c r="O11" i="1"/>
  <c r="AC11" i="1"/>
  <c r="F290" i="7"/>
  <c r="G290" i="7" s="1"/>
  <c r="H290" i="7" s="1"/>
  <c r="O319" i="7"/>
  <c r="AD11" i="1"/>
  <c r="AE11" i="1" s="1"/>
  <c r="AF11" i="1" s="1"/>
  <c r="G309" i="9"/>
  <c r="H309" i="9"/>
  <c r="G321" i="9"/>
  <c r="H321" i="9"/>
  <c r="H324" i="9"/>
  <c r="G324" i="9"/>
  <c r="G351" i="9"/>
  <c r="H351" i="9"/>
  <c r="G316" i="9"/>
  <c r="H316" i="9"/>
  <c r="G347" i="9"/>
  <c r="H347" i="9"/>
  <c r="G338" i="9"/>
  <c r="H338" i="9"/>
  <c r="H332" i="9"/>
  <c r="G332" i="9"/>
  <c r="G331" i="9"/>
  <c r="H331" i="9"/>
  <c r="G313" i="9"/>
  <c r="H313" i="9"/>
  <c r="G361" i="9"/>
  <c r="H361" i="9"/>
  <c r="G336" i="9"/>
  <c r="H336" i="9"/>
  <c r="H315" i="9"/>
  <c r="G315" i="9"/>
  <c r="H358" i="9"/>
  <c r="G358" i="9"/>
  <c r="G328" i="9"/>
  <c r="H328" i="9"/>
  <c r="G306" i="9"/>
  <c r="H306" i="9"/>
  <c r="G354" i="9"/>
  <c r="H354" i="9"/>
  <c r="H311" i="9"/>
  <c r="G311" i="9"/>
  <c r="G359" i="9"/>
  <c r="H359" i="9"/>
  <c r="H350" i="9"/>
  <c r="G350" i="9"/>
  <c r="G305" i="9"/>
  <c r="H305" i="9"/>
  <c r="G353" i="9"/>
  <c r="H353" i="9"/>
  <c r="D365" i="13"/>
  <c r="C369" i="9"/>
  <c r="F369" i="9" s="1"/>
  <c r="N369" i="7"/>
  <c r="G310" i="9"/>
  <c r="H310" i="9"/>
  <c r="D364" i="13"/>
  <c r="N368" i="7"/>
  <c r="C368" i="9"/>
  <c r="F368" i="9" s="1"/>
  <c r="G325" i="9"/>
  <c r="H325" i="9"/>
  <c r="G348" i="9"/>
  <c r="H348" i="9"/>
  <c r="G327" i="9"/>
  <c r="H327" i="9"/>
  <c r="G340" i="9"/>
  <c r="H340" i="9"/>
  <c r="G366" i="9"/>
  <c r="H366" i="9"/>
  <c r="G356" i="9"/>
  <c r="H356" i="9"/>
  <c r="H323" i="9"/>
  <c r="G323" i="9"/>
  <c r="G314" i="9"/>
  <c r="H314" i="9"/>
  <c r="G362" i="9"/>
  <c r="H362" i="9"/>
  <c r="G317" i="9"/>
  <c r="H317" i="9"/>
  <c r="G365" i="9"/>
  <c r="H365" i="9"/>
  <c r="G308" i="9"/>
  <c r="H308" i="9"/>
  <c r="G307" i="9"/>
  <c r="H307" i="9"/>
  <c r="G355" i="9"/>
  <c r="H355" i="9"/>
  <c r="H337" i="9"/>
  <c r="G337" i="9"/>
  <c r="G312" i="9"/>
  <c r="H312" i="9"/>
  <c r="G360" i="9"/>
  <c r="H360" i="9"/>
  <c r="G339" i="9"/>
  <c r="H339" i="9"/>
  <c r="G304" i="9"/>
  <c r="H304" i="9"/>
  <c r="H352" i="9"/>
  <c r="G352" i="9"/>
  <c r="G330" i="9"/>
  <c r="H330" i="9"/>
  <c r="G334" i="9"/>
  <c r="H334" i="9"/>
  <c r="G320" i="9"/>
  <c r="H320" i="9"/>
  <c r="H335" i="9"/>
  <c r="G335" i="9"/>
  <c r="G326" i="9"/>
  <c r="H326" i="9"/>
  <c r="H363" i="9"/>
  <c r="G363" i="9"/>
  <c r="H329" i="9"/>
  <c r="G329" i="9"/>
  <c r="H346" i="9"/>
  <c r="G346" i="9"/>
  <c r="H357" i="9"/>
  <c r="G357" i="9"/>
  <c r="G319" i="9"/>
  <c r="H319" i="9"/>
  <c r="H367" i="9"/>
  <c r="G367" i="9"/>
  <c r="G349" i="9"/>
  <c r="H349" i="9"/>
  <c r="D291" i="9" l="1"/>
  <c r="G345" i="9" s="1"/>
  <c r="H345" i="9" s="1"/>
  <c r="O338" i="7"/>
  <c r="O339" i="7"/>
  <c r="O304" i="7"/>
  <c r="O366" i="7"/>
  <c r="O311" i="7"/>
  <c r="O346" i="7"/>
  <c r="O335" i="7"/>
  <c r="O357" i="7"/>
  <c r="O362" i="7"/>
  <c r="O318" i="7"/>
  <c r="O353" i="7"/>
  <c r="O310" i="7"/>
  <c r="O315" i="7"/>
  <c r="O333" i="7"/>
  <c r="O332" i="7"/>
  <c r="O349" i="7"/>
  <c r="O329" i="7"/>
  <c r="O314" i="7"/>
  <c r="O305" i="7"/>
  <c r="O321" i="7"/>
  <c r="O324" i="7"/>
  <c r="O320" i="7"/>
  <c r="O348" i="7"/>
  <c r="O340" i="7"/>
  <c r="O316" i="7"/>
  <c r="O307" i="7"/>
  <c r="O345" i="7"/>
  <c r="O350" i="7"/>
  <c r="O368" i="7"/>
  <c r="O306" i="7"/>
  <c r="O336" i="7"/>
  <c r="O363" i="7"/>
  <c r="O360" i="7"/>
  <c r="O365" i="7"/>
  <c r="O323" i="7"/>
  <c r="O342" i="7"/>
  <c r="O334" i="7"/>
  <c r="O309" i="7"/>
  <c r="O344" i="7"/>
  <c r="O331" i="7"/>
  <c r="O364" i="7"/>
  <c r="O330" i="7"/>
  <c r="O354" i="7"/>
  <c r="O355" i="7"/>
  <c r="O326" i="7"/>
  <c r="O312" i="7"/>
  <c r="O317" i="7"/>
  <c r="O356" i="7"/>
  <c r="O327" i="7"/>
  <c r="O325" i="7"/>
  <c r="O361" i="7"/>
  <c r="O337" i="7"/>
  <c r="O352" i="7"/>
  <c r="O308" i="7"/>
  <c r="O343" i="7"/>
  <c r="O359" i="7"/>
  <c r="O313" i="7"/>
  <c r="O351" i="7"/>
  <c r="O369" i="7"/>
  <c r="O341" i="7"/>
  <c r="O328" i="7"/>
  <c r="O358" i="7"/>
  <c r="O347" i="7"/>
  <c r="O322" i="7"/>
  <c r="O367" i="7"/>
  <c r="I290" i="7"/>
  <c r="G368" i="9"/>
  <c r="H368" i="9"/>
  <c r="G344" i="9" l="1"/>
  <c r="H344" i="9" s="1"/>
  <c r="G343" i="9"/>
  <c r="H343" i="9" s="1"/>
  <c r="G322" i="9"/>
  <c r="H322" i="9" s="1"/>
  <c r="G341" i="9"/>
  <c r="H341" i="9" s="1"/>
  <c r="G369" i="9"/>
  <c r="H369" i="9" s="1"/>
  <c r="G318" i="9"/>
  <c r="H318" i="9" s="1"/>
  <c r="G342" i="9"/>
  <c r="H342" i="9" s="1"/>
  <c r="G364" i="9"/>
  <c r="H364" i="9" s="1"/>
  <c r="G333" i="9"/>
  <c r="H333" i="9" s="1"/>
  <c r="F438" i="9"/>
  <c r="F437" i="9"/>
  <c r="F436" i="9"/>
  <c r="F297" i="9"/>
  <c r="F296" i="9"/>
  <c r="F295" i="9"/>
  <c r="F294" i="9"/>
  <c r="F293" i="9"/>
  <c r="F292" i="9"/>
  <c r="F435" i="9" l="1"/>
  <c r="H436" i="9"/>
  <c r="G436" i="9"/>
  <c r="H437" i="9"/>
  <c r="G437" i="9"/>
  <c r="H438" i="9"/>
  <c r="G438" i="9"/>
  <c r="H292" i="9"/>
  <c r="G292" i="9"/>
  <c r="G294" i="9"/>
  <c r="H294" i="9" s="1"/>
  <c r="F291" i="9"/>
  <c r="G297" i="9"/>
  <c r="H297" i="9" s="1"/>
  <c r="H298" i="9"/>
  <c r="G298" i="9"/>
  <c r="H303" i="9"/>
  <c r="G303" i="9"/>
  <c r="G299" i="9"/>
  <c r="H299" i="9"/>
  <c r="G300" i="9"/>
  <c r="H300" i="9"/>
  <c r="H293" i="9"/>
  <c r="G293" i="9"/>
  <c r="G301" i="9"/>
  <c r="H301" i="9"/>
  <c r="H302" i="9"/>
  <c r="G302" i="9"/>
  <c r="G435" i="9" l="1"/>
  <c r="G296" i="9"/>
  <c r="H296" i="9" s="1"/>
  <c r="G295" i="9"/>
  <c r="H295" i="9" s="1"/>
  <c r="H291" i="9"/>
  <c r="I291" i="9" s="1"/>
  <c r="G291" i="9"/>
  <c r="M291" i="9" l="1"/>
  <c r="L291" i="9"/>
  <c r="H435" i="9"/>
  <c r="I435" i="9" s="1"/>
  <c r="L435" i="9"/>
  <c r="M435" i="9"/>
  <c r="G435" i="7"/>
  <c r="H435" i="7" s="1"/>
  <c r="M2" i="7"/>
  <c r="L135" i="13"/>
  <c r="N437" i="7"/>
  <c r="N438" i="7"/>
  <c r="N439" i="7"/>
  <c r="N377" i="7"/>
  <c r="N378" i="7"/>
  <c r="N379" i="7"/>
  <c r="N380" i="7"/>
  <c r="N381" i="7"/>
  <c r="N382" i="7"/>
  <c r="N383" i="7"/>
  <c r="N384" i="7"/>
  <c r="N385" i="7"/>
  <c r="N387" i="7"/>
  <c r="N388" i="7"/>
  <c r="N389" i="7"/>
  <c r="N390" i="7"/>
  <c r="N391" i="7"/>
  <c r="N392" i="7"/>
  <c r="N393" i="7"/>
  <c r="N394" i="7"/>
  <c r="N395" i="7"/>
  <c r="N396" i="7"/>
  <c r="N397" i="7"/>
  <c r="N398" i="7"/>
  <c r="N399" i="7"/>
  <c r="N400" i="7"/>
  <c r="N401" i="7"/>
  <c r="N402" i="7"/>
  <c r="N403" i="7"/>
  <c r="N404" i="7"/>
  <c r="N405" i="7"/>
  <c r="N406" i="7"/>
  <c r="N407" i="7"/>
  <c r="N408" i="7"/>
  <c r="N409" i="7"/>
  <c r="N410" i="7"/>
  <c r="N411" i="7"/>
  <c r="N412" i="7"/>
  <c r="N413" i="7"/>
  <c r="N414" i="7"/>
  <c r="N415" i="7"/>
  <c r="N416" i="7"/>
  <c r="N417" i="7"/>
  <c r="N418" i="7"/>
  <c r="N419" i="7"/>
  <c r="N420" i="7"/>
  <c r="N421" i="7"/>
  <c r="N422" i="7"/>
  <c r="N423" i="7"/>
  <c r="N424" i="7"/>
  <c r="N425" i="7"/>
  <c r="N426" i="7"/>
  <c r="N427" i="7"/>
  <c r="N428" i="7"/>
  <c r="N429" i="7"/>
  <c r="N430" i="7"/>
  <c r="N431" i="7"/>
  <c r="N432" i="7"/>
  <c r="N433" i="7"/>
  <c r="N434" i="7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N292" i="7"/>
  <c r="N293" i="7"/>
  <c r="N294" i="7"/>
  <c r="N295" i="7"/>
  <c r="N296" i="7"/>
  <c r="N297" i="7"/>
  <c r="N298" i="7"/>
  <c r="N299" i="7"/>
  <c r="N300" i="7"/>
  <c r="N301" i="7"/>
  <c r="N302" i="7"/>
  <c r="N303" i="7"/>
  <c r="F11" i="9"/>
  <c r="F14" i="9"/>
  <c r="F23" i="9"/>
  <c r="F26" i="9"/>
  <c r="F35" i="9"/>
  <c r="F38" i="9"/>
  <c r="F47" i="9"/>
  <c r="F50" i="9"/>
  <c r="F59" i="9"/>
  <c r="F62" i="9"/>
  <c r="F68" i="6"/>
  <c r="C136" i="9" s="1"/>
  <c r="F136" i="9" s="1"/>
  <c r="F67" i="6"/>
  <c r="C135" i="9" s="1"/>
  <c r="F135" i="9" s="1"/>
  <c r="F66" i="6"/>
  <c r="C134" i="9" s="1"/>
  <c r="F134" i="9" s="1"/>
  <c r="F65" i="6"/>
  <c r="C133" i="9" s="1"/>
  <c r="F133" i="9" s="1"/>
  <c r="F64" i="6"/>
  <c r="C132" i="9" s="1"/>
  <c r="F132" i="9" s="1"/>
  <c r="F63" i="6"/>
  <c r="C131" i="9" s="1"/>
  <c r="F131" i="9" s="1"/>
  <c r="F62" i="6"/>
  <c r="C130" i="9" s="1"/>
  <c r="F130" i="9" s="1"/>
  <c r="F61" i="6"/>
  <c r="C129" i="9" s="1"/>
  <c r="F129" i="9" s="1"/>
  <c r="F60" i="6"/>
  <c r="C128" i="9" s="1"/>
  <c r="F128" i="9" s="1"/>
  <c r="F59" i="6"/>
  <c r="C127" i="9" s="1"/>
  <c r="F127" i="9" s="1"/>
  <c r="F58" i="6"/>
  <c r="C126" i="9" s="1"/>
  <c r="F126" i="9" s="1"/>
  <c r="F57" i="6"/>
  <c r="C125" i="9" s="1"/>
  <c r="F125" i="9" s="1"/>
  <c r="F56" i="6"/>
  <c r="C124" i="9" s="1"/>
  <c r="F124" i="9" s="1"/>
  <c r="F55" i="6"/>
  <c r="C123" i="9" s="1"/>
  <c r="F123" i="9" s="1"/>
  <c r="F54" i="6"/>
  <c r="C122" i="9" s="1"/>
  <c r="F122" i="9" s="1"/>
  <c r="F53" i="6"/>
  <c r="C121" i="9" s="1"/>
  <c r="F121" i="9" s="1"/>
  <c r="F52" i="6"/>
  <c r="C120" i="9" s="1"/>
  <c r="F120" i="9" s="1"/>
  <c r="F51" i="6"/>
  <c r="C119" i="9" s="1"/>
  <c r="F119" i="9" s="1"/>
  <c r="F50" i="6"/>
  <c r="C118" i="9" s="1"/>
  <c r="F118" i="9" s="1"/>
  <c r="F49" i="6"/>
  <c r="C117" i="9" s="1"/>
  <c r="F117" i="9" s="1"/>
  <c r="F48" i="6"/>
  <c r="C116" i="9" s="1"/>
  <c r="F116" i="9" s="1"/>
  <c r="F47" i="6"/>
  <c r="C115" i="9" s="1"/>
  <c r="F115" i="9" s="1"/>
  <c r="F46" i="6"/>
  <c r="C114" i="9" s="1"/>
  <c r="F114" i="9" s="1"/>
  <c r="F45" i="6"/>
  <c r="C113" i="9" s="1"/>
  <c r="F113" i="9" s="1"/>
  <c r="F44" i="6"/>
  <c r="C112" i="9" s="1"/>
  <c r="F112" i="9" s="1"/>
  <c r="F43" i="6"/>
  <c r="C111" i="9" s="1"/>
  <c r="F111" i="9" s="1"/>
  <c r="F42" i="6"/>
  <c r="C110" i="9" s="1"/>
  <c r="F110" i="9" s="1"/>
  <c r="F41" i="6"/>
  <c r="C109" i="9" s="1"/>
  <c r="F109" i="9" s="1"/>
  <c r="F40" i="6"/>
  <c r="C108" i="9" s="1"/>
  <c r="F108" i="9" s="1"/>
  <c r="F39" i="6"/>
  <c r="C107" i="9" s="1"/>
  <c r="F107" i="9" s="1"/>
  <c r="F38" i="6"/>
  <c r="C106" i="9" s="1"/>
  <c r="F106" i="9" s="1"/>
  <c r="F37" i="6"/>
  <c r="C105" i="9" s="1"/>
  <c r="F105" i="9" s="1"/>
  <c r="F36" i="6"/>
  <c r="C104" i="9" s="1"/>
  <c r="F104" i="9" s="1"/>
  <c r="F35" i="6"/>
  <c r="C103" i="9" s="1"/>
  <c r="F103" i="9" s="1"/>
  <c r="F34" i="6"/>
  <c r="C102" i="9" s="1"/>
  <c r="F102" i="9" s="1"/>
  <c r="F33" i="6"/>
  <c r="C101" i="9" s="1"/>
  <c r="F101" i="9" s="1"/>
  <c r="F32" i="6"/>
  <c r="C100" i="9" s="1"/>
  <c r="F100" i="9" s="1"/>
  <c r="F31" i="6"/>
  <c r="C99" i="9" s="1"/>
  <c r="F99" i="9" s="1"/>
  <c r="F30" i="6"/>
  <c r="C98" i="9" s="1"/>
  <c r="F98" i="9" s="1"/>
  <c r="F29" i="6"/>
  <c r="C97" i="9" s="1"/>
  <c r="F97" i="9" s="1"/>
  <c r="F28" i="6"/>
  <c r="C96" i="9" s="1"/>
  <c r="F96" i="9" s="1"/>
  <c r="F27" i="6"/>
  <c r="C95" i="9" s="1"/>
  <c r="F95" i="9" s="1"/>
  <c r="F26" i="6"/>
  <c r="C94" i="9" s="1"/>
  <c r="F94" i="9" s="1"/>
  <c r="F25" i="6"/>
  <c r="C93" i="9" s="1"/>
  <c r="F93" i="9" s="1"/>
  <c r="F24" i="6"/>
  <c r="C92" i="9" s="1"/>
  <c r="F92" i="9" s="1"/>
  <c r="F23" i="6"/>
  <c r="C91" i="9" s="1"/>
  <c r="F91" i="9" s="1"/>
  <c r="F6" i="6"/>
  <c r="C74" i="9" s="1"/>
  <c r="F74" i="9" s="1"/>
  <c r="F7" i="6"/>
  <c r="C75" i="9" s="1"/>
  <c r="F75" i="9" s="1"/>
  <c r="F8" i="6"/>
  <c r="C76" i="9" s="1"/>
  <c r="F76" i="9" s="1"/>
  <c r="F9" i="6"/>
  <c r="C77" i="9" s="1"/>
  <c r="F77" i="9" s="1"/>
  <c r="F10" i="6"/>
  <c r="C78" i="9" s="1"/>
  <c r="F78" i="9" s="1"/>
  <c r="F11" i="6"/>
  <c r="C79" i="9" s="1"/>
  <c r="F79" i="9" s="1"/>
  <c r="F12" i="6"/>
  <c r="C80" i="9" s="1"/>
  <c r="F80" i="9" s="1"/>
  <c r="F13" i="6"/>
  <c r="C81" i="9" s="1"/>
  <c r="F81" i="9" s="1"/>
  <c r="F14" i="6"/>
  <c r="C82" i="9" s="1"/>
  <c r="F82" i="9" s="1"/>
  <c r="F15" i="6"/>
  <c r="C83" i="9" s="1"/>
  <c r="F83" i="9" s="1"/>
  <c r="F16" i="6"/>
  <c r="C84" i="9" s="1"/>
  <c r="F84" i="9" s="1"/>
  <c r="F17" i="6"/>
  <c r="C85" i="9" s="1"/>
  <c r="F85" i="9" s="1"/>
  <c r="F18" i="6"/>
  <c r="C86" i="9" s="1"/>
  <c r="F86" i="9" s="1"/>
  <c r="F19" i="6"/>
  <c r="C87" i="9" s="1"/>
  <c r="F87" i="9" s="1"/>
  <c r="F20" i="6"/>
  <c r="C88" i="9" s="1"/>
  <c r="F88" i="9" s="1"/>
  <c r="F21" i="6"/>
  <c r="C89" i="9" s="1"/>
  <c r="F89" i="9" s="1"/>
  <c r="F22" i="6"/>
  <c r="C90" i="9" s="1"/>
  <c r="F90" i="9" s="1"/>
  <c r="F5" i="6"/>
  <c r="C73" i="9" l="1"/>
  <c r="D73" i="9" s="1"/>
  <c r="O5" i="6"/>
  <c r="K291" i="9"/>
  <c r="J435" i="9"/>
  <c r="K435" i="9"/>
  <c r="R135" i="13"/>
  <c r="J291" i="9"/>
  <c r="H93" i="9"/>
  <c r="G93" i="9"/>
  <c r="G101" i="9"/>
  <c r="H101" i="9"/>
  <c r="H109" i="9"/>
  <c r="G109" i="9"/>
  <c r="H117" i="9"/>
  <c r="G117" i="9"/>
  <c r="G125" i="9"/>
  <c r="H125" i="9"/>
  <c r="H133" i="9"/>
  <c r="G133" i="9"/>
  <c r="D133" i="7"/>
  <c r="D131" i="13" s="1"/>
  <c r="D125" i="7"/>
  <c r="D123" i="13" s="1"/>
  <c r="D117" i="7"/>
  <c r="D115" i="13" s="1"/>
  <c r="D109" i="7"/>
  <c r="N109" i="7" s="1"/>
  <c r="D101" i="7"/>
  <c r="D99" i="13" s="1"/>
  <c r="D93" i="7"/>
  <c r="D91" i="13" s="1"/>
  <c r="D85" i="7"/>
  <c r="D83" i="13" s="1"/>
  <c r="D77" i="7"/>
  <c r="D75" i="13" s="1"/>
  <c r="H84" i="9"/>
  <c r="G84" i="9"/>
  <c r="H97" i="9"/>
  <c r="G97" i="9"/>
  <c r="G89" i="9"/>
  <c r="H89" i="9"/>
  <c r="H88" i="9"/>
  <c r="G88" i="9"/>
  <c r="G79" i="9"/>
  <c r="H79" i="9"/>
  <c r="H78" i="9"/>
  <c r="G78" i="9"/>
  <c r="H94" i="9"/>
  <c r="G94" i="9"/>
  <c r="H102" i="9"/>
  <c r="G102" i="9"/>
  <c r="H110" i="9"/>
  <c r="G110" i="9"/>
  <c r="H118" i="9"/>
  <c r="G118" i="9"/>
  <c r="H126" i="9"/>
  <c r="G126" i="9"/>
  <c r="H134" i="9"/>
  <c r="G134" i="9"/>
  <c r="D132" i="7"/>
  <c r="D130" i="13" s="1"/>
  <c r="D124" i="7"/>
  <c r="D122" i="13" s="1"/>
  <c r="D116" i="7"/>
  <c r="D114" i="13" s="1"/>
  <c r="D108" i="7"/>
  <c r="D100" i="7"/>
  <c r="D98" i="13" s="1"/>
  <c r="D92" i="7"/>
  <c r="D90" i="13" s="1"/>
  <c r="D84" i="7"/>
  <c r="L82" i="13" s="1"/>
  <c r="D76" i="7"/>
  <c r="H87" i="9"/>
  <c r="G87" i="9"/>
  <c r="H86" i="9"/>
  <c r="G86" i="9"/>
  <c r="H85" i="9"/>
  <c r="G85" i="9"/>
  <c r="G77" i="9"/>
  <c r="H77" i="9"/>
  <c r="H95" i="9"/>
  <c r="G95" i="9"/>
  <c r="G103" i="9"/>
  <c r="H103" i="9"/>
  <c r="H111" i="9"/>
  <c r="G111" i="9"/>
  <c r="H119" i="9"/>
  <c r="G119" i="9"/>
  <c r="G127" i="9"/>
  <c r="H127" i="9"/>
  <c r="H135" i="9"/>
  <c r="G135" i="9"/>
  <c r="D131" i="7"/>
  <c r="D129" i="13" s="1"/>
  <c r="D123" i="7"/>
  <c r="D115" i="7"/>
  <c r="D107" i="7"/>
  <c r="D105" i="13" s="1"/>
  <c r="D99" i="7"/>
  <c r="D97" i="13" s="1"/>
  <c r="D91" i="7"/>
  <c r="D89" i="13" s="1"/>
  <c r="D83" i="7"/>
  <c r="D81" i="13" s="1"/>
  <c r="D75" i="7"/>
  <c r="H76" i="9"/>
  <c r="G76" i="9"/>
  <c r="H96" i="9"/>
  <c r="G96" i="9"/>
  <c r="H104" i="9"/>
  <c r="G104" i="9"/>
  <c r="G112" i="9"/>
  <c r="H112" i="9"/>
  <c r="H120" i="9"/>
  <c r="G120" i="9"/>
  <c r="H128" i="9"/>
  <c r="G128" i="9"/>
  <c r="H136" i="9"/>
  <c r="G136" i="9"/>
  <c r="D130" i="7"/>
  <c r="D128" i="13" s="1"/>
  <c r="D122" i="7"/>
  <c r="D114" i="7"/>
  <c r="D112" i="13" s="1"/>
  <c r="D106" i="7"/>
  <c r="D98" i="7"/>
  <c r="D90" i="7"/>
  <c r="D82" i="7"/>
  <c r="D80" i="13" s="1"/>
  <c r="D74" i="7"/>
  <c r="H105" i="9"/>
  <c r="G105" i="9"/>
  <c r="G113" i="9"/>
  <c r="H113" i="9"/>
  <c r="H121" i="9"/>
  <c r="G121" i="9"/>
  <c r="H129" i="9"/>
  <c r="G129" i="9"/>
  <c r="D73" i="7"/>
  <c r="N73" i="7" s="1"/>
  <c r="D129" i="7"/>
  <c r="D121" i="7"/>
  <c r="D119" i="13" s="1"/>
  <c r="D113" i="7"/>
  <c r="L111" i="13" s="1"/>
  <c r="D105" i="7"/>
  <c r="L103" i="13" s="1"/>
  <c r="D97" i="7"/>
  <c r="D95" i="13" s="1"/>
  <c r="D89" i="7"/>
  <c r="D87" i="13" s="1"/>
  <c r="D81" i="7"/>
  <c r="F73" i="9"/>
  <c r="H90" i="9"/>
  <c r="G90" i="9"/>
  <c r="H82" i="9"/>
  <c r="G82" i="9"/>
  <c r="H74" i="9"/>
  <c r="G74" i="9"/>
  <c r="H98" i="9"/>
  <c r="G98" i="9"/>
  <c r="H106" i="9"/>
  <c r="G106" i="9"/>
  <c r="H114" i="9"/>
  <c r="G114" i="9"/>
  <c r="H122" i="9"/>
  <c r="G122" i="9"/>
  <c r="H130" i="9"/>
  <c r="G130" i="9"/>
  <c r="D136" i="7"/>
  <c r="D134" i="13" s="1"/>
  <c r="D128" i="7"/>
  <c r="D120" i="7"/>
  <c r="L118" i="13" s="1"/>
  <c r="D112" i="7"/>
  <c r="D110" i="13" s="1"/>
  <c r="D104" i="7"/>
  <c r="D102" i="13" s="1"/>
  <c r="D96" i="7"/>
  <c r="D88" i="7"/>
  <c r="D86" i="13" s="1"/>
  <c r="D80" i="7"/>
  <c r="H83" i="9"/>
  <c r="G83" i="9"/>
  <c r="G75" i="9"/>
  <c r="H75" i="9"/>
  <c r="H81" i="9"/>
  <c r="G81" i="9"/>
  <c r="G91" i="9"/>
  <c r="H91" i="9"/>
  <c r="H99" i="9"/>
  <c r="G99" i="9"/>
  <c r="H107" i="9"/>
  <c r="G107" i="9"/>
  <c r="G115" i="9"/>
  <c r="H115" i="9"/>
  <c r="G123" i="9"/>
  <c r="H123" i="9"/>
  <c r="H131" i="9"/>
  <c r="G131" i="9"/>
  <c r="D135" i="7"/>
  <c r="D127" i="7"/>
  <c r="D125" i="13" s="1"/>
  <c r="D119" i="7"/>
  <c r="D111" i="7"/>
  <c r="D103" i="7"/>
  <c r="D101" i="13" s="1"/>
  <c r="D95" i="7"/>
  <c r="D87" i="7"/>
  <c r="D85" i="13" s="1"/>
  <c r="D79" i="7"/>
  <c r="H80" i="9"/>
  <c r="G80" i="9"/>
  <c r="H92" i="9"/>
  <c r="G92" i="9"/>
  <c r="G100" i="9"/>
  <c r="H100" i="9"/>
  <c r="H108" i="9"/>
  <c r="G108" i="9"/>
  <c r="H116" i="9"/>
  <c r="G116" i="9"/>
  <c r="H124" i="9"/>
  <c r="G124" i="9"/>
  <c r="H132" i="9"/>
  <c r="G132" i="9"/>
  <c r="D134" i="7"/>
  <c r="D126" i="7"/>
  <c r="D118" i="7"/>
  <c r="D110" i="7"/>
  <c r="D108" i="13" s="1"/>
  <c r="D102" i="7"/>
  <c r="D94" i="7"/>
  <c r="D86" i="7"/>
  <c r="D84" i="13" s="1"/>
  <c r="D78" i="7"/>
  <c r="H423" i="9"/>
  <c r="G423" i="9"/>
  <c r="G428" i="9"/>
  <c r="H428" i="9"/>
  <c r="G412" i="9"/>
  <c r="H412" i="9"/>
  <c r="H396" i="9"/>
  <c r="G396" i="9"/>
  <c r="G380" i="9"/>
  <c r="H380" i="9"/>
  <c r="G407" i="9"/>
  <c r="H407" i="9"/>
  <c r="G395" i="9"/>
  <c r="H395" i="9"/>
  <c r="H379" i="9"/>
  <c r="G379" i="9"/>
  <c r="G391" i="9"/>
  <c r="H391" i="9"/>
  <c r="H427" i="9"/>
  <c r="G427" i="9"/>
  <c r="G411" i="9"/>
  <c r="H411" i="9"/>
  <c r="G432" i="9"/>
  <c r="H432" i="9"/>
  <c r="H416" i="9"/>
  <c r="G416" i="9"/>
  <c r="G400" i="9"/>
  <c r="H400" i="9"/>
  <c r="G384" i="9"/>
  <c r="H384" i="9"/>
  <c r="G399" i="9"/>
  <c r="H399" i="9"/>
  <c r="H383" i="9"/>
  <c r="G383" i="9"/>
  <c r="G388" i="9"/>
  <c r="H388" i="9"/>
  <c r="F375" i="9"/>
  <c r="H415" i="9"/>
  <c r="G415" i="9"/>
  <c r="H420" i="9"/>
  <c r="G420" i="9"/>
  <c r="G419" i="9"/>
  <c r="H419" i="9"/>
  <c r="H403" i="9"/>
  <c r="G403" i="9"/>
  <c r="G387" i="9"/>
  <c r="H387" i="9"/>
  <c r="G431" i="9"/>
  <c r="H431" i="9"/>
  <c r="H404" i="9"/>
  <c r="G404" i="9"/>
  <c r="G424" i="9"/>
  <c r="H424" i="9"/>
  <c r="G408" i="9"/>
  <c r="H408" i="9"/>
  <c r="H392" i="9"/>
  <c r="G392" i="9"/>
  <c r="H376" i="9"/>
  <c r="G376" i="9"/>
  <c r="N133" i="7"/>
  <c r="L131" i="13"/>
  <c r="N101" i="7"/>
  <c r="L99" i="13"/>
  <c r="N93" i="7"/>
  <c r="L91" i="13"/>
  <c r="N77" i="7"/>
  <c r="L75" i="13"/>
  <c r="G422" i="9"/>
  <c r="H422" i="9"/>
  <c r="G406" i="9"/>
  <c r="H406" i="9"/>
  <c r="G386" i="9"/>
  <c r="H386" i="9"/>
  <c r="N132" i="7"/>
  <c r="L130" i="13"/>
  <c r="N124" i="7"/>
  <c r="L122" i="13"/>
  <c r="N116" i="7"/>
  <c r="L114" i="13"/>
  <c r="N100" i="7"/>
  <c r="L98" i="13"/>
  <c r="N92" i="7"/>
  <c r="L90" i="13"/>
  <c r="G382" i="9"/>
  <c r="H382" i="9"/>
  <c r="G421" i="9"/>
  <c r="H421" i="9"/>
  <c r="H413" i="9"/>
  <c r="G413" i="9"/>
  <c r="G405" i="9"/>
  <c r="H405" i="9"/>
  <c r="H401" i="9"/>
  <c r="G401" i="9"/>
  <c r="G397" i="9"/>
  <c r="H397" i="9"/>
  <c r="H393" i="9"/>
  <c r="G393" i="9"/>
  <c r="H389" i="9"/>
  <c r="G389" i="9"/>
  <c r="H385" i="9"/>
  <c r="G385" i="9"/>
  <c r="G381" i="9"/>
  <c r="H381" i="9"/>
  <c r="G377" i="9"/>
  <c r="H377" i="9"/>
  <c r="H426" i="9"/>
  <c r="G426" i="9"/>
  <c r="G398" i="9"/>
  <c r="H398" i="9"/>
  <c r="N131" i="7"/>
  <c r="L129" i="13"/>
  <c r="L81" i="13"/>
  <c r="G409" i="9"/>
  <c r="H409" i="9"/>
  <c r="N130" i="7"/>
  <c r="L128" i="13"/>
  <c r="N114" i="7"/>
  <c r="L112" i="13"/>
  <c r="L104" i="13"/>
  <c r="N82" i="7"/>
  <c r="L80" i="13"/>
  <c r="L72" i="13"/>
  <c r="N125" i="7"/>
  <c r="L123" i="13"/>
  <c r="H378" i="9"/>
  <c r="G378" i="9"/>
  <c r="G417" i="9"/>
  <c r="H417" i="9"/>
  <c r="N97" i="7"/>
  <c r="L95" i="13"/>
  <c r="N89" i="7"/>
  <c r="L87" i="13"/>
  <c r="H402" i="9"/>
  <c r="G402" i="9"/>
  <c r="G433" i="9"/>
  <c r="H433" i="9"/>
  <c r="N88" i="7"/>
  <c r="L86" i="13"/>
  <c r="H430" i="9"/>
  <c r="G430" i="9"/>
  <c r="G414" i="9"/>
  <c r="H414" i="9"/>
  <c r="G410" i="9"/>
  <c r="H410" i="9"/>
  <c r="H390" i="9"/>
  <c r="G390" i="9"/>
  <c r="N123" i="7"/>
  <c r="N99" i="7"/>
  <c r="L97" i="13"/>
  <c r="N75" i="7"/>
  <c r="G425" i="9"/>
  <c r="H425" i="9"/>
  <c r="N119" i="7"/>
  <c r="N103" i="7"/>
  <c r="L101" i="13"/>
  <c r="N87" i="7"/>
  <c r="L85" i="13"/>
  <c r="G418" i="9"/>
  <c r="H418" i="9"/>
  <c r="H394" i="9"/>
  <c r="G394" i="9"/>
  <c r="H429" i="9"/>
  <c r="G429" i="9"/>
  <c r="L134" i="13"/>
  <c r="N104" i="7"/>
  <c r="L102" i="13"/>
  <c r="L92" i="13"/>
  <c r="L84" i="13"/>
  <c r="N279" i="7"/>
  <c r="L276" i="13"/>
  <c r="N267" i="7"/>
  <c r="L264" i="13"/>
  <c r="N255" i="7"/>
  <c r="L252" i="13"/>
  <c r="N243" i="7"/>
  <c r="L240" i="13"/>
  <c r="N231" i="7"/>
  <c r="L228" i="13"/>
  <c r="N219" i="7"/>
  <c r="L216" i="13"/>
  <c r="N207" i="7"/>
  <c r="L204" i="13"/>
  <c r="N195" i="7"/>
  <c r="L192" i="13"/>
  <c r="N183" i="7"/>
  <c r="L180" i="13"/>
  <c r="N171" i="7"/>
  <c r="L168" i="13"/>
  <c r="N159" i="7"/>
  <c r="L156" i="13"/>
  <c r="N147" i="7"/>
  <c r="L144" i="13"/>
  <c r="N278" i="7"/>
  <c r="L275" i="13"/>
  <c r="N266" i="7"/>
  <c r="L263" i="13"/>
  <c r="N254" i="7"/>
  <c r="L251" i="13"/>
  <c r="N242" i="7"/>
  <c r="L239" i="13"/>
  <c r="N230" i="7"/>
  <c r="L227" i="13"/>
  <c r="N218" i="7"/>
  <c r="L215" i="13"/>
  <c r="N206" i="7"/>
  <c r="L203" i="13"/>
  <c r="N194" i="7"/>
  <c r="L191" i="13"/>
  <c r="N182" i="7"/>
  <c r="L179" i="13"/>
  <c r="N170" i="7"/>
  <c r="L167" i="13"/>
  <c r="N158" i="7"/>
  <c r="L155" i="13"/>
  <c r="N146" i="7"/>
  <c r="L143" i="13"/>
  <c r="N277" i="7"/>
  <c r="L274" i="13"/>
  <c r="N265" i="7"/>
  <c r="L262" i="13"/>
  <c r="N253" i="7"/>
  <c r="L250" i="13"/>
  <c r="N241" i="7"/>
  <c r="L238" i="13"/>
  <c r="N229" i="7"/>
  <c r="L226" i="13"/>
  <c r="N217" i="7"/>
  <c r="L214" i="13"/>
  <c r="N205" i="7"/>
  <c r="L202" i="13"/>
  <c r="N193" i="7"/>
  <c r="L190" i="13"/>
  <c r="N181" i="7"/>
  <c r="L178" i="13"/>
  <c r="N169" i="7"/>
  <c r="L166" i="13"/>
  <c r="N157" i="7"/>
  <c r="L154" i="13"/>
  <c r="N145" i="7"/>
  <c r="L142" i="13"/>
  <c r="N288" i="7"/>
  <c r="L285" i="13"/>
  <c r="N276" i="7"/>
  <c r="L273" i="13"/>
  <c r="N264" i="7"/>
  <c r="L261" i="13"/>
  <c r="N252" i="7"/>
  <c r="L249" i="13"/>
  <c r="N240" i="7"/>
  <c r="L237" i="13"/>
  <c r="N228" i="7"/>
  <c r="L225" i="13"/>
  <c r="N216" i="7"/>
  <c r="L213" i="13"/>
  <c r="N204" i="7"/>
  <c r="L201" i="13"/>
  <c r="N192" i="7"/>
  <c r="L189" i="13"/>
  <c r="N180" i="7"/>
  <c r="L177" i="13"/>
  <c r="N168" i="7"/>
  <c r="L165" i="13"/>
  <c r="N156" i="7"/>
  <c r="L153" i="13"/>
  <c r="N144" i="7"/>
  <c r="L141" i="13"/>
  <c r="N287" i="7"/>
  <c r="L284" i="13"/>
  <c r="N275" i="7"/>
  <c r="L272" i="13"/>
  <c r="N263" i="7"/>
  <c r="L260" i="13"/>
  <c r="N251" i="7"/>
  <c r="L248" i="13"/>
  <c r="N239" i="7"/>
  <c r="L236" i="13"/>
  <c r="N227" i="7"/>
  <c r="L224" i="13"/>
  <c r="N215" i="7"/>
  <c r="L212" i="13"/>
  <c r="N203" i="7"/>
  <c r="L200" i="13"/>
  <c r="N191" i="7"/>
  <c r="L188" i="13"/>
  <c r="N179" i="7"/>
  <c r="L176" i="13"/>
  <c r="N167" i="7"/>
  <c r="L164" i="13"/>
  <c r="N155" i="7"/>
  <c r="L152" i="13"/>
  <c r="N143" i="7"/>
  <c r="L140" i="13"/>
  <c r="N286" i="7"/>
  <c r="L283" i="13"/>
  <c r="N274" i="7"/>
  <c r="L271" i="13"/>
  <c r="N262" i="7"/>
  <c r="L259" i="13"/>
  <c r="N250" i="7"/>
  <c r="L247" i="13"/>
  <c r="N238" i="7"/>
  <c r="L235" i="13"/>
  <c r="N226" i="7"/>
  <c r="L223" i="13"/>
  <c r="N214" i="7"/>
  <c r="L211" i="13"/>
  <c r="N202" i="7"/>
  <c r="L199" i="13"/>
  <c r="N190" i="7"/>
  <c r="L187" i="13"/>
  <c r="N178" i="7"/>
  <c r="L175" i="13"/>
  <c r="N166" i="7"/>
  <c r="L163" i="13"/>
  <c r="N154" i="7"/>
  <c r="L151" i="13"/>
  <c r="N142" i="7"/>
  <c r="L139" i="13"/>
  <c r="N285" i="7"/>
  <c r="L282" i="13"/>
  <c r="N273" i="7"/>
  <c r="L270" i="13"/>
  <c r="N261" i="7"/>
  <c r="L258" i="13"/>
  <c r="N249" i="7"/>
  <c r="L246" i="13"/>
  <c r="N237" i="7"/>
  <c r="L234" i="13"/>
  <c r="N225" i="7"/>
  <c r="L222" i="13"/>
  <c r="N213" i="7"/>
  <c r="L210" i="13"/>
  <c r="N201" i="7"/>
  <c r="L198" i="13"/>
  <c r="N189" i="7"/>
  <c r="L186" i="13"/>
  <c r="N177" i="7"/>
  <c r="L174" i="13"/>
  <c r="N165" i="7"/>
  <c r="L162" i="13"/>
  <c r="N153" i="7"/>
  <c r="L150" i="13"/>
  <c r="N141" i="7"/>
  <c r="L138" i="13"/>
  <c r="N284" i="7"/>
  <c r="L281" i="13"/>
  <c r="N272" i="7"/>
  <c r="L269" i="13"/>
  <c r="N260" i="7"/>
  <c r="L257" i="13"/>
  <c r="N248" i="7"/>
  <c r="L245" i="13"/>
  <c r="N236" i="7"/>
  <c r="L233" i="13"/>
  <c r="N224" i="7"/>
  <c r="L221" i="13"/>
  <c r="N212" i="7"/>
  <c r="L209" i="13"/>
  <c r="N200" i="7"/>
  <c r="L197" i="13"/>
  <c r="N188" i="7"/>
  <c r="L185" i="13"/>
  <c r="N176" i="7"/>
  <c r="L173" i="13"/>
  <c r="N164" i="7"/>
  <c r="L161" i="13"/>
  <c r="N152" i="7"/>
  <c r="L149" i="13"/>
  <c r="N140" i="7"/>
  <c r="L137" i="13"/>
  <c r="N283" i="7"/>
  <c r="L280" i="13"/>
  <c r="N271" i="7"/>
  <c r="L268" i="13"/>
  <c r="N259" i="7"/>
  <c r="L256" i="13"/>
  <c r="N247" i="7"/>
  <c r="L244" i="13"/>
  <c r="N235" i="7"/>
  <c r="L232" i="13"/>
  <c r="N223" i="7"/>
  <c r="L220" i="13"/>
  <c r="N211" i="7"/>
  <c r="L208" i="13"/>
  <c r="N199" i="7"/>
  <c r="L196" i="13"/>
  <c r="N187" i="7"/>
  <c r="L184" i="13"/>
  <c r="N175" i="7"/>
  <c r="L172" i="13"/>
  <c r="N163" i="7"/>
  <c r="L160" i="13"/>
  <c r="N151" i="7"/>
  <c r="L148" i="13"/>
  <c r="N139" i="7"/>
  <c r="L136" i="13"/>
  <c r="N282" i="7"/>
  <c r="L279" i="13"/>
  <c r="N270" i="7"/>
  <c r="L267" i="13"/>
  <c r="N258" i="7"/>
  <c r="L255" i="13"/>
  <c r="N246" i="7"/>
  <c r="L243" i="13"/>
  <c r="N234" i="7"/>
  <c r="L231" i="13"/>
  <c r="N222" i="7"/>
  <c r="L219" i="13"/>
  <c r="N210" i="7"/>
  <c r="L207" i="13"/>
  <c r="N198" i="7"/>
  <c r="L195" i="13"/>
  <c r="N186" i="7"/>
  <c r="L183" i="13"/>
  <c r="N174" i="7"/>
  <c r="L171" i="13"/>
  <c r="N162" i="7"/>
  <c r="L159" i="13"/>
  <c r="N150" i="7"/>
  <c r="L147" i="13"/>
  <c r="N281" i="7"/>
  <c r="L278" i="13"/>
  <c r="N269" i="7"/>
  <c r="L266" i="13"/>
  <c r="N257" i="7"/>
  <c r="L254" i="13"/>
  <c r="N245" i="7"/>
  <c r="L242" i="13"/>
  <c r="N233" i="7"/>
  <c r="L230" i="13"/>
  <c r="N221" i="7"/>
  <c r="L218" i="13"/>
  <c r="N209" i="7"/>
  <c r="L206" i="13"/>
  <c r="N197" i="7"/>
  <c r="L194" i="13"/>
  <c r="N185" i="7"/>
  <c r="L182" i="13"/>
  <c r="N173" i="7"/>
  <c r="L170" i="13"/>
  <c r="N161" i="7"/>
  <c r="L158" i="13"/>
  <c r="N149" i="7"/>
  <c r="L146" i="13"/>
  <c r="N280" i="7"/>
  <c r="L277" i="13"/>
  <c r="N268" i="7"/>
  <c r="L265" i="13"/>
  <c r="N256" i="7"/>
  <c r="L253" i="13"/>
  <c r="N244" i="7"/>
  <c r="L241" i="13"/>
  <c r="N232" i="7"/>
  <c r="L229" i="13"/>
  <c r="N220" i="7"/>
  <c r="L217" i="13"/>
  <c r="N208" i="7"/>
  <c r="L205" i="13"/>
  <c r="N196" i="7"/>
  <c r="L193" i="13"/>
  <c r="N184" i="7"/>
  <c r="L181" i="13"/>
  <c r="N172" i="7"/>
  <c r="L169" i="13"/>
  <c r="N160" i="7"/>
  <c r="L157" i="13"/>
  <c r="N148" i="7"/>
  <c r="L145" i="13"/>
  <c r="F3" i="9"/>
  <c r="H3" i="9" s="1"/>
  <c r="D2" i="13"/>
  <c r="F36" i="9"/>
  <c r="F13" i="9"/>
  <c r="F71" i="9"/>
  <c r="F70" i="9"/>
  <c r="F58" i="9"/>
  <c r="F46" i="9"/>
  <c r="F34" i="9"/>
  <c r="F22" i="9"/>
  <c r="F10" i="9"/>
  <c r="F25" i="9"/>
  <c r="F48" i="9"/>
  <c r="F69" i="9"/>
  <c r="F57" i="9"/>
  <c r="F45" i="9"/>
  <c r="F33" i="9"/>
  <c r="F21" i="9"/>
  <c r="F9" i="9"/>
  <c r="F68" i="9"/>
  <c r="F56" i="9"/>
  <c r="F44" i="9"/>
  <c r="F32" i="9"/>
  <c r="F20" i="9"/>
  <c r="F8" i="9"/>
  <c r="F31" i="9"/>
  <c r="F19" i="9"/>
  <c r="F7" i="9"/>
  <c r="F49" i="9"/>
  <c r="F12" i="9"/>
  <c r="F6" i="9"/>
  <c r="F55" i="9"/>
  <c r="F66" i="9"/>
  <c r="F18" i="9"/>
  <c r="F65" i="9"/>
  <c r="F53" i="9"/>
  <c r="F41" i="9"/>
  <c r="F29" i="9"/>
  <c r="F17" i="9"/>
  <c r="F5" i="9"/>
  <c r="F24" i="9"/>
  <c r="F67" i="9"/>
  <c r="F54" i="9"/>
  <c r="F64" i="9"/>
  <c r="F52" i="9"/>
  <c r="F40" i="9"/>
  <c r="F28" i="9"/>
  <c r="F16" i="9"/>
  <c r="F37" i="9"/>
  <c r="G37" i="9" s="1"/>
  <c r="F60" i="9"/>
  <c r="F30" i="9"/>
  <c r="F63" i="9"/>
  <c r="F51" i="9"/>
  <c r="F39" i="9"/>
  <c r="F15" i="9"/>
  <c r="F61" i="9"/>
  <c r="F43" i="9"/>
  <c r="F42" i="9"/>
  <c r="F27" i="9"/>
  <c r="H62" i="9"/>
  <c r="G62" i="9"/>
  <c r="G11" i="9"/>
  <c r="H11" i="9"/>
  <c r="H38" i="9"/>
  <c r="G38" i="9"/>
  <c r="H23" i="9"/>
  <c r="G23" i="9"/>
  <c r="G14" i="9"/>
  <c r="H14" i="9"/>
  <c r="G59" i="9"/>
  <c r="H59" i="9"/>
  <c r="H47" i="9"/>
  <c r="G47" i="9"/>
  <c r="N3" i="7"/>
  <c r="N376" i="7"/>
  <c r="N436" i="7"/>
  <c r="O436" i="7" s="1"/>
  <c r="N291" i="7"/>
  <c r="F375" i="7"/>
  <c r="I435" i="7"/>
  <c r="L89" i="13" l="1"/>
  <c r="N91" i="7"/>
  <c r="L115" i="13"/>
  <c r="N117" i="7"/>
  <c r="N86" i="7"/>
  <c r="N136" i="7"/>
  <c r="L105" i="13"/>
  <c r="N107" i="7"/>
  <c r="N126" i="7"/>
  <c r="D124" i="13"/>
  <c r="N128" i="7"/>
  <c r="D126" i="13"/>
  <c r="L83" i="13"/>
  <c r="N134" i="7"/>
  <c r="D132" i="13"/>
  <c r="L127" i="13"/>
  <c r="D127" i="13"/>
  <c r="N90" i="7"/>
  <c r="D88" i="13"/>
  <c r="N76" i="7"/>
  <c r="D74" i="13"/>
  <c r="L107" i="13"/>
  <c r="D107" i="13"/>
  <c r="N85" i="7"/>
  <c r="D71" i="13"/>
  <c r="L71" i="13"/>
  <c r="J72" i="7"/>
  <c r="H25" i="32" s="1"/>
  <c r="X34" i="32" s="1"/>
  <c r="E72" i="7"/>
  <c r="F4" i="32" s="1"/>
  <c r="N98" i="7"/>
  <c r="D96" i="13"/>
  <c r="N115" i="7"/>
  <c r="D113" i="13"/>
  <c r="N84" i="7"/>
  <c r="D82" i="13"/>
  <c r="N106" i="7"/>
  <c r="D104" i="13"/>
  <c r="L121" i="13"/>
  <c r="D121" i="13"/>
  <c r="L125" i="13"/>
  <c r="L119" i="13"/>
  <c r="L77" i="13"/>
  <c r="D77" i="13"/>
  <c r="N127" i="7"/>
  <c r="N121" i="7"/>
  <c r="N122" i="7"/>
  <c r="D120" i="13"/>
  <c r="N108" i="7"/>
  <c r="D106" i="13"/>
  <c r="L76" i="13"/>
  <c r="D76" i="13"/>
  <c r="N95" i="7"/>
  <c r="D93" i="13"/>
  <c r="L78" i="13"/>
  <c r="D78" i="13"/>
  <c r="N81" i="7"/>
  <c r="D79" i="13"/>
  <c r="N105" i="7"/>
  <c r="D103" i="13"/>
  <c r="L110" i="13"/>
  <c r="L108" i="13"/>
  <c r="N112" i="7"/>
  <c r="N110" i="7"/>
  <c r="L126" i="13"/>
  <c r="N94" i="7"/>
  <c r="O94" i="7" s="1"/>
  <c r="D92" i="13"/>
  <c r="N111" i="7"/>
  <c r="D109" i="13"/>
  <c r="N96" i="7"/>
  <c r="D94" i="13"/>
  <c r="L124" i="13"/>
  <c r="N102" i="7"/>
  <c r="D100" i="13"/>
  <c r="L117" i="13"/>
  <c r="D117" i="13"/>
  <c r="L73" i="13"/>
  <c r="D73" i="13"/>
  <c r="N83" i="7"/>
  <c r="N118" i="7"/>
  <c r="D116" i="13"/>
  <c r="N135" i="7"/>
  <c r="D133" i="13"/>
  <c r="N120" i="7"/>
  <c r="D118" i="13"/>
  <c r="N113" i="7"/>
  <c r="D111" i="13"/>
  <c r="N74" i="7"/>
  <c r="D72" i="13"/>
  <c r="L74" i="13"/>
  <c r="L132" i="13"/>
  <c r="O386" i="7"/>
  <c r="L88" i="13"/>
  <c r="R169" i="13"/>
  <c r="R241" i="13"/>
  <c r="R170" i="13"/>
  <c r="R242" i="13"/>
  <c r="R171" i="13"/>
  <c r="R243" i="13"/>
  <c r="R160" i="13"/>
  <c r="R232" i="13"/>
  <c r="R149" i="13"/>
  <c r="R221" i="13"/>
  <c r="R138" i="13"/>
  <c r="R210" i="13"/>
  <c r="R282" i="13"/>
  <c r="R199" i="13"/>
  <c r="R271" i="13"/>
  <c r="R188" i="13"/>
  <c r="R260" i="13"/>
  <c r="R177" i="13"/>
  <c r="R249" i="13"/>
  <c r="R166" i="13"/>
  <c r="R238" i="13"/>
  <c r="R167" i="13"/>
  <c r="R239" i="13"/>
  <c r="R168" i="13"/>
  <c r="R240" i="13"/>
  <c r="R181" i="13"/>
  <c r="R253" i="13"/>
  <c r="R182" i="13"/>
  <c r="R254" i="13"/>
  <c r="R183" i="13"/>
  <c r="R255" i="13"/>
  <c r="R172" i="13"/>
  <c r="R244" i="13"/>
  <c r="R161" i="13"/>
  <c r="R233" i="13"/>
  <c r="R150" i="13"/>
  <c r="R222" i="13"/>
  <c r="R139" i="13"/>
  <c r="R211" i="13"/>
  <c r="R283" i="13"/>
  <c r="R200" i="13"/>
  <c r="R272" i="13"/>
  <c r="R189" i="13"/>
  <c r="R261" i="13"/>
  <c r="R178" i="13"/>
  <c r="R250" i="13"/>
  <c r="R179" i="13"/>
  <c r="R251" i="13"/>
  <c r="R180" i="13"/>
  <c r="R252" i="13"/>
  <c r="R193" i="13"/>
  <c r="R265" i="13"/>
  <c r="R194" i="13"/>
  <c r="R266" i="13"/>
  <c r="R195" i="13"/>
  <c r="R267" i="13"/>
  <c r="R184" i="13"/>
  <c r="R256" i="13"/>
  <c r="R173" i="13"/>
  <c r="R245" i="13"/>
  <c r="R162" i="13"/>
  <c r="R234" i="13"/>
  <c r="R151" i="13"/>
  <c r="R223" i="13"/>
  <c r="R140" i="13"/>
  <c r="R212" i="13"/>
  <c r="R284" i="13"/>
  <c r="R201" i="13"/>
  <c r="R273" i="13"/>
  <c r="R190" i="13"/>
  <c r="R262" i="13"/>
  <c r="R191" i="13"/>
  <c r="R263" i="13"/>
  <c r="R192" i="13"/>
  <c r="R264" i="13"/>
  <c r="R205" i="13"/>
  <c r="R277" i="13"/>
  <c r="R206" i="13"/>
  <c r="R278" i="13"/>
  <c r="R207" i="13"/>
  <c r="R279" i="13"/>
  <c r="R196" i="13"/>
  <c r="R268" i="13"/>
  <c r="R185" i="13"/>
  <c r="R257" i="13"/>
  <c r="R174" i="13"/>
  <c r="R246" i="13"/>
  <c r="R163" i="13"/>
  <c r="R235" i="13"/>
  <c r="R152" i="13"/>
  <c r="R224" i="13"/>
  <c r="R141" i="13"/>
  <c r="R213" i="13"/>
  <c r="R285" i="13"/>
  <c r="R202" i="13"/>
  <c r="R274" i="13"/>
  <c r="R203" i="13"/>
  <c r="R275" i="13"/>
  <c r="R204" i="13"/>
  <c r="R276" i="13"/>
  <c r="R145" i="13"/>
  <c r="R217" i="13"/>
  <c r="R146" i="13"/>
  <c r="R218" i="13"/>
  <c r="R147" i="13"/>
  <c r="R219" i="13"/>
  <c r="R136" i="13"/>
  <c r="R208" i="13"/>
  <c r="R280" i="13"/>
  <c r="R197" i="13"/>
  <c r="R269" i="13"/>
  <c r="R186" i="13"/>
  <c r="R258" i="13"/>
  <c r="R175" i="13"/>
  <c r="R247" i="13"/>
  <c r="R164" i="13"/>
  <c r="R236" i="13"/>
  <c r="R153" i="13"/>
  <c r="R225" i="13"/>
  <c r="R142" i="13"/>
  <c r="R214" i="13"/>
  <c r="R143" i="13"/>
  <c r="R215" i="13"/>
  <c r="R144" i="13"/>
  <c r="R216" i="13"/>
  <c r="R157" i="13"/>
  <c r="R229" i="13"/>
  <c r="R158" i="13"/>
  <c r="R230" i="13"/>
  <c r="R159" i="13"/>
  <c r="R231" i="13"/>
  <c r="R148" i="13"/>
  <c r="R220" i="13"/>
  <c r="R137" i="13"/>
  <c r="R209" i="13"/>
  <c r="R281" i="13"/>
  <c r="R198" i="13"/>
  <c r="R270" i="13"/>
  <c r="R187" i="13"/>
  <c r="R259" i="13"/>
  <c r="R176" i="13"/>
  <c r="R248" i="13"/>
  <c r="R165" i="13"/>
  <c r="R237" i="13"/>
  <c r="R154" i="13"/>
  <c r="R226" i="13"/>
  <c r="R155" i="13"/>
  <c r="R227" i="13"/>
  <c r="R156" i="13"/>
  <c r="R228" i="13"/>
  <c r="G3" i="9"/>
  <c r="L120" i="13"/>
  <c r="L100" i="13"/>
  <c r="L109" i="13"/>
  <c r="N129" i="7"/>
  <c r="L106" i="13"/>
  <c r="N79" i="7"/>
  <c r="L94" i="13"/>
  <c r="L79" i="13"/>
  <c r="N80" i="7"/>
  <c r="L93" i="13"/>
  <c r="N78" i="7"/>
  <c r="F72" i="7"/>
  <c r="G72" i="7" s="1"/>
  <c r="H72" i="7" s="1"/>
  <c r="H73" i="9"/>
  <c r="I73" i="9" s="1"/>
  <c r="J73" i="9" s="1"/>
  <c r="G73" i="9"/>
  <c r="L133" i="13"/>
  <c r="L113" i="13"/>
  <c r="L96" i="13"/>
  <c r="L116" i="13"/>
  <c r="G375" i="9"/>
  <c r="H375" i="9"/>
  <c r="O377" i="7"/>
  <c r="N9" i="7"/>
  <c r="D8" i="13"/>
  <c r="N59" i="7"/>
  <c r="D58" i="13"/>
  <c r="N8" i="7"/>
  <c r="D7" i="13"/>
  <c r="N14" i="7"/>
  <c r="D13" i="13"/>
  <c r="N26" i="7"/>
  <c r="D25" i="13"/>
  <c r="N27" i="7"/>
  <c r="D26" i="13"/>
  <c r="N51" i="7"/>
  <c r="D50" i="13"/>
  <c r="N16" i="7"/>
  <c r="D15" i="13"/>
  <c r="N67" i="7"/>
  <c r="D66" i="13"/>
  <c r="N53" i="7"/>
  <c r="D52" i="13"/>
  <c r="N12" i="7"/>
  <c r="D11" i="13"/>
  <c r="N20" i="7"/>
  <c r="D19" i="13"/>
  <c r="N21" i="7"/>
  <c r="D20" i="13"/>
  <c r="N25" i="7"/>
  <c r="D24" i="13"/>
  <c r="N70" i="7"/>
  <c r="D69" i="13"/>
  <c r="N4" i="7"/>
  <c r="D3" i="13"/>
  <c r="N58" i="7"/>
  <c r="D57" i="13"/>
  <c r="N38" i="7"/>
  <c r="D37" i="13"/>
  <c r="N47" i="7"/>
  <c r="D46" i="13"/>
  <c r="N50" i="7"/>
  <c r="D49" i="13"/>
  <c r="N42" i="7"/>
  <c r="D41" i="13"/>
  <c r="N63" i="7"/>
  <c r="D62" i="13"/>
  <c r="N28" i="7"/>
  <c r="D27" i="13"/>
  <c r="N24" i="7"/>
  <c r="D23" i="13"/>
  <c r="N65" i="7"/>
  <c r="D64" i="13"/>
  <c r="N49" i="7"/>
  <c r="D48" i="13"/>
  <c r="N32" i="7"/>
  <c r="D31" i="13"/>
  <c r="N33" i="7"/>
  <c r="D32" i="13"/>
  <c r="N10" i="7"/>
  <c r="D9" i="13"/>
  <c r="N71" i="7"/>
  <c r="D70" i="13"/>
  <c r="N62" i="7"/>
  <c r="D61" i="13"/>
  <c r="N54" i="7"/>
  <c r="D53" i="13"/>
  <c r="N43" i="7"/>
  <c r="D42" i="13"/>
  <c r="N30" i="7"/>
  <c r="D29" i="13"/>
  <c r="N40" i="7"/>
  <c r="D39" i="13"/>
  <c r="N5" i="7"/>
  <c r="D4" i="13"/>
  <c r="N18" i="7"/>
  <c r="D17" i="13"/>
  <c r="N7" i="7"/>
  <c r="D6" i="13"/>
  <c r="N44" i="7"/>
  <c r="D43" i="13"/>
  <c r="N45" i="7"/>
  <c r="D44" i="13"/>
  <c r="N22" i="7"/>
  <c r="D21" i="13"/>
  <c r="N13" i="7"/>
  <c r="D12" i="13"/>
  <c r="N39" i="7"/>
  <c r="D38" i="13"/>
  <c r="N48" i="7"/>
  <c r="D47" i="13"/>
  <c r="N61" i="7"/>
  <c r="D60" i="13"/>
  <c r="N60" i="7"/>
  <c r="D59" i="13"/>
  <c r="N52" i="7"/>
  <c r="D51" i="13"/>
  <c r="N17" i="7"/>
  <c r="D16" i="13"/>
  <c r="N66" i="7"/>
  <c r="D65" i="13"/>
  <c r="N19" i="7"/>
  <c r="D18" i="13"/>
  <c r="N56" i="7"/>
  <c r="D55" i="13"/>
  <c r="N57" i="7"/>
  <c r="D56" i="13"/>
  <c r="N34" i="7"/>
  <c r="D33" i="13"/>
  <c r="N36" i="7"/>
  <c r="D35" i="13"/>
  <c r="N41" i="7"/>
  <c r="D40" i="13"/>
  <c r="N11" i="7"/>
  <c r="D10" i="13"/>
  <c r="N6" i="7"/>
  <c r="D5" i="13"/>
  <c r="N23" i="7"/>
  <c r="D22" i="13"/>
  <c r="N15" i="7"/>
  <c r="D14" i="13"/>
  <c r="N37" i="7"/>
  <c r="D36" i="13"/>
  <c r="N64" i="7"/>
  <c r="D63" i="13"/>
  <c r="N29" i="7"/>
  <c r="D28" i="13"/>
  <c r="N55" i="7"/>
  <c r="D54" i="13"/>
  <c r="N31" i="7"/>
  <c r="D30" i="13"/>
  <c r="N68" i="7"/>
  <c r="D67" i="13"/>
  <c r="N69" i="7"/>
  <c r="D68" i="13"/>
  <c r="N46" i="7"/>
  <c r="D45" i="13"/>
  <c r="N35" i="7"/>
  <c r="D34" i="13"/>
  <c r="D286" i="13"/>
  <c r="G15" i="9"/>
  <c r="H15" i="9"/>
  <c r="G64" i="9"/>
  <c r="H64" i="9"/>
  <c r="H55" i="9"/>
  <c r="G55" i="9"/>
  <c r="H31" i="9"/>
  <c r="G31" i="9"/>
  <c r="G68" i="9"/>
  <c r="H68" i="9"/>
  <c r="H69" i="9"/>
  <c r="G69" i="9"/>
  <c r="H46" i="9"/>
  <c r="G46" i="9"/>
  <c r="G10" i="9"/>
  <c r="H10" i="9" s="1"/>
  <c r="F4" i="9"/>
  <c r="G54" i="9"/>
  <c r="H54" i="9"/>
  <c r="H41" i="9"/>
  <c r="G41" i="9"/>
  <c r="H6" i="9"/>
  <c r="G6" i="9"/>
  <c r="H8" i="9"/>
  <c r="G8" i="9"/>
  <c r="H9" i="9"/>
  <c r="G9" i="9"/>
  <c r="H58" i="9"/>
  <c r="G58" i="9"/>
  <c r="H27" i="9"/>
  <c r="G27" i="9"/>
  <c r="H51" i="9"/>
  <c r="G51" i="9"/>
  <c r="G67" i="9"/>
  <c r="H67" i="9"/>
  <c r="H53" i="9"/>
  <c r="G53" i="9"/>
  <c r="H20" i="9"/>
  <c r="G20" i="9"/>
  <c r="G21" i="9"/>
  <c r="H21" i="9"/>
  <c r="H25" i="9"/>
  <c r="G25" i="9"/>
  <c r="H70" i="9"/>
  <c r="G70" i="9"/>
  <c r="G16" i="9"/>
  <c r="H16" i="9"/>
  <c r="H42" i="9"/>
  <c r="G42" i="9"/>
  <c r="G63" i="9"/>
  <c r="H63" i="9"/>
  <c r="H24" i="9"/>
  <c r="G24" i="9"/>
  <c r="H65" i="9"/>
  <c r="G65" i="9"/>
  <c r="H49" i="9"/>
  <c r="G49" i="9"/>
  <c r="H32" i="9"/>
  <c r="G32" i="9"/>
  <c r="G33" i="9"/>
  <c r="H33" i="9"/>
  <c r="H71" i="9"/>
  <c r="G71" i="9"/>
  <c r="F2" i="7"/>
  <c r="L3" i="7"/>
  <c r="M3" i="7" s="1"/>
  <c r="H43" i="9"/>
  <c r="G43" i="9"/>
  <c r="H30" i="9"/>
  <c r="G30" i="9"/>
  <c r="H40" i="9"/>
  <c r="G40" i="9"/>
  <c r="H5" i="9"/>
  <c r="G5" i="9"/>
  <c r="H18" i="9"/>
  <c r="G18" i="9"/>
  <c r="G7" i="9"/>
  <c r="H7" i="9"/>
  <c r="G22" i="9"/>
  <c r="H22" i="9"/>
  <c r="H13" i="9"/>
  <c r="G13" i="9"/>
  <c r="H61" i="9"/>
  <c r="G61" i="9"/>
  <c r="G60" i="9"/>
  <c r="H60" i="9"/>
  <c r="G52" i="9"/>
  <c r="H52" i="9"/>
  <c r="G17" i="9"/>
  <c r="H17" i="9"/>
  <c r="H66" i="9"/>
  <c r="G66" i="9"/>
  <c r="H19" i="9"/>
  <c r="G19" i="9"/>
  <c r="G56" i="9"/>
  <c r="H56" i="9"/>
  <c r="H57" i="9"/>
  <c r="G57" i="9"/>
  <c r="G34" i="9"/>
  <c r="H34" i="9"/>
  <c r="G375" i="7"/>
  <c r="H375" i="7" s="1"/>
  <c r="O426" i="7"/>
  <c r="O376" i="7"/>
  <c r="O401" i="7"/>
  <c r="O388" i="7"/>
  <c r="O400" i="7"/>
  <c r="O419" i="7"/>
  <c r="O397" i="7"/>
  <c r="O116" i="7"/>
  <c r="O409" i="7"/>
  <c r="O420" i="7"/>
  <c r="O399" i="7"/>
  <c r="O411" i="7"/>
  <c r="O423" i="7"/>
  <c r="O415" i="7"/>
  <c r="O378" i="7"/>
  <c r="O427" i="7"/>
  <c r="O389" i="7"/>
  <c r="O390" i="7"/>
  <c r="O407" i="7"/>
  <c r="O383" i="7"/>
  <c r="O129" i="7"/>
  <c r="O412" i="7"/>
  <c r="O413" i="7"/>
  <c r="O402" i="7"/>
  <c r="O431" i="7"/>
  <c r="O421" i="7"/>
  <c r="O424" i="7"/>
  <c r="O425" i="7"/>
  <c r="O414" i="7"/>
  <c r="O432" i="7"/>
  <c r="O396" i="7"/>
  <c r="O408" i="7"/>
  <c r="O433" i="7"/>
  <c r="O83" i="7"/>
  <c r="O114" i="7"/>
  <c r="O384" i="7"/>
  <c r="O380" i="7"/>
  <c r="O381" i="7"/>
  <c r="O387" i="7"/>
  <c r="O126" i="7"/>
  <c r="O392" i="7"/>
  <c r="O393" i="7"/>
  <c r="O382" i="7"/>
  <c r="O398" i="7"/>
  <c r="O100" i="7"/>
  <c r="O404" i="7"/>
  <c r="O405" i="7"/>
  <c r="O394" i="7"/>
  <c r="O410" i="7"/>
  <c r="O379" i="7"/>
  <c r="O416" i="7"/>
  <c r="O417" i="7"/>
  <c r="O406" i="7"/>
  <c r="O110" i="7"/>
  <c r="O422" i="7"/>
  <c r="O391" i="7"/>
  <c r="O428" i="7"/>
  <c r="O429" i="7"/>
  <c r="O418" i="7"/>
  <c r="O77" i="7"/>
  <c r="O434" i="7"/>
  <c r="O403" i="7"/>
  <c r="O395" i="7"/>
  <c r="O430" i="7"/>
  <c r="O385" i="7"/>
  <c r="O437" i="7"/>
  <c r="O438" i="7"/>
  <c r="O439" i="7"/>
  <c r="O294" i="7"/>
  <c r="O300" i="7"/>
  <c r="O298" i="7"/>
  <c r="O295" i="7"/>
  <c r="O301" i="7"/>
  <c r="O296" i="7"/>
  <c r="O299" i="7"/>
  <c r="O302" i="7"/>
  <c r="O303" i="7"/>
  <c r="O292" i="7"/>
  <c r="O297" i="7"/>
  <c r="O291" i="7"/>
  <c r="O293" i="7"/>
  <c r="O118" i="7" l="1"/>
  <c r="O90" i="7"/>
  <c r="O91" i="7"/>
  <c r="V5" i="32"/>
  <c r="D4" i="32"/>
  <c r="T5" i="32" s="1"/>
  <c r="E4" i="32"/>
  <c r="U5" i="32" s="1"/>
  <c r="O81" i="7"/>
  <c r="O123" i="7"/>
  <c r="O89" i="7"/>
  <c r="O134" i="7"/>
  <c r="O82" i="7"/>
  <c r="O120" i="7"/>
  <c r="O87" i="7"/>
  <c r="O92" i="7"/>
  <c r="O75" i="7"/>
  <c r="G2" i="7"/>
  <c r="D135" i="13"/>
  <c r="D280" i="13"/>
  <c r="C283" i="9" s="1"/>
  <c r="F283" i="9" s="1"/>
  <c r="D268" i="13"/>
  <c r="C271" i="9" s="1"/>
  <c r="F271" i="9" s="1"/>
  <c r="D256" i="13"/>
  <c r="C259" i="9" s="1"/>
  <c r="D244" i="13"/>
  <c r="C247" i="9" s="1"/>
  <c r="F247" i="9" s="1"/>
  <c r="D232" i="13"/>
  <c r="C235" i="9" s="1"/>
  <c r="F235" i="9" s="1"/>
  <c r="D220" i="13"/>
  <c r="C223" i="9" s="1"/>
  <c r="F223" i="9" s="1"/>
  <c r="D208" i="13"/>
  <c r="C211" i="9" s="1"/>
  <c r="F211" i="9" s="1"/>
  <c r="D196" i="13"/>
  <c r="C199" i="9" s="1"/>
  <c r="F199" i="9" s="1"/>
  <c r="D184" i="13"/>
  <c r="C187" i="9" s="1"/>
  <c r="F187" i="9" s="1"/>
  <c r="D172" i="13"/>
  <c r="C175" i="9" s="1"/>
  <c r="F175" i="9" s="1"/>
  <c r="D160" i="13"/>
  <c r="C163" i="9" s="1"/>
  <c r="F163" i="9" s="1"/>
  <c r="D148" i="13"/>
  <c r="C151" i="9" s="1"/>
  <c r="F151" i="9" s="1"/>
  <c r="D136" i="13"/>
  <c r="C139" i="9" s="1"/>
  <c r="F139" i="9" s="1"/>
  <c r="D185" i="13"/>
  <c r="C188" i="9" s="1"/>
  <c r="F188" i="9" s="1"/>
  <c r="D279" i="13"/>
  <c r="C282" i="9" s="1"/>
  <c r="F282" i="9" s="1"/>
  <c r="D267" i="13"/>
  <c r="C270" i="9" s="1"/>
  <c r="F270" i="9" s="1"/>
  <c r="D255" i="13"/>
  <c r="C258" i="9" s="1"/>
  <c r="F258" i="9" s="1"/>
  <c r="D243" i="13"/>
  <c r="C246" i="9" s="1"/>
  <c r="F246" i="9" s="1"/>
  <c r="D231" i="13"/>
  <c r="C234" i="9" s="1"/>
  <c r="F234" i="9" s="1"/>
  <c r="D219" i="13"/>
  <c r="C222" i="9" s="1"/>
  <c r="F222" i="9" s="1"/>
  <c r="D207" i="13"/>
  <c r="C210" i="9" s="1"/>
  <c r="F210" i="9" s="1"/>
  <c r="D195" i="13"/>
  <c r="C198" i="9" s="1"/>
  <c r="F198" i="9" s="1"/>
  <c r="D183" i="13"/>
  <c r="C186" i="9" s="1"/>
  <c r="F186" i="9" s="1"/>
  <c r="D171" i="13"/>
  <c r="C174" i="9" s="1"/>
  <c r="D159" i="13"/>
  <c r="C162" i="9" s="1"/>
  <c r="D147" i="13"/>
  <c r="C150" i="9" s="1"/>
  <c r="F150" i="9" s="1"/>
  <c r="D197" i="13"/>
  <c r="C200" i="9" s="1"/>
  <c r="D278" i="13"/>
  <c r="C281" i="9" s="1"/>
  <c r="F281" i="9" s="1"/>
  <c r="D266" i="13"/>
  <c r="C269" i="9" s="1"/>
  <c r="F269" i="9" s="1"/>
  <c r="D254" i="13"/>
  <c r="C257" i="9" s="1"/>
  <c r="D242" i="13"/>
  <c r="C245" i="9" s="1"/>
  <c r="F245" i="9" s="1"/>
  <c r="D230" i="13"/>
  <c r="C233" i="9" s="1"/>
  <c r="F233" i="9" s="1"/>
  <c r="D218" i="13"/>
  <c r="C221" i="9" s="1"/>
  <c r="F221" i="9" s="1"/>
  <c r="D206" i="13"/>
  <c r="C209" i="9" s="1"/>
  <c r="F209" i="9" s="1"/>
  <c r="D194" i="13"/>
  <c r="C197" i="9" s="1"/>
  <c r="F197" i="9" s="1"/>
  <c r="D182" i="13"/>
  <c r="C185" i="9" s="1"/>
  <c r="F185" i="9" s="1"/>
  <c r="D170" i="13"/>
  <c r="C173" i="9" s="1"/>
  <c r="D158" i="13"/>
  <c r="C161" i="9" s="1"/>
  <c r="D146" i="13"/>
  <c r="C149" i="9" s="1"/>
  <c r="F149" i="9" s="1"/>
  <c r="D245" i="13"/>
  <c r="C248" i="9" s="1"/>
  <c r="F248" i="9" s="1"/>
  <c r="D277" i="13"/>
  <c r="C280" i="9" s="1"/>
  <c r="F280" i="9" s="1"/>
  <c r="D265" i="13"/>
  <c r="C268" i="9" s="1"/>
  <c r="F268" i="9" s="1"/>
  <c r="D253" i="13"/>
  <c r="C256" i="9" s="1"/>
  <c r="F256" i="9" s="1"/>
  <c r="D241" i="13"/>
  <c r="C244" i="9" s="1"/>
  <c r="F244" i="9" s="1"/>
  <c r="D229" i="13"/>
  <c r="C232" i="9" s="1"/>
  <c r="F232" i="9" s="1"/>
  <c r="D217" i="13"/>
  <c r="C220" i="9" s="1"/>
  <c r="D205" i="13"/>
  <c r="C208" i="9" s="1"/>
  <c r="F208" i="9" s="1"/>
  <c r="D193" i="13"/>
  <c r="C196" i="9" s="1"/>
  <c r="F196" i="9" s="1"/>
  <c r="D181" i="13"/>
  <c r="C184" i="9" s="1"/>
  <c r="F184" i="9" s="1"/>
  <c r="D169" i="13"/>
  <c r="C172" i="9" s="1"/>
  <c r="F172" i="9" s="1"/>
  <c r="D157" i="13"/>
  <c r="C160" i="9" s="1"/>
  <c r="F160" i="9" s="1"/>
  <c r="D145" i="13"/>
  <c r="C148" i="9" s="1"/>
  <c r="F148" i="9" s="1"/>
  <c r="D233" i="13"/>
  <c r="C236" i="9" s="1"/>
  <c r="F236" i="9" s="1"/>
  <c r="D276" i="13"/>
  <c r="C279" i="9" s="1"/>
  <c r="F279" i="9" s="1"/>
  <c r="D264" i="13"/>
  <c r="C267" i="9" s="1"/>
  <c r="F267" i="9" s="1"/>
  <c r="D252" i="13"/>
  <c r="C255" i="9" s="1"/>
  <c r="F255" i="9" s="1"/>
  <c r="D240" i="13"/>
  <c r="C243" i="9" s="1"/>
  <c r="F243" i="9" s="1"/>
  <c r="D228" i="13"/>
  <c r="C231" i="9" s="1"/>
  <c r="F231" i="9" s="1"/>
  <c r="D216" i="13"/>
  <c r="C219" i="9" s="1"/>
  <c r="F219" i="9" s="1"/>
  <c r="D204" i="13"/>
  <c r="C207" i="9" s="1"/>
  <c r="F207" i="9" s="1"/>
  <c r="D192" i="13"/>
  <c r="C195" i="9" s="1"/>
  <c r="F195" i="9" s="1"/>
  <c r="D180" i="13"/>
  <c r="C183" i="9" s="1"/>
  <c r="F183" i="9" s="1"/>
  <c r="D168" i="13"/>
  <c r="C171" i="9" s="1"/>
  <c r="F171" i="9" s="1"/>
  <c r="D156" i="13"/>
  <c r="C159" i="9" s="1"/>
  <c r="F159" i="9" s="1"/>
  <c r="D144" i="13"/>
  <c r="C147" i="9" s="1"/>
  <c r="F147" i="9" s="1"/>
  <c r="D209" i="13"/>
  <c r="C212" i="9" s="1"/>
  <c r="F212" i="9" s="1"/>
  <c r="D275" i="13"/>
  <c r="C278" i="9" s="1"/>
  <c r="F278" i="9" s="1"/>
  <c r="D263" i="13"/>
  <c r="C266" i="9" s="1"/>
  <c r="F266" i="9" s="1"/>
  <c r="D251" i="13"/>
  <c r="C254" i="9" s="1"/>
  <c r="F254" i="9" s="1"/>
  <c r="D239" i="13"/>
  <c r="C242" i="9" s="1"/>
  <c r="F242" i="9" s="1"/>
  <c r="D227" i="13"/>
  <c r="C230" i="9" s="1"/>
  <c r="D215" i="13"/>
  <c r="C218" i="9" s="1"/>
  <c r="F218" i="9" s="1"/>
  <c r="D203" i="13"/>
  <c r="C206" i="9" s="1"/>
  <c r="F206" i="9" s="1"/>
  <c r="D191" i="13"/>
  <c r="C194" i="9" s="1"/>
  <c r="F194" i="9" s="1"/>
  <c r="D179" i="13"/>
  <c r="C182" i="9" s="1"/>
  <c r="F182" i="9" s="1"/>
  <c r="D167" i="13"/>
  <c r="C170" i="9" s="1"/>
  <c r="F170" i="9" s="1"/>
  <c r="D155" i="13"/>
  <c r="C158" i="9" s="1"/>
  <c r="F158" i="9" s="1"/>
  <c r="D143" i="13"/>
  <c r="C146" i="9" s="1"/>
  <c r="F146" i="9" s="1"/>
  <c r="D269" i="13"/>
  <c r="C272" i="9" s="1"/>
  <c r="F272" i="9" s="1"/>
  <c r="D161" i="13"/>
  <c r="C164" i="9" s="1"/>
  <c r="F164" i="9" s="1"/>
  <c r="D274" i="13"/>
  <c r="C277" i="9" s="1"/>
  <c r="F277" i="9" s="1"/>
  <c r="D262" i="13"/>
  <c r="C265" i="9" s="1"/>
  <c r="F265" i="9" s="1"/>
  <c r="D250" i="13"/>
  <c r="C253" i="9" s="1"/>
  <c r="F253" i="9" s="1"/>
  <c r="D238" i="13"/>
  <c r="C241" i="9" s="1"/>
  <c r="F241" i="9" s="1"/>
  <c r="D226" i="13"/>
  <c r="C229" i="9" s="1"/>
  <c r="F229" i="9" s="1"/>
  <c r="D214" i="13"/>
  <c r="C217" i="9" s="1"/>
  <c r="D202" i="13"/>
  <c r="C205" i="9" s="1"/>
  <c r="F205" i="9" s="1"/>
  <c r="D190" i="13"/>
  <c r="C193" i="9" s="1"/>
  <c r="F193" i="9" s="1"/>
  <c r="D178" i="13"/>
  <c r="C181" i="9" s="1"/>
  <c r="D166" i="13"/>
  <c r="C169" i="9" s="1"/>
  <c r="F169" i="9" s="1"/>
  <c r="D154" i="13"/>
  <c r="C157" i="9" s="1"/>
  <c r="F157" i="9" s="1"/>
  <c r="D142" i="13"/>
  <c r="C145" i="9" s="1"/>
  <c r="F145" i="9" s="1"/>
  <c r="D149" i="13"/>
  <c r="C152" i="9" s="1"/>
  <c r="F152" i="9" s="1"/>
  <c r="D285" i="13"/>
  <c r="C288" i="9" s="1"/>
  <c r="F288" i="9" s="1"/>
  <c r="D273" i="13"/>
  <c r="C276" i="9" s="1"/>
  <c r="F276" i="9" s="1"/>
  <c r="D261" i="13"/>
  <c r="C264" i="9" s="1"/>
  <c r="F264" i="9" s="1"/>
  <c r="D249" i="13"/>
  <c r="C252" i="9" s="1"/>
  <c r="D237" i="13"/>
  <c r="C240" i="9" s="1"/>
  <c r="F240" i="9" s="1"/>
  <c r="D225" i="13"/>
  <c r="C228" i="9" s="1"/>
  <c r="D213" i="13"/>
  <c r="C216" i="9" s="1"/>
  <c r="D201" i="13"/>
  <c r="C204" i="9" s="1"/>
  <c r="F204" i="9" s="1"/>
  <c r="D189" i="13"/>
  <c r="C192" i="9" s="1"/>
  <c r="F192" i="9" s="1"/>
  <c r="D177" i="13"/>
  <c r="C180" i="9" s="1"/>
  <c r="F180" i="9" s="1"/>
  <c r="D165" i="13"/>
  <c r="C168" i="9" s="1"/>
  <c r="D153" i="13"/>
  <c r="C156" i="9" s="1"/>
  <c r="F156" i="9" s="1"/>
  <c r="D141" i="13"/>
  <c r="C144" i="9" s="1"/>
  <c r="F144" i="9" s="1"/>
  <c r="D221" i="13"/>
  <c r="C224" i="9" s="1"/>
  <c r="F224" i="9" s="1"/>
  <c r="D284" i="13"/>
  <c r="C287" i="9" s="1"/>
  <c r="F287" i="9" s="1"/>
  <c r="D272" i="13"/>
  <c r="C275" i="9" s="1"/>
  <c r="F275" i="9" s="1"/>
  <c r="D260" i="13"/>
  <c r="C263" i="9" s="1"/>
  <c r="F263" i="9" s="1"/>
  <c r="D248" i="13"/>
  <c r="C251" i="9" s="1"/>
  <c r="D236" i="13"/>
  <c r="C239" i="9" s="1"/>
  <c r="F239" i="9" s="1"/>
  <c r="D224" i="13"/>
  <c r="C227" i="9" s="1"/>
  <c r="D212" i="13"/>
  <c r="C215" i="9" s="1"/>
  <c r="D200" i="13"/>
  <c r="C203" i="9" s="1"/>
  <c r="D188" i="13"/>
  <c r="C191" i="9" s="1"/>
  <c r="F191" i="9" s="1"/>
  <c r="D176" i="13"/>
  <c r="C179" i="9" s="1"/>
  <c r="F179" i="9" s="1"/>
  <c r="D164" i="13"/>
  <c r="C167" i="9" s="1"/>
  <c r="F167" i="9" s="1"/>
  <c r="D152" i="13"/>
  <c r="C155" i="9" s="1"/>
  <c r="F155" i="9" s="1"/>
  <c r="D140" i="13"/>
  <c r="C143" i="9" s="1"/>
  <c r="F143" i="9" s="1"/>
  <c r="D281" i="13"/>
  <c r="C284" i="9" s="1"/>
  <c r="F284" i="9" s="1"/>
  <c r="D137" i="13"/>
  <c r="C140" i="9" s="1"/>
  <c r="F140" i="9" s="1"/>
  <c r="D283" i="13"/>
  <c r="C286" i="9" s="1"/>
  <c r="F286" i="9" s="1"/>
  <c r="D271" i="13"/>
  <c r="C274" i="9" s="1"/>
  <c r="F274" i="9" s="1"/>
  <c r="D259" i="13"/>
  <c r="C262" i="9" s="1"/>
  <c r="F262" i="9" s="1"/>
  <c r="D247" i="13"/>
  <c r="C250" i="9" s="1"/>
  <c r="F250" i="9" s="1"/>
  <c r="D235" i="13"/>
  <c r="C238" i="9" s="1"/>
  <c r="F238" i="9" s="1"/>
  <c r="D223" i="13"/>
  <c r="C226" i="9" s="1"/>
  <c r="D211" i="13"/>
  <c r="C214" i="9" s="1"/>
  <c r="F214" i="9" s="1"/>
  <c r="D199" i="13"/>
  <c r="C202" i="9" s="1"/>
  <c r="F202" i="9" s="1"/>
  <c r="D187" i="13"/>
  <c r="C190" i="9" s="1"/>
  <c r="F190" i="9" s="1"/>
  <c r="D175" i="13"/>
  <c r="C178" i="9" s="1"/>
  <c r="F178" i="9" s="1"/>
  <c r="D163" i="13"/>
  <c r="C166" i="9" s="1"/>
  <c r="D151" i="13"/>
  <c r="C154" i="9" s="1"/>
  <c r="F154" i="9" s="1"/>
  <c r="D139" i="13"/>
  <c r="C142" i="9" s="1"/>
  <c r="F142" i="9" s="1"/>
  <c r="D173" i="13"/>
  <c r="C176" i="9" s="1"/>
  <c r="F176" i="9" s="1"/>
  <c r="D282" i="13"/>
  <c r="C285" i="9" s="1"/>
  <c r="F285" i="9" s="1"/>
  <c r="D270" i="13"/>
  <c r="C273" i="9" s="1"/>
  <c r="F273" i="9" s="1"/>
  <c r="D258" i="13"/>
  <c r="C261" i="9" s="1"/>
  <c r="F261" i="9" s="1"/>
  <c r="D246" i="13"/>
  <c r="C249" i="9" s="1"/>
  <c r="F249" i="9" s="1"/>
  <c r="D234" i="13"/>
  <c r="C237" i="9" s="1"/>
  <c r="F237" i="9" s="1"/>
  <c r="D222" i="13"/>
  <c r="C225" i="9" s="1"/>
  <c r="D210" i="13"/>
  <c r="C213" i="9" s="1"/>
  <c r="F213" i="9" s="1"/>
  <c r="D198" i="13"/>
  <c r="C201" i="9" s="1"/>
  <c r="F201" i="9" s="1"/>
  <c r="D186" i="13"/>
  <c r="C189" i="9" s="1"/>
  <c r="F189" i="9" s="1"/>
  <c r="D174" i="13"/>
  <c r="C177" i="9" s="1"/>
  <c r="F177" i="9" s="1"/>
  <c r="D162" i="13"/>
  <c r="C165" i="9" s="1"/>
  <c r="F165" i="9" s="1"/>
  <c r="D150" i="13"/>
  <c r="C153" i="9" s="1"/>
  <c r="F153" i="9" s="1"/>
  <c r="D138" i="13"/>
  <c r="C141" i="9" s="1"/>
  <c r="F141" i="9" s="1"/>
  <c r="D257" i="13"/>
  <c r="C260" i="9" s="1"/>
  <c r="F260" i="9" s="1"/>
  <c r="I375" i="9"/>
  <c r="L375" i="9"/>
  <c r="M375" i="9"/>
  <c r="L73" i="9"/>
  <c r="M73" i="9"/>
  <c r="R286" i="13"/>
  <c r="O104" i="7"/>
  <c r="O79" i="7"/>
  <c r="O122" i="7"/>
  <c r="O136" i="7"/>
  <c r="O80" i="7"/>
  <c r="O86" i="7"/>
  <c r="O97" i="7"/>
  <c r="O135" i="7"/>
  <c r="O107" i="7"/>
  <c r="O88" i="7"/>
  <c r="O115" i="7"/>
  <c r="O133" i="7"/>
  <c r="O124" i="7"/>
  <c r="O128" i="7"/>
  <c r="O85" i="7"/>
  <c r="O119" i="7"/>
  <c r="O125" i="7"/>
  <c r="O113" i="7"/>
  <c r="O103" i="7"/>
  <c r="O132" i="7"/>
  <c r="O78" i="7"/>
  <c r="O73" i="7"/>
  <c r="O101" i="7"/>
  <c r="O98" i="7"/>
  <c r="O109" i="7"/>
  <c r="O96" i="7"/>
  <c r="O131" i="7"/>
  <c r="O95" i="7"/>
  <c r="O127" i="7"/>
  <c r="O84" i="7"/>
  <c r="O130" i="7"/>
  <c r="O106" i="7"/>
  <c r="O121" i="7"/>
  <c r="O117" i="7"/>
  <c r="O93" i="7"/>
  <c r="O74" i="7"/>
  <c r="O111" i="7"/>
  <c r="O105" i="7"/>
  <c r="O102" i="7"/>
  <c r="O108" i="7"/>
  <c r="O112" i="7"/>
  <c r="O76" i="7"/>
  <c r="O99" i="7"/>
  <c r="I72" i="7"/>
  <c r="H2" i="7"/>
  <c r="I2" i="7" s="1"/>
  <c r="O14" i="7"/>
  <c r="O69" i="7"/>
  <c r="O35" i="7"/>
  <c r="G48" i="9"/>
  <c r="H48" i="9" s="1"/>
  <c r="O36" i="7"/>
  <c r="O43" i="7"/>
  <c r="O47" i="7"/>
  <c r="O29" i="7"/>
  <c r="O65" i="7"/>
  <c r="O20" i="7"/>
  <c r="O37" i="7"/>
  <c r="O66" i="7"/>
  <c r="O71" i="7"/>
  <c r="O26" i="7"/>
  <c r="O11" i="7"/>
  <c r="O59" i="7"/>
  <c r="O28" i="7"/>
  <c r="O18" i="7"/>
  <c r="O25" i="7"/>
  <c r="O21" i="7"/>
  <c r="O24" i="7"/>
  <c r="O48" i="7"/>
  <c r="O23" i="7"/>
  <c r="O33" i="7"/>
  <c r="O50" i="7"/>
  <c r="O17" i="7"/>
  <c r="O52" i="7"/>
  <c r="O16" i="7"/>
  <c r="O70" i="7"/>
  <c r="O45" i="7"/>
  <c r="O57" i="7"/>
  <c r="O62" i="7"/>
  <c r="O40" i="7"/>
  <c r="O31" i="7"/>
  <c r="O46" i="7"/>
  <c r="O7" i="7"/>
  <c r="O6" i="7"/>
  <c r="O44" i="7"/>
  <c r="O53" i="7"/>
  <c r="G45" i="9"/>
  <c r="H45" i="9" s="1"/>
  <c r="G44" i="9"/>
  <c r="H44" i="9" s="1"/>
  <c r="O30" i="7"/>
  <c r="O3" i="7"/>
  <c r="O39" i="7"/>
  <c r="O34" i="7"/>
  <c r="O32" i="7"/>
  <c r="O54" i="7"/>
  <c r="O51" i="7"/>
  <c r="O60" i="7"/>
  <c r="O22" i="7"/>
  <c r="O42" i="7"/>
  <c r="G4" i="9"/>
  <c r="H4" i="9" s="1"/>
  <c r="G28" i="9"/>
  <c r="H28" i="9" s="1"/>
  <c r="G50" i="9"/>
  <c r="H50" i="9" s="1"/>
  <c r="G35" i="9"/>
  <c r="H35" i="9" s="1"/>
  <c r="G26" i="9"/>
  <c r="H26" i="9" s="1"/>
  <c r="G12" i="9"/>
  <c r="H12" i="9" s="1"/>
  <c r="G39" i="9"/>
  <c r="H39" i="9" s="1"/>
  <c r="G29" i="9"/>
  <c r="H29" i="9" s="1"/>
  <c r="O27" i="7"/>
  <c r="O68" i="7"/>
  <c r="O4" i="7"/>
  <c r="O41" i="7"/>
  <c r="O8" i="7"/>
  <c r="H37" i="9"/>
  <c r="O61" i="7"/>
  <c r="O15" i="7"/>
  <c r="O10" i="7"/>
  <c r="O58" i="7"/>
  <c r="O49" i="7"/>
  <c r="O67" i="7"/>
  <c r="O9" i="7"/>
  <c r="O64" i="7"/>
  <c r="O12" i="7"/>
  <c r="O19" i="7"/>
  <c r="O5" i="7"/>
  <c r="O63" i="7"/>
  <c r="O38" i="7"/>
  <c r="O13" i="7"/>
  <c r="O56" i="7"/>
  <c r="O55" i="7"/>
  <c r="G36" i="9"/>
  <c r="H36" i="9" s="1"/>
  <c r="I375" i="7"/>
  <c r="Q290" i="7"/>
  <c r="P290" i="7"/>
  <c r="Q435" i="7"/>
  <c r="P435" i="7"/>
  <c r="D30" i="32" s="1"/>
  <c r="Q375" i="7"/>
  <c r="P375" i="7"/>
  <c r="D29" i="32" s="1"/>
  <c r="T37" i="32" s="1"/>
  <c r="C138" i="9" l="1"/>
  <c r="F138" i="9" s="1"/>
  <c r="G136" i="13"/>
  <c r="E137" i="7" s="1"/>
  <c r="D28" i="32"/>
  <c r="I3" i="9"/>
  <c r="J3" i="9" s="1"/>
  <c r="M3" i="9"/>
  <c r="L3" i="9"/>
  <c r="P72" i="7"/>
  <c r="J375" i="9"/>
  <c r="Q72" i="7"/>
  <c r="D138" i="9"/>
  <c r="K375" i="9"/>
  <c r="K73" i="9"/>
  <c r="P2" i="7"/>
  <c r="Q2" i="7"/>
  <c r="O138" i="7" l="1"/>
  <c r="F6" i="32"/>
  <c r="O205" i="7"/>
  <c r="O273" i="7"/>
  <c r="O149" i="7"/>
  <c r="O226" i="7"/>
  <c r="O248" i="7"/>
  <c r="O147" i="7"/>
  <c r="O282" i="7"/>
  <c r="O139" i="7"/>
  <c r="O264" i="7"/>
  <c r="O283" i="7"/>
  <c r="O240" i="7"/>
  <c r="O219" i="7"/>
  <c r="O266" i="7"/>
  <c r="O184" i="7"/>
  <c r="O251" i="7"/>
  <c r="O174" i="7"/>
  <c r="O144" i="7"/>
  <c r="O197" i="7"/>
  <c r="O232" i="7"/>
  <c r="O239" i="7"/>
  <c r="O141" i="7"/>
  <c r="O234" i="7"/>
  <c r="O155" i="7"/>
  <c r="O171" i="7"/>
  <c r="O271" i="7"/>
  <c r="O252" i="7"/>
  <c r="O193" i="7"/>
  <c r="O160" i="7"/>
  <c r="O247" i="7"/>
  <c r="O159" i="7"/>
  <c r="O249" i="7"/>
  <c r="O203" i="7"/>
  <c r="O188" i="7"/>
  <c r="O208" i="7"/>
  <c r="O241" i="7"/>
  <c r="O187" i="7"/>
  <c r="O158" i="7"/>
  <c r="O258" i="7"/>
  <c r="O274" i="7"/>
  <c r="O173" i="7"/>
  <c r="O230" i="7"/>
  <c r="O285" i="7"/>
  <c r="O223" i="7"/>
  <c r="O181" i="7"/>
  <c r="O182" i="7"/>
  <c r="O227" i="7"/>
  <c r="O243" i="7"/>
  <c r="O154" i="7"/>
  <c r="O165" i="7"/>
  <c r="O256" i="7"/>
  <c r="O221" i="7"/>
  <c r="O225" i="7"/>
  <c r="O244" i="7"/>
  <c r="O224" i="7"/>
  <c r="O259" i="7"/>
  <c r="O276" i="7"/>
  <c r="O229" i="7"/>
  <c r="O142" i="7"/>
  <c r="O260" i="7"/>
  <c r="O233" i="7"/>
  <c r="O216" i="7"/>
  <c r="O164" i="7"/>
  <c r="O170" i="7"/>
  <c r="O176" i="7"/>
  <c r="O196" i="7"/>
  <c r="O146" i="7"/>
  <c r="O175" i="7"/>
  <c r="O156" i="7"/>
  <c r="O195" i="7"/>
  <c r="O209" i="7"/>
  <c r="O215" i="7"/>
  <c r="O166" i="7"/>
  <c r="O179" i="7"/>
  <c r="O152" i="7"/>
  <c r="O190" i="7"/>
  <c r="O185" i="7"/>
  <c r="O242" i="7"/>
  <c r="O186" i="7"/>
  <c r="O218" i="7"/>
  <c r="O255" i="7"/>
  <c r="O286" i="7"/>
  <c r="O153" i="7"/>
  <c r="O265" i="7"/>
  <c r="O145" i="7"/>
  <c r="O172" i="7"/>
  <c r="O169" i="7"/>
  <c r="O261" i="7"/>
  <c r="O162" i="7"/>
  <c r="O192" i="7"/>
  <c r="O210" i="7"/>
  <c r="O262" i="7"/>
  <c r="O257" i="7"/>
  <c r="O275" i="7"/>
  <c r="O246" i="7"/>
  <c r="O278" i="7"/>
  <c r="O201" i="7"/>
  <c r="O213" i="7"/>
  <c r="O207" i="7"/>
  <c r="O163" i="7"/>
  <c r="O235" i="7"/>
  <c r="O157" i="7"/>
  <c r="O211" i="7"/>
  <c r="O189" i="7"/>
  <c r="O217" i="7"/>
  <c r="O200" i="7"/>
  <c r="O284" i="7"/>
  <c r="O206" i="7"/>
  <c r="I137" i="7"/>
  <c r="O267" i="7"/>
  <c r="O180" i="7"/>
  <c r="O214" i="7"/>
  <c r="O220" i="7"/>
  <c r="O198" i="7"/>
  <c r="O183" i="7"/>
  <c r="O250" i="7"/>
  <c r="O269" i="7"/>
  <c r="O178" i="7"/>
  <c r="O161" i="7"/>
  <c r="O238" i="7"/>
  <c r="O231" i="7"/>
  <c r="O177" i="7"/>
  <c r="O212" i="7"/>
  <c r="O268" i="7"/>
  <c r="O254" i="7"/>
  <c r="O143" i="7"/>
  <c r="O272" i="7"/>
  <c r="O202" i="7"/>
  <c r="O288" i="7"/>
  <c r="O140" i="7"/>
  <c r="O263" i="7"/>
  <c r="O148" i="7"/>
  <c r="O287" i="7"/>
  <c r="O270" i="7"/>
  <c r="O191" i="7"/>
  <c r="O167" i="7"/>
  <c r="O228" i="7"/>
  <c r="O279" i="7"/>
  <c r="O236" i="7"/>
  <c r="O150" i="7"/>
  <c r="O237" i="7"/>
  <c r="O151" i="7"/>
  <c r="O253" i="7"/>
  <c r="O199" i="7"/>
  <c r="O194" i="7"/>
  <c r="O245" i="7"/>
  <c r="O277" i="7"/>
  <c r="O222" i="7"/>
  <c r="O280" i="7"/>
  <c r="O168" i="7"/>
  <c r="O204" i="7"/>
  <c r="O281" i="7"/>
  <c r="G276" i="9"/>
  <c r="H276" i="9" s="1"/>
  <c r="G147" i="9"/>
  <c r="H147" i="9" s="1"/>
  <c r="G175" i="9"/>
  <c r="H175" i="9" s="1"/>
  <c r="G277" i="9"/>
  <c r="H277" i="9" s="1"/>
  <c r="G280" i="9"/>
  <c r="H280" i="9" s="1"/>
  <c r="G278" i="9"/>
  <c r="H278" i="9" s="1"/>
  <c r="G261" i="9"/>
  <c r="H261" i="9" s="1"/>
  <c r="G155" i="9"/>
  <c r="H155" i="9" s="1"/>
  <c r="G233" i="9"/>
  <c r="H233" i="9" s="1"/>
  <c r="G287" i="9"/>
  <c r="H287" i="9" s="1"/>
  <c r="G279" i="9"/>
  <c r="H279" i="9" s="1"/>
  <c r="G281" i="9"/>
  <c r="H281" i="9" s="1"/>
  <c r="G285" i="9"/>
  <c r="H285" i="9" s="1"/>
  <c r="G264" i="9"/>
  <c r="H264" i="9" s="1"/>
  <c r="G240" i="9"/>
  <c r="H240" i="9" s="1"/>
  <c r="G282" i="9"/>
  <c r="H282" i="9" s="1"/>
  <c r="G238" i="9"/>
  <c r="H238" i="9" s="1"/>
  <c r="D26" i="32"/>
  <c r="K3" i="9"/>
  <c r="D25" i="32"/>
  <c r="T34" i="32" s="1"/>
  <c r="G187" i="9"/>
  <c r="H187" i="9" s="1"/>
  <c r="G268" i="9"/>
  <c r="H268" i="9" s="1"/>
  <c r="G172" i="9"/>
  <c r="H172" i="9" s="1"/>
  <c r="G269" i="9"/>
  <c r="H269" i="9" s="1"/>
  <c r="G271" i="9"/>
  <c r="H271" i="9" s="1"/>
  <c r="G286" i="9"/>
  <c r="H286" i="9" s="1"/>
  <c r="G265" i="9"/>
  <c r="H265" i="9" s="1"/>
  <c r="G234" i="9"/>
  <c r="H234" i="9" s="1"/>
  <c r="G283" i="9"/>
  <c r="H283" i="9" s="1"/>
  <c r="G146" i="9"/>
  <c r="H146" i="9" s="1"/>
  <c r="G267" i="9"/>
  <c r="H267" i="9" s="1"/>
  <c r="V7" i="32" l="1"/>
  <c r="E6" i="32"/>
  <c r="U7" i="32" s="1"/>
  <c r="D6" i="32"/>
  <c r="T7" i="32" s="1"/>
  <c r="P137" i="7"/>
  <c r="D27" i="32" s="1"/>
  <c r="T36" i="32" s="1"/>
  <c r="A509" i="7"/>
  <c r="Q137" i="7"/>
  <c r="F226" i="9"/>
  <c r="F203" i="9"/>
  <c r="F181" i="9"/>
  <c r="F166" i="9"/>
  <c r="G166" i="9" s="1"/>
  <c r="H166" i="9" s="1"/>
  <c r="F230" i="9"/>
  <c r="F259" i="9"/>
  <c r="F252" i="9"/>
  <c r="F215" i="9"/>
  <c r="F217" i="9"/>
  <c r="F173" i="9"/>
  <c r="F227" i="9"/>
  <c r="F220" i="9"/>
  <c r="F200" i="9"/>
  <c r="F168" i="9"/>
  <c r="F257" i="9"/>
  <c r="F251" i="9"/>
  <c r="F225" i="9"/>
  <c r="F162" i="9"/>
  <c r="F228" i="9"/>
  <c r="F174" i="9"/>
  <c r="F216" i="9"/>
  <c r="F161" i="9" l="1"/>
  <c r="G263" i="9" l="1"/>
  <c r="H263" i="9" s="1"/>
  <c r="G272" i="9"/>
  <c r="H272" i="9" s="1"/>
  <c r="G208" i="9"/>
  <c r="H208" i="9" s="1"/>
  <c r="G288" i="9"/>
  <c r="H288" i="9" s="1"/>
  <c r="G159" i="9"/>
  <c r="H159" i="9" s="1"/>
  <c r="G257" i="9"/>
  <c r="H257" i="9" s="1"/>
  <c r="G206" i="9"/>
  <c r="H206" i="9" s="1"/>
  <c r="G246" i="9"/>
  <c r="H246" i="9" s="1"/>
  <c r="G160" i="9"/>
  <c r="H160" i="9" s="1"/>
  <c r="G235" i="9"/>
  <c r="H235" i="9" s="1"/>
  <c r="G209" i="9"/>
  <c r="H209" i="9" s="1"/>
  <c r="G242" i="9"/>
  <c r="H242" i="9" s="1"/>
  <c r="G198" i="9"/>
  <c r="H198" i="9" s="1"/>
  <c r="G248" i="9"/>
  <c r="H248" i="9" s="1"/>
  <c r="G239" i="9"/>
  <c r="H239" i="9" s="1"/>
  <c r="G260" i="9"/>
  <c r="H260" i="9" s="1"/>
  <c r="G231" i="9"/>
  <c r="H231" i="9" s="1"/>
  <c r="G244" i="9"/>
  <c r="H244" i="9" s="1"/>
  <c r="G245" i="9"/>
  <c r="H245" i="9" s="1"/>
  <c r="G270" i="9"/>
  <c r="H270" i="9" s="1"/>
  <c r="G158" i="9"/>
  <c r="H158" i="9" s="1"/>
  <c r="G167" i="9"/>
  <c r="H167" i="9" s="1"/>
  <c r="G199" i="9"/>
  <c r="H199" i="9" s="1"/>
  <c r="G243" i="9"/>
  <c r="H243" i="9" s="1"/>
  <c r="G165" i="9"/>
  <c r="H165" i="9" s="1"/>
  <c r="G229" i="9"/>
  <c r="H229" i="9" s="1"/>
  <c r="G186" i="9"/>
  <c r="H186" i="9" s="1"/>
  <c r="G236" i="9"/>
  <c r="H236" i="9" s="1"/>
  <c r="G247" i="9"/>
  <c r="H247" i="9" s="1"/>
  <c r="G183" i="9"/>
  <c r="H183" i="9" s="1"/>
  <c r="G253" i="9"/>
  <c r="H253" i="9" s="1"/>
  <c r="G162" i="9"/>
  <c r="H162" i="9" s="1"/>
  <c r="G252" i="9"/>
  <c r="H252" i="9" s="1"/>
  <c r="G225" i="9"/>
  <c r="H225" i="9" s="1"/>
  <c r="G200" i="9"/>
  <c r="H200" i="9" s="1"/>
  <c r="G174" i="9"/>
  <c r="H174" i="9" s="1"/>
  <c r="G181" i="9"/>
  <c r="H181" i="9" s="1"/>
  <c r="G227" i="9"/>
  <c r="H227" i="9" s="1"/>
  <c r="G230" i="9"/>
  <c r="H230" i="9" s="1"/>
  <c r="G220" i="9"/>
  <c r="H220" i="9" s="1"/>
  <c r="G203" i="9"/>
  <c r="H203" i="9" s="1"/>
  <c r="G215" i="9"/>
  <c r="H215" i="9" s="1"/>
  <c r="G168" i="9"/>
  <c r="H168" i="9" s="1"/>
  <c r="G161" i="9"/>
  <c r="H161" i="9" s="1"/>
  <c r="G173" i="9"/>
  <c r="H173" i="9" s="1"/>
  <c r="G217" i="9"/>
  <c r="H217" i="9" s="1"/>
  <c r="G273" i="9"/>
  <c r="H273" i="9" s="1"/>
  <c r="G185" i="9"/>
  <c r="H185" i="9" s="1"/>
  <c r="G212" i="9"/>
  <c r="H212" i="9" s="1"/>
  <c r="G202" i="9"/>
  <c r="H202" i="9" s="1"/>
  <c r="G170" i="9"/>
  <c r="H170" i="9" s="1"/>
  <c r="G144" i="9"/>
  <c r="H144" i="9" s="1"/>
  <c r="G255" i="9"/>
  <c r="H255" i="9" s="1"/>
  <c r="G196" i="9"/>
  <c r="H196" i="9" s="1"/>
  <c r="G138" i="9"/>
  <c r="G139" i="9"/>
  <c r="H139" i="9" s="1"/>
  <c r="G182" i="9"/>
  <c r="H182" i="9" s="1"/>
  <c r="G184" i="9"/>
  <c r="H184" i="9" s="1"/>
  <c r="G256" i="9"/>
  <c r="H256" i="9" s="1"/>
  <c r="G197" i="9"/>
  <c r="H197" i="9" s="1"/>
  <c r="G201" i="9"/>
  <c r="H201" i="9" s="1"/>
  <c r="G157" i="9"/>
  <c r="H157" i="9" s="1"/>
  <c r="G190" i="9"/>
  <c r="H190" i="9" s="1"/>
  <c r="G177" i="9"/>
  <c r="H177" i="9" s="1"/>
  <c r="G192" i="9"/>
  <c r="H192" i="9" s="1"/>
  <c r="G171" i="9"/>
  <c r="H171" i="9" s="1"/>
  <c r="G169" i="9"/>
  <c r="H169" i="9" s="1"/>
  <c r="G266" i="9"/>
  <c r="H266" i="9" s="1"/>
  <c r="G249" i="9"/>
  <c r="H249" i="9" s="1"/>
  <c r="G205" i="9"/>
  <c r="H205" i="9" s="1"/>
  <c r="G156" i="9"/>
  <c r="H156" i="9" s="1"/>
  <c r="G153" i="9"/>
  <c r="H153" i="9" s="1"/>
  <c r="G258" i="9"/>
  <c r="H258" i="9" s="1"/>
  <c r="G237" i="9"/>
  <c r="H237" i="9" s="1"/>
  <c r="G214" i="9"/>
  <c r="H214" i="9" s="1"/>
  <c r="G204" i="9"/>
  <c r="H204" i="9" s="1"/>
  <c r="G150" i="9"/>
  <c r="H150" i="9" s="1"/>
  <c r="G141" i="9"/>
  <c r="H141" i="9" s="1"/>
  <c r="G254" i="9"/>
  <c r="H254" i="9" s="1"/>
  <c r="G152" i="9"/>
  <c r="H152" i="9" s="1"/>
  <c r="G151" i="9"/>
  <c r="H151" i="9" s="1"/>
  <c r="G262" i="9"/>
  <c r="H262" i="9" s="1"/>
  <c r="G211" i="9"/>
  <c r="H211" i="9" s="1"/>
  <c r="G213" i="9"/>
  <c r="H213" i="9" s="1"/>
  <c r="G194" i="9"/>
  <c r="H194" i="9" s="1"/>
  <c r="G149" i="9"/>
  <c r="H149" i="9" s="1"/>
  <c r="G140" i="9"/>
  <c r="H140" i="9" s="1"/>
  <c r="G193" i="9"/>
  <c r="H193" i="9" s="1"/>
  <c r="G154" i="9"/>
  <c r="H154" i="9" s="1"/>
  <c r="G250" i="9"/>
  <c r="H250" i="9" s="1"/>
  <c r="G284" i="9"/>
  <c r="H284" i="9" s="1"/>
  <c r="G223" i="9"/>
  <c r="H223" i="9" s="1"/>
  <c r="G176" i="9"/>
  <c r="H176" i="9" s="1"/>
  <c r="G163" i="9"/>
  <c r="H163" i="9" s="1"/>
  <c r="G222" i="9"/>
  <c r="H222" i="9" s="1"/>
  <c r="G180" i="9"/>
  <c r="H180" i="9" s="1"/>
  <c r="G275" i="9"/>
  <c r="H275" i="9" s="1"/>
  <c r="G189" i="9"/>
  <c r="H189" i="9" s="1"/>
  <c r="G241" i="9"/>
  <c r="H241" i="9" s="1"/>
  <c r="G142" i="9"/>
  <c r="H142" i="9" s="1"/>
  <c r="G218" i="9"/>
  <c r="H218" i="9" s="1"/>
  <c r="G274" i="9"/>
  <c r="H274" i="9" s="1"/>
  <c r="G224" i="9"/>
  <c r="H224" i="9" s="1"/>
  <c r="G210" i="9"/>
  <c r="H210" i="9" s="1"/>
  <c r="G179" i="9"/>
  <c r="H179" i="9" s="1"/>
  <c r="G207" i="9"/>
  <c r="H207" i="9" s="1"/>
  <c r="G145" i="9"/>
  <c r="H145" i="9" s="1"/>
  <c r="G232" i="9"/>
  <c r="H232" i="9" s="1"/>
  <c r="G219" i="9"/>
  <c r="H219" i="9" s="1"/>
  <c r="G221" i="9"/>
  <c r="H221" i="9" s="1"/>
  <c r="G195" i="9"/>
  <c r="H195" i="9" s="1"/>
  <c r="G188" i="9"/>
  <c r="H188" i="9" s="1"/>
  <c r="G191" i="9"/>
  <c r="H191" i="9" s="1"/>
  <c r="G143" i="9"/>
  <c r="H143" i="9" s="1"/>
  <c r="G164" i="9"/>
  <c r="H164" i="9" s="1"/>
  <c r="G148" i="9"/>
  <c r="H148" i="9" s="1"/>
  <c r="G178" i="9"/>
  <c r="H178" i="9" s="1"/>
  <c r="G216" i="9"/>
  <c r="H216" i="9" s="1"/>
  <c r="G259" i="9"/>
  <c r="H259" i="9" s="1"/>
  <c r="G251" i="9"/>
  <c r="H251" i="9" s="1"/>
  <c r="G226" i="9"/>
  <c r="H226" i="9" s="1"/>
  <c r="G228" i="9"/>
  <c r="H228" i="9" s="1"/>
  <c r="H138" i="9" l="1"/>
  <c r="I138" i="9" s="1"/>
  <c r="M138" i="9"/>
  <c r="L138" i="9"/>
  <c r="K138" i="9" l="1"/>
  <c r="J138" i="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tc={33B0F53E-A4C1-4137-8526-1A04D3FD4A1C}</author>
    <author>tc={FFCA375D-D2EC-4AA8-8E07-4FE21BF6481B}</author>
    <author>tc={0C1B59B6-A64C-4290-91C4-EB76121748C7}</author>
    <author>tc={7D288ABE-DEB4-4E8D-B4DC-D1AF152AF2C8}</author>
    <author>tc={85EF8C2D-41D2-4219-BEF5-6FC5979E06C5}</author>
    <author>tc={FD649D0E-0FC9-47C5-9717-FEC12B0C896B}</author>
    <author>tc={4A5778FE-DD6A-4AF4-84E0-1ED7F9B6716A}</author>
    <author>tc={D5E26AA7-4E0F-47AA-A52D-8F56C5349A90}</author>
    <author>tc={CB640162-3AC6-4852-BDFB-FAA52A3F6323}</author>
    <author>tc={0B6E9B95-587F-47AA-9734-DBD768121516}</author>
    <author>tc={73D967D7-BE78-4B30-B9A8-309F07260434}</author>
    <author>tc={82011FF3-3ADF-470F-BAF8-7579557B2E98}</author>
    <author>tc={221091AD-4A93-4AAB-8002-6839E1CED8FB}</author>
    <author>tc={BAE28F43-9FB3-43B5-BFF4-D9C2FCE60253}</author>
    <author>tc={14797F31-8E6F-4195-A4C3-49A77786CB78}</author>
    <author>tc={BDD518F5-DF6D-4961-886A-CA550E9E0F63}</author>
    <author>tc={D9E793E4-960A-4190-A827-769704AE4429}</author>
    <author>tc={0E8F2E6E-5A34-4509-BA60-1E823192B5F3}</author>
    <author>tc={CC9DE87C-FB45-498B-9C27-A90D7F603BD8}</author>
    <author>tc={2CBE6A64-AD92-4E3D-975A-B686EEBC87B7}</author>
    <author>tc={D105CBC3-9D54-4CB0-85F7-FF04A6C4D3EA}</author>
    <author>tc={2F354F63-6A12-43C0-B5D5-F7DB6F738D0D}</author>
    <author>tc={06FA1430-5FA9-4E81-A49A-65764F2433F4}</author>
    <author>tc={EFE831C3-D168-4EAE-B43F-B1B5C837A6C8}</author>
    <author>tc={DEA96882-82F1-4A0D-B988-EC7347D64133}</author>
    <author>tc={7805B530-B1C8-446B-B55C-61ADABC9A72B}</author>
    <author>tc={801881C0-983B-4C3B-B55C-B2DEF0480657}</author>
    <author>tc={C322AD4A-19D5-4021-BEFD-EF7D4FAA5A88}</author>
  </authors>
  <commentList>
    <comment ref="B165" authorId="0" shapeId="0" xr:uid="{33B0F53E-A4C1-4137-8526-1A04D3FD4A1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FN000507 </t>
      </text>
    </comment>
    <comment ref="B166" authorId="1" shapeId="0" xr:uid="{FFCA375D-D2EC-4AA8-8E07-4FE21BF6481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FN010416 </t>
      </text>
    </comment>
    <comment ref="B167" authorId="2" shapeId="0" xr:uid="{0C1B59B6-A64C-4290-91C4-EB76121748C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FN000138 </t>
      </text>
    </comment>
    <comment ref="B168" authorId="3" shapeId="0" xr:uid="{7D288ABE-DEB4-4E8D-B4DC-D1AF152AF2C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FN002420 </t>
      </text>
    </comment>
    <comment ref="B169" authorId="4" shapeId="0" xr:uid="{85EF8C2D-41D2-4219-BEF5-6FC5979E06C5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FN000570 </t>
      </text>
    </comment>
    <comment ref="B170" authorId="5" shapeId="0" xr:uid="{FD649D0E-0FC9-47C5-9717-FEC12B0C896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FN011558 </t>
      </text>
    </comment>
    <comment ref="B171" authorId="6" shapeId="0" xr:uid="{4A5778FE-DD6A-4AF4-84E0-1ED7F9B6716A}">
      <text>
        <t>[Threaded comment]
Your version of Excel allows you to read this threaded comment; however, any edits to it will get removed if the file is opened in a newer version of Excel. Learn more: https://go.microsoft.com/fwlink/?linkid=870924
Comment:
     FN011559</t>
      </text>
    </comment>
    <comment ref="B172" authorId="7" shapeId="0" xr:uid="{D5E26AA7-4E0F-47AA-A52D-8F56C5349A90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FN002393 </t>
      </text>
    </comment>
    <comment ref="B173" authorId="8" shapeId="0" xr:uid="{CB640162-3AC6-4852-BDFB-FAA52A3F632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FN012008 </t>
      </text>
    </comment>
    <comment ref="B174" authorId="9" shapeId="0" xr:uid="{0B6E9B95-587F-47AA-9734-DBD76812151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FN011363 </t>
      </text>
    </comment>
    <comment ref="B175" authorId="10" shapeId="0" xr:uid="{73D967D7-BE78-4B30-B9A8-309F07260434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FN012610 </t>
      </text>
    </comment>
    <comment ref="B176" authorId="11" shapeId="0" xr:uid="{82011FF3-3ADF-470F-BAF8-7579557B2E9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FN011352 </t>
      </text>
    </comment>
    <comment ref="B177" authorId="12" shapeId="0" xr:uid="{221091AD-4A93-4AAB-8002-6839E1CED8F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FN014222 </t>
      </text>
    </comment>
    <comment ref="B178" authorId="13" shapeId="0" xr:uid="{BAE28F43-9FB3-43B5-BFF4-D9C2FCE6025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FN011414 </t>
      </text>
    </comment>
    <comment ref="B179" authorId="14" shapeId="0" xr:uid="{14797F31-8E6F-4195-A4C3-49A77786CB7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FN011413 </t>
      </text>
    </comment>
    <comment ref="B180" authorId="15" shapeId="0" xr:uid="{BDD518F5-DF6D-4961-886A-CA550E9E0F6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FN011848 </t>
      </text>
    </comment>
    <comment ref="B181" authorId="16" shapeId="0" xr:uid="{D9E793E4-960A-4190-A827-769704AE4429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FN006634 </t>
      </text>
    </comment>
    <comment ref="B182" authorId="17" shapeId="0" xr:uid="{0E8F2E6E-5A34-4509-BA60-1E823192B5F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FN006637 </t>
      </text>
    </comment>
    <comment ref="B183" authorId="18" shapeId="0" xr:uid="{CC9DE87C-FB45-498B-9C27-A90D7F603BD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FN011440 </t>
      </text>
    </comment>
    <comment ref="B184" authorId="19" shapeId="0" xr:uid="{2CBE6A64-AD92-4E3D-975A-B686EEBC87B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FN010312 </t>
      </text>
    </comment>
    <comment ref="B185" authorId="20" shapeId="0" xr:uid="{D105CBC3-9D54-4CB0-85F7-FF04A6C4D3EA}">
      <text>
        <t>[Threaded comment]
Your version of Excel allows you to read this threaded comment; however, any edits to it will get removed if the file is opened in a newer version of Excel. Learn more: https://go.microsoft.com/fwlink/?linkid=870924
Comment:
     FN004729</t>
      </text>
    </comment>
    <comment ref="B186" authorId="21" shapeId="0" xr:uid="{2F354F63-6A12-43C0-B5D5-F7DB6F738D0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FN004723 </t>
      </text>
    </comment>
    <comment ref="B187" authorId="22" shapeId="0" xr:uid="{06FA1430-5FA9-4E81-A49A-65764F2433F4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FN011387A </t>
      </text>
    </comment>
    <comment ref="B188" authorId="23" shapeId="0" xr:uid="{EFE831C3-D168-4EAE-B43F-B1B5C837A6C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FN011545 </t>
      </text>
    </comment>
    <comment ref="B189" authorId="24" shapeId="0" xr:uid="{DEA96882-82F1-4A0D-B988-EC7347D6413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FN011544 </t>
      </text>
    </comment>
    <comment ref="B190" authorId="25" shapeId="0" xr:uid="{7805B530-B1C8-446B-B55C-61ADABC9A72B}">
      <text>
        <t>[Threaded comment]
Your version of Excel allows you to read this threaded comment; however, any edits to it will get removed if the file is opened in a newer version of Excel. Learn more: https://go.microsoft.com/fwlink/?linkid=870924
Comment:
     FN011543</t>
      </text>
    </comment>
    <comment ref="B191" authorId="26" shapeId="0" xr:uid="{801881C0-983B-4C3B-B55C-B2DEF048065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FN000216A </t>
      </text>
    </comment>
    <comment ref="B192" authorId="27" shapeId="0" xr:uid="{C322AD4A-19D5-4021-BEFD-EF7D4FAA5A8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FN010022 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tc={69FE56AF-45DE-4C42-89BC-9E31B340F5BF}</author>
    <author>tc={7B554351-DA96-4512-B522-098E5A14CD7E}</author>
    <author>tc={916913C2-DD39-4421-ABF3-0AA0424778AA}</author>
    <author>tc={1B03425D-8A87-43D4-96C5-4FDEBD472CDC}</author>
    <author>tc={B790AEAB-D683-4F58-BC38-2D791F997396}</author>
    <author>tc={07FACDBB-0DDA-41F7-BAD2-9D6990C857D1}</author>
    <author>tc={2B7000F4-7FCD-438F-A3E2-B66BE4888523}</author>
    <author>tc={64847941-1F90-462D-B0D1-03F570C2F860}</author>
    <author>tc={AB603073-D97B-48D0-8D47-E5FBD4A6B548}</author>
    <author>tc={0B12E5C3-AD9F-4B4B-A1DF-E604C7100FF2}</author>
    <author>tc={7021DB69-8EB1-4DCF-A866-F93B38C39F7D}</author>
    <author>tc={0F351A15-BADE-40ED-95F5-6C0462DED169}</author>
    <author>tc={169C4755-F881-4F0E-93A6-23C367A4979D}</author>
    <author>tc={6BDF3F1B-08F1-4940-9892-F1A0F48DC927}</author>
    <author>tc={26D0CF50-3E2C-4C52-A078-EA1AF2256B2B}</author>
    <author>tc={03E602B4-4315-480B-99A8-40C1B7305F3C}</author>
    <author>tc={F85A2D93-4D1D-4AA3-B76B-F4B7AD20EC8D}</author>
    <author>tc={9A02DC96-8708-429E-868F-272B167CB591}</author>
    <author>tc={5045797A-E56F-414E-9CD2-BCF8CBFDF334}</author>
    <author>tc={532217A5-C8BF-42AE-8C12-632C22067C21}</author>
    <author>tc={2FAFE735-33B0-432B-BA74-91306841D046}</author>
    <author>tc={26B7AFD1-CC6F-427F-947C-07498C80FFF2}</author>
    <author>tc={DB418CC5-3456-49F0-AB91-842DD5C92CF1}</author>
    <author>tc={220FF963-782E-4716-BE08-AD4B52E52467}</author>
    <author>tc={106EC608-B366-4CF9-9A16-9521BE5051E4}</author>
    <author>tc={36C9087E-7748-4EA5-9454-078F6DC45C8E}</author>
    <author>tc={E4AA15F2-A2FA-4A7F-BB62-2BBC14D6E69D}</author>
    <author>tc={21C4424B-34FA-4469-B2FB-6BDD7BC8F5B0}</author>
    <author>tc={52932514-AE2C-4A34-BEF6-E2A44F7594B6}</author>
    <author>tc={E0D3A644-891B-4C86-9093-2714383337EC}</author>
    <author>tc={70BAB6FC-73B2-41FB-BDCB-CF5449BAEAAB}</author>
    <author>tc={1743EF23-DA0E-4961-B1D9-C30AAB954FC8}</author>
    <author>tc={ECEC9CDB-AE7A-4769-BDBE-2EDF684C8840}</author>
    <author>tc={0EC890DC-5180-4E82-961C-9D9759D085A7}</author>
    <author>tc={80EC0BF8-C142-4F43-A1B4-3B5CA3C4CB3B}</author>
    <author>tc={538913F0-37B2-4A04-8FBA-B916C9F685FE}</author>
    <author>tc={EBA84451-75E1-4E0B-A0C2-2660AE89D1D7}</author>
    <author>tc={AD796FCB-E1E8-4436-A88E-748A8C3918D9}</author>
    <author>tc={DBCD1274-7117-4A22-A82C-FC93C456FBEF}</author>
    <author>tc={C0662603-AB9C-44AB-BD91-8D5DF03DF826}</author>
    <author>tc={A44BDABC-2145-4AB8-BB7B-93410E934049}</author>
    <author>tc={8239D404-9E51-435F-A557-E33439225752}</author>
    <author>tc={E94CD4A3-78A9-4496-BFAE-EB999405ED8D}</author>
    <author>tc={6AD6CDD6-3900-4787-9985-3B6A43281FB0}</author>
    <author>tc={7D7A0470-B9C6-4DD0-91D1-DFF825511A22}</author>
    <author>tc={26228149-131E-4420-9593-E9C8CDA9B109}</author>
    <author>tc={1B002D1D-08BC-4FE3-A0D7-84C48C481E08}</author>
    <author>tc={83779377-6C7B-4CF8-9883-12D8A10143F2}</author>
    <author>tc={B3F9448A-3E6F-4E94-A6EB-A9883E547A76}</author>
    <author>tc={D3488759-6287-4C28-8B46-B4B1C7FEB6B6}</author>
    <author>tc={3972D4E7-5C10-444C-8A84-F422E3DE297E}</author>
    <author>tc={F0ACB009-5593-4216-9EEF-92431D7128DD}</author>
    <author>tc={408DE673-29BF-4478-9A64-089699DBE275}</author>
    <author>tc={AF83C044-37E5-43E3-9FC0-B46A950A3D73}</author>
    <author>tc={B5FB8B68-459F-444B-B57E-20CF5EE5A540}</author>
    <author>tc={368415E7-ED90-4DC8-8DB0-1C71E2B50628}</author>
  </authors>
  <commentList>
    <comment ref="B41" authorId="0" shapeId="0" xr:uid="{69FE56AF-45DE-4C42-89BC-9E31B340F5BF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FN011558 </t>
      </text>
    </comment>
    <comment ref="R41" authorId="1" shapeId="0" xr:uid="{7B554351-DA96-4512-B522-098E5A14CD7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FN011558 </t>
      </text>
    </comment>
    <comment ref="B42" authorId="2" shapeId="0" xr:uid="{916913C2-DD39-4421-ABF3-0AA0424778AA}">
      <text>
        <t>[Threaded comment]
Your version of Excel allows you to read this threaded comment; however, any edits to it will get removed if the file is opened in a newer version of Excel. Learn more: https://go.microsoft.com/fwlink/?linkid=870924
Comment:
     FN011559</t>
      </text>
    </comment>
    <comment ref="R42" authorId="3" shapeId="0" xr:uid="{1B03425D-8A87-43D4-96C5-4FDEBD472CDC}">
      <text>
        <t>[Threaded comment]
Your version of Excel allows you to read this threaded comment; however, any edits to it will get removed if the file is opened in a newer version of Excel. Learn more: https://go.microsoft.com/fwlink/?linkid=870924
Comment:
     FN011559</t>
      </text>
    </comment>
    <comment ref="B43" authorId="4" shapeId="0" xr:uid="{B790AEAB-D683-4F58-BC38-2D791F99739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FN011545 </t>
      </text>
    </comment>
    <comment ref="R43" authorId="5" shapeId="0" xr:uid="{07FACDBB-0DDA-41F7-BAD2-9D6990C857D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FN011545 </t>
      </text>
    </comment>
    <comment ref="B52" authorId="6" shapeId="0" xr:uid="{2B7000F4-7FCD-438F-A3E2-B66BE488852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FN002393 </t>
      </text>
    </comment>
    <comment ref="R52" authorId="7" shapeId="0" xr:uid="{64847941-1F90-462D-B0D1-03F570C2F860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FN002393 </t>
      </text>
    </comment>
    <comment ref="B53" authorId="8" shapeId="0" xr:uid="{AB603073-D97B-48D0-8D47-E5FBD4A6B54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FN012008 </t>
      </text>
    </comment>
    <comment ref="R53" authorId="9" shapeId="0" xr:uid="{0B12E5C3-AD9F-4B4B-A1DF-E604C7100FF2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FN012008 </t>
      </text>
    </comment>
    <comment ref="B63" authorId="10" shapeId="0" xr:uid="{7021DB69-8EB1-4DCF-A866-F93B38C39F7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FN012610 </t>
      </text>
    </comment>
    <comment ref="R63" authorId="11" shapeId="0" xr:uid="{0F351A15-BADE-40ED-95F5-6C0462DED169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FN012610 </t>
      </text>
    </comment>
    <comment ref="B65" authorId="12" shapeId="0" xr:uid="{169C4755-F881-4F0E-93A6-23C367A4979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FN011363 </t>
      </text>
    </comment>
    <comment ref="R65" authorId="13" shapeId="0" xr:uid="{6BDF3F1B-08F1-4940-9892-F1A0F48DC92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FN011363 </t>
      </text>
    </comment>
    <comment ref="B67" authorId="14" shapeId="0" xr:uid="{26D0CF50-3E2C-4C52-A078-EA1AF2256B2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FN000138 </t>
      </text>
    </comment>
    <comment ref="R67" authorId="15" shapeId="0" xr:uid="{03E602B4-4315-480B-99A8-40C1B7305F3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FN000138 </t>
      </text>
    </comment>
    <comment ref="B68" authorId="16" shapeId="0" xr:uid="{F85A2D93-4D1D-4AA3-B76B-F4B7AD20EC8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FN011352 </t>
      </text>
    </comment>
    <comment ref="R68" authorId="17" shapeId="0" xr:uid="{9A02DC96-8708-429E-868F-272B167CB59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FN011352 </t>
      </text>
    </comment>
    <comment ref="B78" authorId="18" shapeId="0" xr:uid="{5045797A-E56F-414E-9CD2-BCF8CBFDF334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FN014222 </t>
      </text>
    </comment>
    <comment ref="R78" authorId="19" shapeId="0" xr:uid="{532217A5-C8BF-42AE-8C12-632C22067C2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FN014222 </t>
      </text>
    </comment>
    <comment ref="B79" authorId="20" shapeId="0" xr:uid="{2FAFE735-33B0-432B-BA74-91306841D04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FN011414 </t>
      </text>
    </comment>
    <comment ref="R79" authorId="21" shapeId="0" xr:uid="{26B7AFD1-CC6F-427F-947C-07498C80FFF2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FN011414 </t>
      </text>
    </comment>
    <comment ref="B80" authorId="22" shapeId="0" xr:uid="{DB418CC5-3456-49F0-AB91-842DD5C92CF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FN011413 </t>
      </text>
    </comment>
    <comment ref="R80" authorId="23" shapeId="0" xr:uid="{220FF963-782E-4716-BE08-AD4B52E5246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FN011413 </t>
      </text>
    </comment>
    <comment ref="B99" authorId="24" shapeId="0" xr:uid="{106EC608-B366-4CF9-9A16-9521BE5051E4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FN011848 </t>
      </text>
    </comment>
    <comment ref="R99" authorId="25" shapeId="0" xr:uid="{36C9087E-7748-4EA5-9454-078F6DC45C8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FN011848 </t>
      </text>
    </comment>
    <comment ref="B100" authorId="26" shapeId="0" xr:uid="{E4AA15F2-A2FA-4A7F-BB62-2BBC14D6E69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FN006637 </t>
      </text>
    </comment>
    <comment ref="R100" authorId="27" shapeId="0" xr:uid="{21C4424B-34FA-4469-B2FB-6BDD7BC8F5B0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FN006637 </t>
      </text>
    </comment>
    <comment ref="B101" authorId="28" shapeId="0" xr:uid="{52932514-AE2C-4A34-BEF6-E2A44F7594B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FN011440 </t>
      </text>
    </comment>
    <comment ref="R101" authorId="29" shapeId="0" xr:uid="{E0D3A644-891B-4C86-9093-2714383337E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FN011440 </t>
      </text>
    </comment>
    <comment ref="B107" authorId="30" shapeId="0" xr:uid="{70BAB6FC-73B2-41FB-BDCB-CF5449BAEAAB}">
      <text>
        <t>[Threaded comment]
Your version of Excel allows you to read this threaded comment; however, any edits to it will get removed if the file is opened in a newer version of Excel. Learn more: https://go.microsoft.com/fwlink/?linkid=870924
Comment:
     FN004729</t>
      </text>
    </comment>
    <comment ref="R107" authorId="31" shapeId="0" xr:uid="{1743EF23-DA0E-4961-B1D9-C30AAB954FC8}">
      <text>
        <t>[Threaded comment]
Your version of Excel allows you to read this threaded comment; however, any edits to it will get removed if the file is opened in a newer version of Excel. Learn more: https://go.microsoft.com/fwlink/?linkid=870924
Comment:
     FN004729</t>
      </text>
    </comment>
    <comment ref="B108" authorId="32" shapeId="0" xr:uid="{ECEC9CDB-AE7A-4769-BDBE-2EDF684C8840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FN004723 </t>
      </text>
    </comment>
    <comment ref="R108" authorId="33" shapeId="0" xr:uid="{0EC890DC-5180-4E82-961C-9D9759D085A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FN004723 </t>
      </text>
    </comment>
    <comment ref="B113" authorId="34" shapeId="0" xr:uid="{80EC0BF8-C142-4F43-A1B4-3B5CA3C4CB3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FN011387A </t>
      </text>
    </comment>
    <comment ref="R113" authorId="35" shapeId="0" xr:uid="{538913F0-37B2-4A04-8FBA-B916C9F685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FN011387A </t>
      </text>
    </comment>
    <comment ref="B115" authorId="36" shapeId="0" xr:uid="{EBA84451-75E1-4E0B-A0C2-2660AE89D1D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FN011544 </t>
      </text>
    </comment>
    <comment ref="R115" authorId="37" shapeId="0" xr:uid="{AD796FCB-E1E8-4436-A88E-748A8C3918D9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FN011544 </t>
      </text>
    </comment>
    <comment ref="B116" authorId="38" shapeId="0" xr:uid="{DBCD1274-7117-4A22-A82C-FC93C456FBEF}">
      <text>
        <t>[Threaded comment]
Your version of Excel allows you to read this threaded comment; however, any edits to it will get removed if the file is opened in a newer version of Excel. Learn more: https://go.microsoft.com/fwlink/?linkid=870924
Comment:
     FN011543</t>
      </text>
    </comment>
    <comment ref="R116" authorId="39" shapeId="0" xr:uid="{C0662603-AB9C-44AB-BD91-8D5DF03DF826}">
      <text>
        <t>[Threaded comment]
Your version of Excel allows you to read this threaded comment; however, any edits to it will get removed if the file is opened in a newer version of Excel. Learn more: https://go.microsoft.com/fwlink/?linkid=870924
Comment:
     FN011543</t>
      </text>
    </comment>
    <comment ref="B119" authorId="40" shapeId="0" xr:uid="{A44BDABC-2145-4AB8-BB7B-93410E934049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FN000216A </t>
      </text>
    </comment>
    <comment ref="R119" authorId="41" shapeId="0" xr:uid="{8239D404-9E51-435F-A557-E33439225752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FN000216A </t>
      </text>
    </comment>
    <comment ref="B142" authorId="42" shapeId="0" xr:uid="{E94CD4A3-78A9-4496-BFAE-EB999405ED8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FN010416 </t>
      </text>
    </comment>
    <comment ref="R142" authorId="43" shapeId="0" xr:uid="{6AD6CDD6-3900-4787-9985-3B6A43281FB0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FN010416 </t>
      </text>
    </comment>
    <comment ref="B144" authorId="44" shapeId="0" xr:uid="{7D7A0470-B9C6-4DD0-91D1-DFF825511A22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FN000507 </t>
      </text>
    </comment>
    <comment ref="R144" authorId="45" shapeId="0" xr:uid="{26228149-131E-4420-9593-E9C8CDA9B109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FN000507 </t>
      </text>
    </comment>
    <comment ref="B200" authorId="46" shapeId="0" xr:uid="{1B002D1D-08BC-4FE3-A0D7-84C48C481E0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FN006634 </t>
      </text>
    </comment>
    <comment ref="R200" authorId="47" shapeId="0" xr:uid="{83779377-6C7B-4CF8-9883-12D8A10143F2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FN006634 </t>
      </text>
    </comment>
    <comment ref="B203" authorId="48" shapeId="0" xr:uid="{B3F9448A-3E6F-4E94-A6EB-A9883E547A7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FN010022 </t>
      </text>
    </comment>
    <comment ref="R203" authorId="49" shapeId="0" xr:uid="{D3488759-6287-4C28-8B46-B4B1C7FEB6B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FN010022 </t>
      </text>
    </comment>
    <comment ref="B218" authorId="50" shapeId="0" xr:uid="{3972D4E7-5C10-444C-8A84-F422E3DE297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FN002420 </t>
      </text>
    </comment>
    <comment ref="R218" authorId="51" shapeId="0" xr:uid="{F0ACB009-5593-4216-9EEF-92431D7128D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FN002420 </t>
      </text>
    </comment>
    <comment ref="B227" authorId="52" shapeId="0" xr:uid="{408DE673-29BF-4478-9A64-089699DBE275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FN000570 </t>
      </text>
    </comment>
    <comment ref="R227" authorId="53" shapeId="0" xr:uid="{AF83C044-37E5-43E3-9FC0-B46A950A3D7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FN000570 </t>
      </text>
    </comment>
    <comment ref="B230" authorId="54" shapeId="0" xr:uid="{B5FB8B68-459F-444B-B57E-20CF5EE5A540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FN010312 </t>
      </text>
    </comment>
    <comment ref="R230" authorId="55" shapeId="0" xr:uid="{368415E7-ED90-4DC8-8DB0-1C71E2B5062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 FN010312 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<sst xmlns="http://schemas.openxmlformats.org/spreadsheetml/2006/main" count="15339" uniqueCount="2281">
  <si>
    <t xml:space="preserve">DEPARTMENT OF PUBLIC SERVICE STAFF PROPOSAL ON UPDATING LSRV AND DRV FOR VDER COMPENSATION   </t>
  </si>
  <si>
    <t>15-E-0751 -</t>
  </si>
  <si>
    <t>In the Matter of the Value of Distributed Energy Resources.</t>
  </si>
  <si>
    <t>19-E-0283 –</t>
  </si>
  <si>
    <t>Proceeding on Motion of the Commission to Examine Utilities' Marginal Cost of Service Studies.</t>
  </si>
  <si>
    <t xml:space="preserve">This spreadsheet workbook file,  "Staff_DRV_LSRV_Proposal_Workpaper.xlsx” , is being  filed contemporaneously </t>
  </si>
  <si>
    <t xml:space="preserve">with the Staff proposal on DMM. </t>
  </si>
  <si>
    <t>Transmission</t>
  </si>
  <si>
    <t>Substation</t>
  </si>
  <si>
    <t>Primary</t>
  </si>
  <si>
    <t>Transformer</t>
  </si>
  <si>
    <t>Secondary</t>
  </si>
  <si>
    <t>NPV</t>
  </si>
  <si>
    <t>Levelized Cost</t>
  </si>
  <si>
    <t>Total NPV</t>
  </si>
  <si>
    <t>Atlantic</t>
  </si>
  <si>
    <t>Avenue A</t>
  </si>
  <si>
    <t>Bensonhurst No. 1</t>
  </si>
  <si>
    <t>Bensonhurst No. 2</t>
  </si>
  <si>
    <t>Brownsville No. 1</t>
  </si>
  <si>
    <t>Brownsville No. 2</t>
  </si>
  <si>
    <t>Bruckner</t>
  </si>
  <si>
    <t>Cedar Street</t>
  </si>
  <si>
    <t>Corona No. 2</t>
  </si>
  <si>
    <t>East 179th Street</t>
  </si>
  <si>
    <t>East 29th Street</t>
  </si>
  <si>
    <t>Year</t>
  </si>
  <si>
    <t>East 36th Street</t>
  </si>
  <si>
    <t>East 63rd Street No. 1</t>
  </si>
  <si>
    <t>East 63rd Street No. 2</t>
  </si>
  <si>
    <t>East 75th Street</t>
  </si>
  <si>
    <t>Fox Hills 33 kV</t>
  </si>
  <si>
    <t>Fresh Kills 33 kV</t>
  </si>
  <si>
    <t>Gateway Park</t>
  </si>
  <si>
    <t>Glendale</t>
  </si>
  <si>
    <t>Grasslands</t>
  </si>
  <si>
    <t xml:space="preserve">Greenwood </t>
  </si>
  <si>
    <t>Hillside</t>
  </si>
  <si>
    <t>Idlewild</t>
  </si>
  <si>
    <t>Industry City</t>
  </si>
  <si>
    <t>Leonard Street No. 1</t>
  </si>
  <si>
    <t>Millwood West</t>
  </si>
  <si>
    <t>Mott Haven</t>
  </si>
  <si>
    <t>Weighted Average</t>
  </si>
  <si>
    <t>Murray Hill</t>
  </si>
  <si>
    <t>Astor</t>
  </si>
  <si>
    <t>Nevins Street</t>
  </si>
  <si>
    <t>Newtown</t>
  </si>
  <si>
    <t xml:space="preserve">North Queens </t>
  </si>
  <si>
    <t>Parkchester No. 1</t>
  </si>
  <si>
    <t>Parkchester No. 2</t>
  </si>
  <si>
    <t>Parkview</t>
  </si>
  <si>
    <t>Plymouth Street</t>
  </si>
  <si>
    <t>Sherman Creek</t>
  </si>
  <si>
    <t>Buchanan</t>
  </si>
  <si>
    <t>Wainwright</t>
  </si>
  <si>
    <t>Washington Street</t>
  </si>
  <si>
    <t>Cherry Street</t>
  </si>
  <si>
    <t>Water Street</t>
  </si>
  <si>
    <t>Co-Op City/Radial 27kV</t>
  </si>
  <si>
    <t>West 110th Street No. 1</t>
  </si>
  <si>
    <t>Corona No. 1</t>
  </si>
  <si>
    <t>West 42nd Street No. 2</t>
  </si>
  <si>
    <t>West 50th Street</t>
  </si>
  <si>
    <t>West 65th Street No. 1</t>
  </si>
  <si>
    <t>West 65th Street No. 2</t>
  </si>
  <si>
    <t>White Plains</t>
  </si>
  <si>
    <t>East 40th Street No. 1</t>
  </si>
  <si>
    <t>Woodrow</t>
  </si>
  <si>
    <t>East 40th Street No. 2</t>
  </si>
  <si>
    <t>Elmsford No. 2</t>
  </si>
  <si>
    <t>Granite Hill</t>
  </si>
  <si>
    <t>Harrison</t>
  </si>
  <si>
    <t>Hell Gate</t>
  </si>
  <si>
    <t>Jamaica</t>
  </si>
  <si>
    <t>Leonard Street No. 2</t>
  </si>
  <si>
    <t>Ossining West</t>
  </si>
  <si>
    <t>Pleasantville</t>
  </si>
  <si>
    <t>Rockview</t>
  </si>
  <si>
    <t>Seaport No. 1</t>
  </si>
  <si>
    <t>Seaport No. 2</t>
  </si>
  <si>
    <t>Trade Center No. 1</t>
  </si>
  <si>
    <t>West 110th Street No. 2</t>
  </si>
  <si>
    <t>West 19th Street</t>
  </si>
  <si>
    <t>West 42nd Street No. 1</t>
  </si>
  <si>
    <t>Willowbrook</t>
  </si>
  <si>
    <t>Primary Composite Rate</t>
  </si>
  <si>
    <t>Substation Composite Rate</t>
  </si>
  <si>
    <t>Transmission Composite Rate</t>
  </si>
  <si>
    <t>Revised Schedule 3</t>
  </si>
  <si>
    <t>Levelized</t>
  </si>
  <si>
    <t>Costs Escalated</t>
  </si>
  <si>
    <t>kW</t>
  </si>
  <si>
    <t>Composite rates</t>
  </si>
  <si>
    <t>SEM</t>
  </si>
  <si>
    <t>LSRV Threshold</t>
  </si>
  <si>
    <t>MW</t>
  </si>
  <si>
    <t>0</t>
  </si>
  <si>
    <t>Parkchester #2</t>
  </si>
  <si>
    <t>Idlewild (new)</t>
  </si>
  <si>
    <t>Gateway (new)</t>
  </si>
  <si>
    <t>Fox Hills</t>
  </si>
  <si>
    <t>Parkchester #1</t>
  </si>
  <si>
    <t>Nevins Street (new)</t>
  </si>
  <si>
    <t>Hillside (new)</t>
  </si>
  <si>
    <t>Industry City (new)</t>
  </si>
  <si>
    <t>Atlantic (new)</t>
  </si>
  <si>
    <t>Gateway</t>
  </si>
  <si>
    <t>10 year levelized marginal cost at substation level</t>
  </si>
  <si>
    <t>kw</t>
  </si>
  <si>
    <t>local transmission</t>
  </si>
  <si>
    <t>substation</t>
  </si>
  <si>
    <t>local transmission cost</t>
  </si>
  <si>
    <t>substation cost</t>
  </si>
  <si>
    <t>feeder cost</t>
  </si>
  <si>
    <t>total marginal costs</t>
  </si>
  <si>
    <t>Feeder</t>
  </si>
  <si>
    <t>Local Transmission</t>
  </si>
  <si>
    <t>substation +feeder cost</t>
  </si>
  <si>
    <t>transmission cost</t>
  </si>
  <si>
    <t>ellenville</t>
  </si>
  <si>
    <t>clinton ave</t>
  </si>
  <si>
    <t>galeville</t>
  </si>
  <si>
    <t>greenfield rd</t>
  </si>
  <si>
    <t>grimley rd x1</t>
  </si>
  <si>
    <t>grimley rd x2</t>
  </si>
  <si>
    <t>high falls</t>
  </si>
  <si>
    <t>honk falls</t>
  </si>
  <si>
    <t>kerhonkson</t>
  </si>
  <si>
    <t>neversink</t>
  </si>
  <si>
    <t>Hurley-Milan</t>
  </si>
  <si>
    <t>east kingston</t>
  </si>
  <si>
    <t>lincoln park</t>
  </si>
  <si>
    <t>Rhinebeck</t>
  </si>
  <si>
    <t>Mid-Dutchess</t>
  </si>
  <si>
    <t>Knapps corners</t>
  </si>
  <si>
    <t>manchester</t>
  </si>
  <si>
    <t>sand dock distribution</t>
  </si>
  <si>
    <t>sand dock industrial spackenkill</t>
  </si>
  <si>
    <t>Spackenkill</t>
  </si>
  <si>
    <t>Northwest 115/69</t>
  </si>
  <si>
    <t>North Catskill</t>
  </si>
  <si>
    <t>Northwest 115/70</t>
  </si>
  <si>
    <t>Woodstock</t>
  </si>
  <si>
    <t>Northwest 69</t>
  </si>
  <si>
    <t>Saugerties</t>
  </si>
  <si>
    <t>Pleasant valley 69</t>
  </si>
  <si>
    <t>Ancram</t>
  </si>
  <si>
    <t>Pleasant valley 70</t>
  </si>
  <si>
    <t>east park</t>
  </si>
  <si>
    <t>Pleasant valley 71</t>
  </si>
  <si>
    <t>hibernia</t>
  </si>
  <si>
    <t>Pleasant valley 72</t>
  </si>
  <si>
    <t>millerton</t>
  </si>
  <si>
    <t>Pleasant valley 73</t>
  </si>
  <si>
    <t>pulvers 13kv</t>
  </si>
  <si>
    <t>Pleasant valley 74</t>
  </si>
  <si>
    <t>pulvers 34kv</t>
  </si>
  <si>
    <t>Pleasant valley 75</t>
  </si>
  <si>
    <t>smithfield</t>
  </si>
  <si>
    <t>Pleasant valley 76</t>
  </si>
  <si>
    <t>staatsburg</t>
  </si>
  <si>
    <t>Pleasant valley 77</t>
  </si>
  <si>
    <t>stanfordville</t>
  </si>
  <si>
    <t>Pleasant valley 78</t>
  </si>
  <si>
    <t>tinkertown</t>
  </si>
  <si>
    <t>RD RJ lines</t>
  </si>
  <si>
    <t>Bethlehem Rd</t>
  </si>
  <si>
    <t>Union Ave</t>
  </si>
  <si>
    <t>Southern Dutchess</t>
  </si>
  <si>
    <t>Forgebrook</t>
  </si>
  <si>
    <t>Merritt Park</t>
  </si>
  <si>
    <t>Shenandoah Distribution</t>
  </si>
  <si>
    <t>Tioronda</t>
  </si>
  <si>
    <t>Wiccopee</t>
  </si>
  <si>
    <t>Stand Alone</t>
  </si>
  <si>
    <t>Boulevard</t>
  </si>
  <si>
    <t>Coldenham</t>
  </si>
  <si>
    <t>East walden</t>
  </si>
  <si>
    <t>Fishkill Plains</t>
  </si>
  <si>
    <t>Highland</t>
  </si>
  <si>
    <t>Hurley Ave</t>
  </si>
  <si>
    <t>Inwood Ave</t>
  </si>
  <si>
    <t>Marlboro</t>
  </si>
  <si>
    <t>Milan</t>
  </si>
  <si>
    <t>Modena</t>
  </si>
  <si>
    <t>Myers</t>
  </si>
  <si>
    <t>North Chelsea</t>
  </si>
  <si>
    <t>Ohioville</t>
  </si>
  <si>
    <t>Reynolds Hill</t>
  </si>
  <si>
    <t>Sturgeon Pool</t>
  </si>
  <si>
    <t>Todd hill</t>
  </si>
  <si>
    <t>West Balmville</t>
  </si>
  <si>
    <t>WM Line</t>
  </si>
  <si>
    <t>Maybrook</t>
  </si>
  <si>
    <t>Montgomery</t>
  </si>
  <si>
    <t>Westerlo Loop</t>
  </si>
  <si>
    <t>Coxsackie</t>
  </si>
  <si>
    <t>Freehold</t>
  </si>
  <si>
    <t>Hunter</t>
  </si>
  <si>
    <t>Lawrenceville</t>
  </si>
  <si>
    <t>New Baltimore</t>
  </si>
  <si>
    <t>South Cairo</t>
  </si>
  <si>
    <t>Vinegar Hill</t>
  </si>
  <si>
    <t>Westerlo</t>
  </si>
  <si>
    <t>T_Station</t>
  </si>
  <si>
    <t>T_Line</t>
  </si>
  <si>
    <t>D_Station</t>
  </si>
  <si>
    <t>D_Line</t>
  </si>
  <si>
    <t>30 SPILLMAN</t>
  </si>
  <si>
    <t>HAGUE</t>
  </si>
  <si>
    <t>31 STATION</t>
  </si>
  <si>
    <t>GREENBUSH</t>
  </si>
  <si>
    <t>32 BAILEY</t>
  </si>
  <si>
    <t>Sawyer Ave</t>
  </si>
  <si>
    <t>34 BEST ST.</t>
  </si>
  <si>
    <t>BRUNSWICK</t>
  </si>
  <si>
    <t>35 WALDEN</t>
  </si>
  <si>
    <t>STARR RD.</t>
  </si>
  <si>
    <t>38 SPRING</t>
  </si>
  <si>
    <t>New 3rd Ave Substation</t>
  </si>
  <si>
    <t>41 STATION 41</t>
  </si>
  <si>
    <t>THOUSAND ISLANDS</t>
  </si>
  <si>
    <t>51 ELK ST</t>
  </si>
  <si>
    <t>ALTAMONT</t>
  </si>
  <si>
    <t>64 STATION 64</t>
  </si>
  <si>
    <t>68 ELMWOOD</t>
  </si>
  <si>
    <t>BAKER STREET</t>
  </si>
  <si>
    <t>BALLSTON</t>
  </si>
  <si>
    <t>Beech</t>
  </si>
  <si>
    <t>Belmont</t>
  </si>
  <si>
    <t>BETHLEHEM</t>
  </si>
  <si>
    <t>Birch Avenue</t>
  </si>
  <si>
    <t>BATAVIA STATION</t>
  </si>
  <si>
    <t>Gabriels Station</t>
  </si>
  <si>
    <t>Boyntonville</t>
  </si>
  <si>
    <t>Bridgeport</t>
  </si>
  <si>
    <t>Brook Road</t>
  </si>
  <si>
    <t>Buckley</t>
  </si>
  <si>
    <t>Buffalo Station 63</t>
  </si>
  <si>
    <t>54 MAIN</t>
  </si>
  <si>
    <t>Buffalo Station 54</t>
  </si>
  <si>
    <t>61 STATION 61</t>
  </si>
  <si>
    <t>Brunswick</t>
  </si>
  <si>
    <t>Buffalo Station 122</t>
  </si>
  <si>
    <t>Buffalo Station 25</t>
  </si>
  <si>
    <t>Buffalo Station 45</t>
  </si>
  <si>
    <t>Burgoyne</t>
  </si>
  <si>
    <t>Butler</t>
  </si>
  <si>
    <t>New Buffalo Station 97</t>
  </si>
  <si>
    <t>CHAUTAUQUA</t>
  </si>
  <si>
    <t>Burdeck</t>
  </si>
  <si>
    <t>Cleveland</t>
  </si>
  <si>
    <t>Clintion Station</t>
  </si>
  <si>
    <t>171 BURT</t>
  </si>
  <si>
    <t>COBLESKILL</t>
  </si>
  <si>
    <t>Coffeen</t>
  </si>
  <si>
    <t>Butternut</t>
  </si>
  <si>
    <t>Commerce</t>
  </si>
  <si>
    <t>Cedar</t>
  </si>
  <si>
    <t>Corinth</t>
  </si>
  <si>
    <t>Chestertown</t>
  </si>
  <si>
    <t>CURTIS GREENFIELD</t>
  </si>
  <si>
    <t>New Cicero Substation</t>
  </si>
  <si>
    <t>Delameter</t>
  </si>
  <si>
    <t>Delanson</t>
  </si>
  <si>
    <t>RUSSELL RD</t>
  </si>
  <si>
    <t>Delmar</t>
  </si>
  <si>
    <t>Dorwin</t>
  </si>
  <si>
    <t>Vail Mills</t>
  </si>
  <si>
    <t>EAST GOLAH</t>
  </si>
  <si>
    <t>East Molloy</t>
  </si>
  <si>
    <t>East Pulaski</t>
  </si>
  <si>
    <t>East Fulton</t>
  </si>
  <si>
    <t>EDEN CENTER</t>
  </si>
  <si>
    <t>Fayette St</t>
  </si>
  <si>
    <t>FIREHOUSE</t>
  </si>
  <si>
    <t>Florida</t>
  </si>
  <si>
    <t>East Schodack</t>
  </si>
  <si>
    <t>FRENCH MOUNTAIN</t>
  </si>
  <si>
    <t>Gilbert Mills</t>
  </si>
  <si>
    <t>Everett</t>
  </si>
  <si>
    <t>Gilmantown</t>
  </si>
  <si>
    <t>GLOVERSVILLE</t>
  </si>
  <si>
    <t>GRANBY CENTER</t>
  </si>
  <si>
    <t>Grand Island</t>
  </si>
  <si>
    <t>Geneseo</t>
  </si>
  <si>
    <t>Inman</t>
  </si>
  <si>
    <t>Karner</t>
  </si>
  <si>
    <t>Kenmore Station 22</t>
  </si>
  <si>
    <t>Lakeville</t>
  </si>
  <si>
    <t>New Greenwich Substation</t>
  </si>
  <si>
    <t>Liberty Street</t>
  </si>
  <si>
    <t>GROOMS</t>
  </si>
  <si>
    <t>LYNDONVILLE</t>
  </si>
  <si>
    <t>Hemstreet</t>
  </si>
  <si>
    <t>McClellan</t>
  </si>
  <si>
    <t>Indian Lake</t>
  </si>
  <si>
    <t>Middleburgh</t>
  </si>
  <si>
    <t>Middleport</t>
  </si>
  <si>
    <t>Middleville</t>
  </si>
  <si>
    <t>Nassau</t>
  </si>
  <si>
    <t>LASHER</t>
  </si>
  <si>
    <t>NEW KRUMKILL</t>
  </si>
  <si>
    <t>Latham</t>
  </si>
  <si>
    <t>NEWTONVILLE</t>
  </si>
  <si>
    <t>NORTH COLLINS</t>
  </si>
  <si>
    <t>Livonia</t>
  </si>
  <si>
    <t>North Leroy</t>
  </si>
  <si>
    <t>37 HUDSON AVE</t>
  </si>
  <si>
    <t>Northville Station</t>
  </si>
  <si>
    <t>Lowville</t>
  </si>
  <si>
    <t>Partridge</t>
  </si>
  <si>
    <t>PINEBUSH</t>
  </si>
  <si>
    <t>Mayfield</t>
  </si>
  <si>
    <t>Port Henry</t>
  </si>
  <si>
    <t>Mexico</t>
  </si>
  <si>
    <t>Raquette Lake</t>
  </si>
  <si>
    <t>RIVERSIDE</t>
  </si>
  <si>
    <t>Rome Substation</t>
  </si>
  <si>
    <t>New Cuba Station</t>
  </si>
  <si>
    <t>Rotterdam</t>
  </si>
  <si>
    <t>New Livingston Substation</t>
  </si>
  <si>
    <t>Hague</t>
  </si>
  <si>
    <t>Schenevus</t>
  </si>
  <si>
    <t>Ogdenbrook</t>
  </si>
  <si>
    <t>SCHROON LAKE</t>
  </si>
  <si>
    <t>Otten</t>
  </si>
  <si>
    <t>Scofield</t>
  </si>
  <si>
    <t>Paloma</t>
  </si>
  <si>
    <t>Scotia</t>
  </si>
  <si>
    <t>SELKIRK</t>
  </si>
  <si>
    <t>Peat</t>
  </si>
  <si>
    <t>Sharon</t>
  </si>
  <si>
    <t>Shawnee Rd Station 76</t>
  </si>
  <si>
    <t>Pottersville</t>
  </si>
  <si>
    <t>Smith Bridge Station</t>
  </si>
  <si>
    <t>South Street</t>
  </si>
  <si>
    <t>North Chautauqua</t>
  </si>
  <si>
    <t>South Washington</t>
  </si>
  <si>
    <t>Station 140</t>
  </si>
  <si>
    <t>Station 3012</t>
  </si>
  <si>
    <t>Station 61</t>
  </si>
  <si>
    <t>Summit</t>
  </si>
  <si>
    <t>Schodack</t>
  </si>
  <si>
    <t>Swaggertown</t>
  </si>
  <si>
    <t>Swann Rd</t>
  </si>
  <si>
    <t>Transm Net</t>
  </si>
  <si>
    <t>OTTEN</t>
  </si>
  <si>
    <t>78 FASSETT ST.</t>
  </si>
  <si>
    <t>TULLER HILL</t>
  </si>
  <si>
    <t>Pinebush</t>
  </si>
  <si>
    <t>UNIONVILLE</t>
  </si>
  <si>
    <t>214 Station</t>
  </si>
  <si>
    <t>Valkin</t>
  </si>
  <si>
    <t>Van Hoesen</t>
  </si>
  <si>
    <t>Voorheesville</t>
  </si>
  <si>
    <t>Walesville</t>
  </si>
  <si>
    <t>Warrensburg</t>
  </si>
  <si>
    <t>Watt</t>
  </si>
  <si>
    <t>WEAVER ST</t>
  </si>
  <si>
    <t>Wells</t>
  </si>
  <si>
    <t>Whitesboro</t>
  </si>
  <si>
    <t>WOLF RD.</t>
  </si>
  <si>
    <t>VAIL MILLS</t>
  </si>
  <si>
    <t>Total Substations</t>
  </si>
  <si>
    <t>NEW YORK STATE ELECTRIC AND GAS CORPORATION</t>
  </si>
  <si>
    <t>SUMMARY  OF CUMULATIVE ECONOMIC CARRYING CHARGES BY SUBSTATION AREA</t>
  </si>
  <si>
    <t>Updated Version of NYSEG</t>
  </si>
  <si>
    <t>NYSEG</t>
  </si>
  <si>
    <t>Annualized Marginal Cost per kW-yr, Nominal $</t>
  </si>
  <si>
    <t xml:space="preserve"> Cumulative Annual Marginal Cost per kW-yr, Nominal $</t>
  </si>
  <si>
    <t xml:space="preserve">Division </t>
  </si>
  <si>
    <t>Substation  ID</t>
  </si>
  <si>
    <t>Upstream Substation (115 kV/ 46 kV/34 kV)</t>
  </si>
  <si>
    <t>Upstream Feeder 115 kV or 34.5 kV</t>
  </si>
  <si>
    <t>Distribution Substation (12.5 kV)</t>
  </si>
  <si>
    <t>Distribution Primary Feeder 12.5 kV</t>
  </si>
  <si>
    <t>ECC</t>
  </si>
  <si>
    <t>Working Capital Rev Req</t>
  </si>
  <si>
    <t>Upstream Substation (115 kV/46 kV/34 kV)</t>
  </si>
  <si>
    <t>Upstream</t>
  </si>
  <si>
    <t>Distribution</t>
  </si>
  <si>
    <t>SYSTEM Wide MCOS</t>
  </si>
  <si>
    <t>Wacc</t>
  </si>
  <si>
    <t xml:space="preserve">Total </t>
  </si>
  <si>
    <t>Annual MC</t>
  </si>
  <si>
    <t>System MCOS</t>
  </si>
  <si>
    <t>Sum MW</t>
  </si>
  <si>
    <t>Weighted MC</t>
  </si>
  <si>
    <t>Auburn</t>
  </si>
  <si>
    <t>Center Point</t>
  </si>
  <si>
    <t>Grant Ave</t>
  </si>
  <si>
    <t>Stryker Ave</t>
  </si>
  <si>
    <t>State St</t>
  </si>
  <si>
    <t>Scipio new</t>
  </si>
  <si>
    <t>Genoa</t>
  </si>
  <si>
    <t>Aurora</t>
  </si>
  <si>
    <t xml:space="preserve">Chenango </t>
  </si>
  <si>
    <t>Morningside Heights</t>
  </si>
  <si>
    <t>Nowlan Road</t>
  </si>
  <si>
    <t/>
  </si>
  <si>
    <t>Greene</t>
  </si>
  <si>
    <t>Sanataria Springs</t>
  </si>
  <si>
    <t>Kattleville</t>
  </si>
  <si>
    <t xml:space="preserve">Lounsberry </t>
  </si>
  <si>
    <t>N. Endicott</t>
  </si>
  <si>
    <t>Cantitoe</t>
  </si>
  <si>
    <t>Pawling</t>
  </si>
  <si>
    <t>Croton Falls</t>
  </si>
  <si>
    <t>Dingle Ridge</t>
  </si>
  <si>
    <t>Crafts</t>
  </si>
  <si>
    <t>Pound Ridge</t>
  </si>
  <si>
    <t>West Elmira</t>
  </si>
  <si>
    <t>Erwin Junction</t>
  </si>
  <si>
    <t>Montour falls</t>
  </si>
  <si>
    <t>From Erwin to Presho</t>
  </si>
  <si>
    <t>West Erie AV</t>
  </si>
  <si>
    <t>Clyde</t>
  </si>
  <si>
    <t>Mac Dougall</t>
  </si>
  <si>
    <t>Milo</t>
  </si>
  <si>
    <t>Sleight Rd</t>
  </si>
  <si>
    <t>Border City</t>
  </si>
  <si>
    <t>Webb Crossing</t>
  </si>
  <si>
    <t>Silver Springs</t>
  </si>
  <si>
    <t>Moraine Rd</t>
  </si>
  <si>
    <t xml:space="preserve">Bennett </t>
  </si>
  <si>
    <t>Fourth Street</t>
  </si>
  <si>
    <t>Coddington</t>
  </si>
  <si>
    <t>Line 455</t>
  </si>
  <si>
    <t>Burdett</t>
  </si>
  <si>
    <t>County Hospital</t>
  </si>
  <si>
    <t>Valois</t>
  </si>
  <si>
    <t>Trumansburg</t>
  </si>
  <si>
    <t>Willard</t>
  </si>
  <si>
    <t>Milliken</t>
  </si>
  <si>
    <t>Cayuga Heights</t>
  </si>
  <si>
    <t>Locke</t>
  </si>
  <si>
    <t>Peruville</t>
  </si>
  <si>
    <t>Orchard Park</t>
  </si>
  <si>
    <t>Erie St</t>
  </si>
  <si>
    <t>Hamburg</t>
  </si>
  <si>
    <t>Holland</t>
  </si>
  <si>
    <t>South Park</t>
  </si>
  <si>
    <t>Cobble Hill</t>
  </si>
  <si>
    <t>Line 706</t>
  </si>
  <si>
    <t>Stolle Rd.</t>
  </si>
  <si>
    <t>Ferndale</t>
  </si>
  <si>
    <t>Maplewood</t>
  </si>
  <si>
    <t>Hilldale</t>
  </si>
  <si>
    <t>Neversink</t>
  </si>
  <si>
    <t>Concord</t>
  </si>
  <si>
    <t xml:space="preserve">West Woodbourne </t>
  </si>
  <si>
    <t>Mountaindale-bank</t>
  </si>
  <si>
    <t>Old Falls</t>
  </si>
  <si>
    <t>White Lake</t>
  </si>
  <si>
    <t>Transit</t>
  </si>
  <si>
    <t>Snows Corner Tap</t>
  </si>
  <si>
    <t>Kline Kill</t>
  </si>
  <si>
    <t>Stephentown</t>
  </si>
  <si>
    <t>Falls Park</t>
  </si>
  <si>
    <t>Jordanville</t>
  </si>
  <si>
    <t>Richfield Springs</t>
  </si>
  <si>
    <t>Grand Gorge</t>
  </si>
  <si>
    <t>Kent Falls</t>
  </si>
  <si>
    <t>Hyde</t>
  </si>
  <si>
    <t>Peru</t>
  </si>
  <si>
    <t>Sciota-Flatrock</t>
  </si>
  <si>
    <t>Hallock Hill</t>
  </si>
  <si>
    <t>Binghamton</t>
  </si>
  <si>
    <t>Howard</t>
  </si>
  <si>
    <t xml:space="preserve">Howard </t>
  </si>
  <si>
    <t>Ashley Rd</t>
  </si>
  <si>
    <t>Ashley  Rd</t>
  </si>
  <si>
    <t>Brewster</t>
  </si>
  <si>
    <t>Elmira</t>
  </si>
  <si>
    <t>Geneva</t>
  </si>
  <si>
    <t>Hornell</t>
  </si>
  <si>
    <t>Ithaca</t>
  </si>
  <si>
    <t>Lancaster</t>
  </si>
  <si>
    <t>Liberty</t>
  </si>
  <si>
    <t>Lockport</t>
  </si>
  <si>
    <t>Mechanicville</t>
  </si>
  <si>
    <t>Oneonta</t>
  </si>
  <si>
    <t>Plattsburgh</t>
  </si>
  <si>
    <t>Montour Falls</t>
  </si>
  <si>
    <t>Cumulative Dollars</t>
  </si>
  <si>
    <t>Cumulative Nominal Dollars</t>
  </si>
  <si>
    <t>Aluf</t>
  </si>
  <si>
    <t>West Nyack</t>
  </si>
  <si>
    <t>Blooming Grove</t>
  </si>
  <si>
    <t>Oak St.</t>
  </si>
  <si>
    <t>Bloomingburg (SubArea)</t>
  </si>
  <si>
    <t>New Hempstead</t>
  </si>
  <si>
    <t>Blue Hill</t>
  </si>
  <si>
    <t>Little Tor</t>
  </si>
  <si>
    <t>Blue Lake</t>
  </si>
  <si>
    <t>Viola Road</t>
  </si>
  <si>
    <t>Bullville (SubArea)</t>
  </si>
  <si>
    <t>South Goshen</t>
  </si>
  <si>
    <t>Burns</t>
  </si>
  <si>
    <t>Sloatsburg</t>
  </si>
  <si>
    <t>Chester</t>
  </si>
  <si>
    <t>Chester 34.5KV</t>
  </si>
  <si>
    <t>Mongaup</t>
  </si>
  <si>
    <t>Congers</t>
  </si>
  <si>
    <t>Otisville (SubArea)</t>
  </si>
  <si>
    <t>Corporate Drive</t>
  </si>
  <si>
    <t>Cuddebackville</t>
  </si>
  <si>
    <t>Dean (SubArea)</t>
  </si>
  <si>
    <t>Deer Park</t>
  </si>
  <si>
    <t>East Wallkill</t>
  </si>
  <si>
    <t>Deer Park 34.5KV</t>
  </si>
  <si>
    <t>Port Jervis</t>
  </si>
  <si>
    <t>Sterling Forest</t>
  </si>
  <si>
    <t>Grassy Point</t>
  </si>
  <si>
    <t>Stony Point</t>
  </si>
  <si>
    <t>Harriman</t>
  </si>
  <si>
    <t>Summitville (SubArea)</t>
  </si>
  <si>
    <t>Harriman-34.5KV</t>
  </si>
  <si>
    <t>Tallman</t>
  </si>
  <si>
    <t>Hartley Road</t>
  </si>
  <si>
    <t>Wurstboro (SubArea)</t>
  </si>
  <si>
    <t>Highland Falls (SubArea)</t>
  </si>
  <si>
    <t>Hillburn</t>
  </si>
  <si>
    <t>Hunt</t>
  </si>
  <si>
    <t>Lake Road</t>
  </si>
  <si>
    <t>Lederle</t>
  </si>
  <si>
    <t>Monroe</t>
  </si>
  <si>
    <t>Monsey</t>
  </si>
  <si>
    <t>Nanuet</t>
  </si>
  <si>
    <t>Orangeburg</t>
  </si>
  <si>
    <t>Rio-34.5KV</t>
  </si>
  <si>
    <t>Rockland Sewer</t>
  </si>
  <si>
    <t>Shoemaker</t>
  </si>
  <si>
    <t>Shoemaker-34.5KV</t>
  </si>
  <si>
    <t>Silver Lake</t>
  </si>
  <si>
    <t>Snake Hill</t>
  </si>
  <si>
    <t>South Goshen 34.5KV</t>
  </si>
  <si>
    <t>Sparkill</t>
  </si>
  <si>
    <t>State School</t>
  </si>
  <si>
    <t>Swinging Bridge</t>
  </si>
  <si>
    <t>Washington Heights</t>
  </si>
  <si>
    <t>Washington Heights 34.5KV</t>
  </si>
  <si>
    <t>West Haverstraw</t>
  </si>
  <si>
    <t>Westtown</t>
  </si>
  <si>
    <t>Wisner</t>
  </si>
  <si>
    <t>WACC</t>
  </si>
  <si>
    <t xml:space="preserve"> Cumulative Annualized Marginal Cost per kW-yr, Nominal $ </t>
  </si>
  <si>
    <t>Total Cost per Year</t>
  </si>
  <si>
    <t>Total Cost MC per Substation</t>
  </si>
  <si>
    <t>MCOS</t>
  </si>
  <si>
    <t>weighted average</t>
  </si>
  <si>
    <t>Canandaigua</t>
  </si>
  <si>
    <t>Line 739</t>
  </si>
  <si>
    <t>Line 764</t>
  </si>
  <si>
    <t>Central</t>
  </si>
  <si>
    <t>Fillmore</t>
  </si>
  <si>
    <t>Sodus</t>
  </si>
  <si>
    <t>MC</t>
  </si>
  <si>
    <t>TBD</t>
  </si>
  <si>
    <t>Serving Utility</t>
  </si>
  <si>
    <t>Std Errors in Staff proposal</t>
  </si>
  <si>
    <t>System-Wide Avg</t>
  </si>
  <si>
    <t>Standard Deviation</t>
  </si>
  <si>
    <t>LSRV Price</t>
  </si>
  <si>
    <t>#LSRV Zones</t>
  </si>
  <si>
    <t>Listed Substations</t>
  </si>
  <si>
    <t>Target LSRV numbers</t>
  </si>
  <si>
    <t>Deferral Value (Use Example dataset average of .640854</t>
  </si>
  <si>
    <t>LSRV 1 Zones</t>
  </si>
  <si>
    <t>LSRV 2 Zones</t>
  </si>
  <si>
    <t>CECONY</t>
  </si>
  <si>
    <t>10yr levelized MCOS</t>
  </si>
  <si>
    <t>Central Hudson</t>
  </si>
  <si>
    <t>see "Requested Data" tab in MCOS study for incremental MW</t>
  </si>
  <si>
    <t>Clinton ave</t>
  </si>
  <si>
    <t>Galeville</t>
  </si>
  <si>
    <t>Greenfield rd</t>
  </si>
  <si>
    <t>Grimley rd x1</t>
  </si>
  <si>
    <t>Grimley rd x2</t>
  </si>
  <si>
    <t>High falls</t>
  </si>
  <si>
    <t>Honk falls</t>
  </si>
  <si>
    <t>Kerhonkson</t>
  </si>
  <si>
    <t>East Kingston</t>
  </si>
  <si>
    <t>Lincoln Park</t>
  </si>
  <si>
    <t>Manchester</t>
  </si>
  <si>
    <t>Sand Dock-distribution</t>
  </si>
  <si>
    <t>Sand Dock-Industrial</t>
  </si>
  <si>
    <t>East park</t>
  </si>
  <si>
    <t>Hibernia</t>
  </si>
  <si>
    <t>Millerton</t>
  </si>
  <si>
    <t>Pulvers 34kv</t>
  </si>
  <si>
    <t>Smithfield</t>
  </si>
  <si>
    <t>Staatsburg</t>
  </si>
  <si>
    <t>Stanfordville</t>
  </si>
  <si>
    <t>Tinkertown</t>
  </si>
  <si>
    <t>National Grid</t>
  </si>
  <si>
    <t>O&amp;R</t>
  </si>
  <si>
    <t>RGE</t>
  </si>
  <si>
    <t>system wide Central Hudson projects</t>
  </si>
  <si>
    <t>RD Line</t>
  </si>
  <si>
    <t>Thermal/Voltage</t>
  </si>
  <si>
    <t>Wiccopee Circuit Exits</t>
  </si>
  <si>
    <t>Deans Mills Substation and NC, CN part NW 115kV</t>
  </si>
  <si>
    <t>added system wide capacity</t>
  </si>
  <si>
    <t>substations</t>
  </si>
  <si>
    <t>capacity allocated per substation</t>
  </si>
  <si>
    <t>system wide local transmission cost see study Table 5</t>
  </si>
  <si>
    <t>N Grid transmission projects</t>
  </si>
  <si>
    <t>cost per MW</t>
  </si>
  <si>
    <t>Weighted Average for all Dx</t>
  </si>
  <si>
    <t>Marginal Revenue Requirement per kW-Year ($000s)</t>
  </si>
  <si>
    <t>Weighted Average for all Tx-Local</t>
  </si>
  <si>
    <t>Weighted Average for all Tx-Bulk</t>
  </si>
  <si>
    <t>avg capacity per substation</t>
  </si>
  <si>
    <t>cost per MW per substation</t>
  </si>
  <si>
    <t>Weighted Average for all Tx-Local plus Bulk for all subsations</t>
  </si>
  <si>
    <t>system wide substations</t>
  </si>
  <si>
    <t>System Wide Average</t>
  </si>
  <si>
    <t>Total Required Distribution Value</t>
  </si>
  <si>
    <t>MCOS higher than LSRV</t>
  </si>
  <si>
    <t>Adjusted MCOS for Adjusted DRV</t>
  </si>
  <si>
    <t>Adjusted DRV</t>
  </si>
  <si>
    <t>Adjusted LSRV</t>
  </si>
  <si>
    <t>LSRV Zones</t>
  </si>
  <si>
    <t>DRV ($/kW-year)</t>
  </si>
  <si>
    <t>Current</t>
  </si>
  <si>
    <t>JU</t>
  </si>
  <si>
    <t>CEP</t>
  </si>
  <si>
    <t>Staff</t>
  </si>
  <si>
    <t>Con Edison</t>
  </si>
  <si>
    <t>Cen Hud</t>
  </si>
  <si>
    <t>Staff Proposed DRV</t>
  </si>
  <si>
    <t>Con Ed</t>
  </si>
  <si>
    <t>Staff Proposed LSRV</t>
  </si>
  <si>
    <t>N. Grid</t>
  </si>
  <si>
    <t>Environmental Component</t>
  </si>
  <si>
    <t>Community Credit</t>
  </si>
  <si>
    <t>Capacity Value Alt 2 (NYC)</t>
  </si>
  <si>
    <t>LSRV ($/kW-year)</t>
  </si>
  <si>
    <t>N/A</t>
  </si>
  <si>
    <t>2.7 or 5.41</t>
  </si>
  <si>
    <t xml:space="preserve">A representative 7,500 kW dc Solar (5,000 kW ac) in NYC </t>
  </si>
  <si>
    <t>53.59/56.26</t>
  </si>
  <si>
    <t>10.65 or 21.31</t>
  </si>
  <si>
    <t>Value Stack Compensation ($/kWh)</t>
  </si>
  <si>
    <t>Value Stack Compensation ($/year)</t>
  </si>
  <si>
    <t>47.96/9.47</t>
  </si>
  <si>
    <t>8.36 or 16.71</t>
  </si>
  <si>
    <t>LSRV Eligibility</t>
  </si>
  <si>
    <t>LSRV Substation Areas</t>
  </si>
  <si>
    <t>Value stack compensation from solar exports ($Nominal)</t>
  </si>
  <si>
    <t>Staff Proposal</t>
  </si>
  <si>
    <t>Energy value</t>
  </si>
  <si>
    <t>Capacity value (36-month average Alternative 2 Rate (Jan 2022-Dec 2024) selected)</t>
  </si>
  <si>
    <t>Environmental value</t>
  </si>
  <si>
    <t>Demand reduction value</t>
  </si>
  <si>
    <t>Locational system relief value</t>
  </si>
  <si>
    <t>Total Value Stack compensation from solar generation immediately exported</t>
  </si>
  <si>
    <t>Recognized compensation from solar generation immediately exported (ICAP Alt 3 Projects)</t>
  </si>
  <si>
    <t>Average Value Stack compensation from solar - Per kWh exported ($Nominal/kWh)</t>
  </si>
  <si>
    <t>Grid</t>
  </si>
  <si>
    <t>Weedsport</t>
  </si>
  <si>
    <t>Jordan</t>
  </si>
  <si>
    <t>Marcellus</t>
  </si>
  <si>
    <t>Noyes Island</t>
  </si>
  <si>
    <t>Maine</t>
  </si>
  <si>
    <t>Chenango Bridge</t>
  </si>
  <si>
    <t>Hooper Road</t>
  </si>
  <si>
    <t>Morris Street</t>
  </si>
  <si>
    <t>Whitney Point</t>
  </si>
  <si>
    <t>Center Village</t>
  </si>
  <si>
    <t>Vincent Corners</t>
  </si>
  <si>
    <t>Jarvis Street</t>
  </si>
  <si>
    <t>Whig Street</t>
  </si>
  <si>
    <t>Conklin</t>
  </si>
  <si>
    <t>Goudey</t>
  </si>
  <si>
    <t>Tarbell</t>
  </si>
  <si>
    <t>Canal St</t>
  </si>
  <si>
    <t>W. Patterson</t>
  </si>
  <si>
    <t>Union Valley</t>
  </si>
  <si>
    <t>Haviland Hollow</t>
  </si>
  <si>
    <t>Whiskey Creek</t>
  </si>
  <si>
    <t>Hampton Rd</t>
  </si>
  <si>
    <t>Kane St</t>
  </si>
  <si>
    <t>South Addison</t>
  </si>
  <si>
    <t>First St</t>
  </si>
  <si>
    <t>Bulkhead</t>
  </si>
  <si>
    <t>Campbell</t>
  </si>
  <si>
    <t>Ridge Rd</t>
  </si>
  <si>
    <t>Bellona</t>
  </si>
  <si>
    <t>Seneca Ordnance</t>
  </si>
  <si>
    <t>Rushville</t>
  </si>
  <si>
    <t>Greenidge</t>
  </si>
  <si>
    <t>Dundee</t>
  </si>
  <si>
    <t>Lehigh St</t>
  </si>
  <si>
    <t>Canisteo</t>
  </si>
  <si>
    <t>Arkport</t>
  </si>
  <si>
    <t>Naples</t>
  </si>
  <si>
    <t>Troupsburg</t>
  </si>
  <si>
    <t>Candor</t>
  </si>
  <si>
    <t>Spencer</t>
  </si>
  <si>
    <t>Dryden</t>
  </si>
  <si>
    <t>Ovid</t>
  </si>
  <si>
    <t>S. Lansing</t>
  </si>
  <si>
    <t>Bennington Ctr</t>
  </si>
  <si>
    <t>New Albion</t>
  </si>
  <si>
    <t>Randolph</t>
  </si>
  <si>
    <t>Ebenezer</t>
  </si>
  <si>
    <t>Monticello</t>
  </si>
  <si>
    <t>Swan Lake</t>
  </si>
  <si>
    <t>Callicoon</t>
  </si>
  <si>
    <t>Luxton Lake</t>
  </si>
  <si>
    <t>Livingston Manor</t>
  </si>
  <si>
    <t>Sackett Lake</t>
  </si>
  <si>
    <t>Jeffersonville</t>
  </si>
  <si>
    <t>Stillwater</t>
  </si>
  <si>
    <t>Crooked Lake</t>
  </si>
  <si>
    <t>Mellenville</t>
  </si>
  <si>
    <t>Canaan</t>
  </si>
  <si>
    <t>W. Lebanon</t>
  </si>
  <si>
    <t>Unadilla</t>
  </si>
  <si>
    <t>Sidney-Railroad</t>
  </si>
  <si>
    <t>River Road</t>
  </si>
  <si>
    <t>West Davenport</t>
  </si>
  <si>
    <t>Earlville</t>
  </si>
  <si>
    <t>Bainbridge</t>
  </si>
  <si>
    <t>Sand St</t>
  </si>
  <si>
    <t>Downsville</t>
  </si>
  <si>
    <t>Milford</t>
  </si>
  <si>
    <t>Eaton</t>
  </si>
  <si>
    <t>Finch Hollow</t>
  </si>
  <si>
    <t>Bell Ayre</t>
  </si>
  <si>
    <t>Beekmantown</t>
  </si>
  <si>
    <t>W. Chazy</t>
  </si>
  <si>
    <t>Mill C</t>
  </si>
  <si>
    <t>Limestone</t>
  </si>
  <si>
    <t>Hammond Lane</t>
  </si>
  <si>
    <t>Mason Corners</t>
  </si>
  <si>
    <t>utility</t>
  </si>
  <si>
    <t>mw</t>
  </si>
  <si>
    <t>mcos10yr</t>
  </si>
  <si>
    <t>utility_obs</t>
  </si>
  <si>
    <t>='Aggregated Table'!$A$492+K71</t>
  </si>
  <si>
    <t>='Aggregated Table'!$A$492+'Aggregated Table'!c73</t>
  </si>
  <si>
    <t>transmission MW per substation</t>
  </si>
  <si>
    <t>=($K$286/$E$285)</t>
  </si>
  <si>
    <t>Without Transm Net</t>
  </si>
  <si>
    <t xml:space="preserve">  ___  ____  ____  ____  ____ (R)</t>
  </si>
  <si>
    <t xml:space="preserve"> /__    /   ____/   /   ____/</t>
  </si>
  <si>
    <t>___/   /   /___/   /   /___/   14.2   Copyright 1985-2015 StataCorp LP</t>
  </si>
  <si>
    <t xml:space="preserve">  Statistics/Data Analysis            StataCorp</t>
  </si>
  <si>
    <t xml:space="preserve">                                      4905 Lakeway Drive</t>
  </si>
  <si>
    <t xml:space="preserve">     Special Edition                  College Station, Texas 77845 USA</t>
  </si>
  <si>
    <t xml:space="preserve">                                      800-STATA-PC        http://www.stata.com</t>
  </si>
  <si>
    <t xml:space="preserve">                                      979-696-4600        stata@stata.com</t>
  </si>
  <si>
    <t xml:space="preserve">                                      979-696-4601 (fax)</t>
  </si>
  <si>
    <t>Single-user Stata perpetual license:</t>
  </si>
  <si>
    <t xml:space="preserve">                       NYS DPS</t>
  </si>
  <si>
    <t>Notes:</t>
  </si>
  <si>
    <t xml:space="preserve">      1.  Unicode is supported; see help unicode_advice.</t>
  </si>
  <si>
    <t xml:space="preserve">      2.  Maximum number of variables is set to 5000; see help set_maxvar.</t>
  </si>
  <si>
    <t xml:space="preserve">      3.  New update available; type -update all-</t>
  </si>
  <si>
    <t>. *(5 variables, 469 observations pasted into data editor)</t>
  </si>
  <si>
    <t xml:space="preserve">. </t>
  </si>
  <si>
    <t>. gen subs=1</t>
  </si>
  <si>
    <t>. egen std_mcos10yr= sd(mcos10y) if mcos10yr&gt;0, by (utility)</t>
  </si>
  <si>
    <t>. egen non_zero= sum(subs) if mcos10yr&gt;0, by (utility)</t>
  </si>
  <si>
    <t>. egen in_nz_drv= mean(mcos10yr) if mcos10yr&gt;0, by (utility)</t>
  </si>
  <si>
    <t>. egen drv= max(in_nz_drv) , by (utility)</t>
  </si>
  <si>
    <t>. gen lsrv_area=0</t>
  </si>
  <si>
    <t>. replace lsrv_area=1 if mcos10yr&gt;(drv+lsrv)</t>
  </si>
  <si>
    <t>. gen utility_num=0</t>
  </si>
  <si>
    <t>. replace utility_num=1 if utility=="CECONY"</t>
  </si>
  <si>
    <t>(69 real changes made)</t>
  </si>
  <si>
    <t>. replace utility_num=2 if utility=="Central Hudson"</t>
  </si>
  <si>
    <t>(64 real changes made)</t>
  </si>
  <si>
    <t>. replace utility_num=3 if utility=="NYSEG"</t>
  </si>
  <si>
    <t>(79 real changes made)</t>
  </si>
  <si>
    <t>. replace utility_num=4 if utility=="National Grid"</t>
  </si>
  <si>
    <t>. replace utility_num=5 if utility=="O&amp;R"</t>
  </si>
  <si>
    <t>(59 real changes made)</t>
  </si>
  <si>
    <t>. replace utility_num=6 if utility=="RGE"</t>
  </si>
  <si>
    <t>(46 real changes made)</t>
  </si>
  <si>
    <t>. sort utility_num</t>
  </si>
  <si>
    <t xml:space="preserve">. drop  if mw&gt;=3000&amp; utility=="National Grid" </t>
  </si>
  <si>
    <t>. sort utility_num mcos10yr</t>
  </si>
  <si>
    <t>. egen utility_obs2=rank(mcos10yr), by (utility_num) unique</t>
  </si>
  <si>
    <t>. egen tot_obs= max(utility_obs2) , by (utility_num)</t>
  </si>
  <si>
    <t>. sum mcos10yr  if utility=="Central Hudson" &amp; mcos10yr&gt;0  [aweight=mw]</t>
  </si>
  <si>
    <t xml:space="preserve">    Variable |     Obs      Weight        Mean   Std. Dev.       Min        Max</t>
  </si>
  <si>
    <t>-------------+-----------------------------------------------------------------</t>
  </si>
  <si>
    <t xml:space="preserve">    mcos10yr |      64  392.730004    21.64204   30.31935       6.49     145.99</t>
  </si>
  <si>
    <t>. sum mcos10yr if utility=="CECONY" &amp; mcos10yr&gt;0  [aweight=mw]</t>
  </si>
  <si>
    <t>. sum mcos10yr  if utility=="National Grid" &amp; mcos10yr&gt;0  [aweight=mw]</t>
  </si>
  <si>
    <t>. sum mcos10yr  if utility=="NYSEG" &amp; mcos10yr&gt;0 [aweight=mw]</t>
  </si>
  <si>
    <t xml:space="preserve">    mcos10yr |      79  2579.43499    85.23216   93.42951   7.608128   448.6385</t>
  </si>
  <si>
    <t>. sum mcos10yr  if utility=="O&amp;R" &amp; mcos10yr&gt;0  [aweight=mw]</t>
  </si>
  <si>
    <t>. sum mcos10yr  if utility=="RGE" &amp; mcos10yr&gt;0  [aweight=mw]</t>
  </si>
  <si>
    <t xml:space="preserve">    mcos10yr |      46  3196.87201    66.85089   36.50474   2.672768   190.6624</t>
  </si>
  <si>
    <t xml:space="preserve">. sum mcos10yr  if utility=="Central Hudson" &amp; mcos10yr&gt;0  </t>
  </si>
  <si>
    <t xml:space="preserve">    Variable |        Obs        Mean    Std. Dev.       Min        Max</t>
  </si>
  <si>
    <t>-------------+---------------------------------------------------------</t>
  </si>
  <si>
    <t xml:space="preserve">    mcos10yr |         64    14.14609    21.33802       6.49     145.99</t>
  </si>
  <si>
    <t xml:space="preserve">. sum mcos10yr if utility=="CECONY" &amp; mcos10yr&gt;0  </t>
  </si>
  <si>
    <t xml:space="preserve">    mcos10yr |         46    109.6929    101.5531   4.331281   493.1802</t>
  </si>
  <si>
    <t xml:space="preserve">. sum mcos10yr  if utility=="National Grid" &amp;  mcos10yr&gt;0  </t>
  </si>
  <si>
    <t xml:space="preserve">. sum mcos10yr  if utility=="NYSEG" &amp; mcos10yr&gt;0 </t>
  </si>
  <si>
    <t xml:space="preserve">    mcos10yr |         79    62.89479    73.21599   7.608128   448.6385</t>
  </si>
  <si>
    <t xml:space="preserve">. sum mcos10yr  if utility=="O&amp;R" &amp; mcos10yr&gt;0  </t>
  </si>
  <si>
    <t xml:space="preserve">. sum mcos10yr  if utility=="RGE" &amp; mcos10yr&gt;0  </t>
  </si>
  <si>
    <t xml:space="preserve">    mcos10yr |         46    53.32601    44.75448   2.672768   190.6624</t>
  </si>
  <si>
    <t>. gen wtd_mcos10yr=0</t>
  </si>
  <si>
    <t>. gen wtd_se_mcos10yr=0</t>
  </si>
  <si>
    <t>. gen wtd_drv=0</t>
  </si>
  <si>
    <t>. gen wtd_lsrv=0</t>
  </si>
  <si>
    <t>.  sum mcos10yr  if utility=="CECONY" &amp; mcos10yr&gt;0  [aweight=mw]</t>
  </si>
  <si>
    <t>.  sum mcos10yr  if utility=="Central Hudson" &amp; mcos10yr&gt;0  [aweight=mw]</t>
  </si>
  <si>
    <t>.  sum mcos10yr  if utility=="NYSEG" &amp; mcos10yr&gt;0  [aweight=mw]</t>
  </si>
  <si>
    <t>.  sum mcos10yr  if utility=="National Grid" &amp; mcos10yr&gt;0  [aweight=mw]</t>
  </si>
  <si>
    <t>(151 real changes made)</t>
  </si>
  <si>
    <t>.  sum mcos10yr  if utility=="O&amp;R" &amp; mcos10yr&gt;0  [aweight=mw]</t>
  </si>
  <si>
    <t>.  sum mcos10yr  if utility=="RGE" &amp; mcos10yr&gt;0  [aweight=mw]</t>
  </si>
  <si>
    <t>-------------------------------------------------------------------------------------</t>
  </si>
  <si>
    <t>---------------+---------------------------------------------------------------------</t>
  </si>
  <si>
    <t>.  gen wtd_lsrv_area=0</t>
  </si>
  <si>
    <t>.  replace wtd_lsrv_area=1 if mcos10yr&gt;(wtd_drv+wtd_lsrv)</t>
  </si>
  <si>
    <t>gen subs=1</t>
  </si>
  <si>
    <t>egen std_mcos10yr= sd(mcos10y) if mcos10yr&gt;0, by (utility)</t>
  </si>
  <si>
    <t>egen non_zero= sum(subs) if mcos10yr&gt;0, by (utility)</t>
  </si>
  <si>
    <t>egen in_nz_drv= mean(mcos10yr) if mcos10yr&gt;0, by (utility)</t>
  </si>
  <si>
    <t>egen drv= max(in_nz_drv) , by (utility)</t>
  </si>
  <si>
    <t>gen lsrv_area=0</t>
  </si>
  <si>
    <t>replace lsrv_area=1 if mcos10yr&gt;(drv+lsrv)</t>
  </si>
  <si>
    <t>gen utility_num=0</t>
  </si>
  <si>
    <t>sort utility_num</t>
  </si>
  <si>
    <t xml:space="preserve">drop  if mw&gt;=3000&amp; utility=="National Grid" </t>
  </si>
  <si>
    <t>sort utility_num mcos10yr</t>
  </si>
  <si>
    <t>egen utility_obs2=rank(mcos10yr), by (utility_num) unique</t>
  </si>
  <si>
    <t>egen tot_obs= max(utility_obs2) , by (utility_num)</t>
  </si>
  <si>
    <t>Utility</t>
  </si>
  <si>
    <t>sum mcos10yr  if utility=="Central Hudson" &amp; mcos10yr&gt;0  [aweight=mw]</t>
  </si>
  <si>
    <t>sum mcos10yr if utility=="CECONY" &amp; mcos10yr&gt;0  [aweight=mw]</t>
  </si>
  <si>
    <t>sum mcos10yr  if utility=="National Grid" &amp; mcos10yr&gt;0  [aweight=mw]</t>
  </si>
  <si>
    <t>sum mcos10yr  if utility=="NYSEG" &amp; mcos10yr&gt;0 [aweight=mw]</t>
  </si>
  <si>
    <t>sum mcos10yr  if utility=="O&amp;R" &amp; mcos10yr&gt;0  [aweight=mw]</t>
  </si>
  <si>
    <t>sum mcos10yr  if utility=="RGE" &amp; mcos10yr&gt;0  [aweight=mw]</t>
  </si>
  <si>
    <t xml:space="preserve">sum mcos10yr  if utility=="Central Hudson" &amp; mcos10yr&gt;0  </t>
  </si>
  <si>
    <t xml:space="preserve">sum mcos10yr if utility=="CECONY" &amp; mcos10yr&gt;0  </t>
  </si>
  <si>
    <t xml:space="preserve">sum mcos10yr  if utility=="National Grid" &amp;  mcos10yr&gt;0  </t>
  </si>
  <si>
    <t xml:space="preserve">sum mcos10yr  if utility=="NYSEG" &amp; mcos10yr&gt;0 </t>
  </si>
  <si>
    <t xml:space="preserve">sum mcos10yr  if utility=="O&amp;R" &amp; mcos10yr&gt;0  </t>
  </si>
  <si>
    <t xml:space="preserve">sum mcos10yr  if utility=="RGE" &amp; mcos10yr&gt;0  </t>
  </si>
  <si>
    <t>gen wtd_mcos10yr=0</t>
  </si>
  <si>
    <t>gen wtd_se_mcos10yr=0</t>
  </si>
  <si>
    <t>gen wtd_drv=0</t>
  </si>
  <si>
    <t>gen wtd_lsrv=0</t>
  </si>
  <si>
    <t xml:space="preserve"> sum mcos10yr  if utility=="Central Hudson" &amp; mcos10yr&gt;0  [aweight=mw]</t>
  </si>
  <si>
    <t xml:space="preserve"> sum mcos10yr  if utility=="CECONY" &amp; mcos10yr&gt;0  [aweight=mw]</t>
  </si>
  <si>
    <t xml:space="preserve"> gen wtd_lsrv_area=0</t>
  </si>
  <si>
    <t xml:space="preserve"> replace wtd_lsrv_area=1 if mcos10yr&gt;(wtd_drv+wtd_lsrv)</t>
  </si>
  <si>
    <t>sum(subs_~o)</t>
  </si>
  <si>
    <t>sum(wtd_l~a)</t>
  </si>
  <si>
    <t>mean(wtd_~v)</t>
  </si>
  <si>
    <t>Non-Zero Cost Substation Areas</t>
  </si>
  <si>
    <t>Weighted Standard Error</t>
  </si>
  <si>
    <t>LSRV (1.645 Weighted Standard Errors)</t>
  </si>
  <si>
    <t>Substation Areas in LSRV Zone</t>
  </si>
  <si>
    <t>DRV + LSRV</t>
  </si>
  <si>
    <t>(relates to "In Service Projects" section of August 2025 MCOS order, pp 46-47)</t>
  </si>
  <si>
    <t xml:space="preserve">annual cost factor = </t>
  </si>
  <si>
    <t xml:space="preserve">discount rate = </t>
  </si>
  <si>
    <t xml:space="preserve">NPV </t>
  </si>
  <si>
    <t>total</t>
  </si>
  <si>
    <t>investment cost</t>
  </si>
  <si>
    <t>investment cost per mw</t>
  </si>
  <si>
    <t>annual cost per mw</t>
  </si>
  <si>
    <t>cumulative investment cost</t>
  </si>
  <si>
    <t>cummulative incremental mw</t>
  </si>
  <si>
    <t>investment cost per cumulative mw</t>
  </si>
  <si>
    <t>revenue requirement</t>
  </si>
  <si>
    <t>NPV of revenue requirement</t>
  </si>
  <si>
    <t>NPV of cumulative investment cost</t>
  </si>
  <si>
    <t>NPV of cumulative incremenatal demand</t>
  </si>
  <si>
    <t>levelized investment cost per mw</t>
  </si>
  <si>
    <t>levelized cost x cumulative incremental mw</t>
  </si>
  <si>
    <t>levelized annual cost per mw</t>
  </si>
  <si>
    <t>levelized annual cost x cumulative incremental mw</t>
  </si>
  <si>
    <t>NPV of levelized annual cost x cumulative incremental mw</t>
  </si>
  <si>
    <t>equals 1 if substation area served by project, else 0</t>
  </si>
  <si>
    <t>$/kw-yr</t>
  </si>
  <si>
    <t>Segment</t>
  </si>
  <si>
    <t>area 1</t>
  </si>
  <si>
    <t>area 2</t>
  </si>
  <si>
    <t>area 3</t>
  </si>
  <si>
    <t>area 4</t>
  </si>
  <si>
    <t>area 5</t>
  </si>
  <si>
    <t>rev requirment</t>
  </si>
  <si>
    <t>transmission</t>
  </si>
  <si>
    <t>area station</t>
  </si>
  <si>
    <t>dist station</t>
  </si>
  <si>
    <t>secondary</t>
  </si>
  <si>
    <t>primary</t>
  </si>
  <si>
    <t>rev collected</t>
  </si>
  <si>
    <t>non-zero segment cost used for each substation area</t>
  </si>
  <si>
    <t xml:space="preserve">       Serial number:  </t>
  </si>
  <si>
    <t xml:space="preserve">         Licensed to:  </t>
  </si>
  <si>
    <t>replace utility_num=1 if utility=="CECONY"</t>
  </si>
  <si>
    <t>replace utility_num=2 if utility=="Central Hudson"</t>
  </si>
  <si>
    <t>replace utility_num=3 if utility=="NYSEG"</t>
  </si>
  <si>
    <t>replace utility_num=4 if utility=="National Grid"</t>
  </si>
  <si>
    <t>replace utility_num=5 if utility=="O&amp;R"</t>
  </si>
  <si>
    <t>replace utility_num=6 if utility=="RGE"</t>
  </si>
  <si>
    <t xml:space="preserve"> sum mcos10yr  if utility=="NYSEG" &amp; mcos10yr&gt;0  [aweight=mw]</t>
  </si>
  <si>
    <t xml:space="preserve"> sum mcos10yr  if utility=="National Grid" &amp; mcos10yr&gt;0  [aweight=mw]</t>
  </si>
  <si>
    <t xml:space="preserve"> sum mcos10yr  if utility=="O&amp;R" &amp; mcos10yr&gt;0  [aweight=mw]</t>
  </si>
  <si>
    <t xml:space="preserve"> sum mcos10yr  if utility=="RGE" &amp; mcos10yr&gt;0  [aweight=mw]</t>
  </si>
  <si>
    <t>*table utility if mcos10yr&gt;0, c(sum subs_nonzero mean mcos10yr sd mcos10yr)</t>
  </si>
  <si>
    <t>*table utility, c(sum subs_nonzero mean mcos10yr mean std_mcos10yr mean se_mcos10yr)</t>
  </si>
  <si>
    <t>replace subs_nonzero=1 if mcos10yr&gt;0</t>
  </si>
  <si>
    <t>gen subs_nonzero=0</t>
  </si>
  <si>
    <t>table utility, c(sum subs sum subs_nonzero ) row</t>
  </si>
  <si>
    <t>(1 observation deleted)</t>
  </si>
  <si>
    <t>. gen subs_nonzero=0</t>
  </si>
  <si>
    <t>. replace subs_nonzero=1 if mcos10yr&gt;0</t>
  </si>
  <si>
    <t>(445 real changes made)</t>
  </si>
  <si>
    <t>. *table utility if mcos10yr&gt;0, c(sum subs_nonzero mean mcos10yr sd mcos10yr)</t>
  </si>
  <si>
    <t>(23 missing values generated)</t>
  </si>
  <si>
    <t>. *table utility, c(sum subs_nonzero mean mcos10yr mean std_mcos10yr mean se_mcos10yr)</t>
  </si>
  <si>
    <t xml:space="preserve">               | </t>
  </si>
  <si>
    <t>. table utility, c(sum subs sum subs_nonzero ) row</t>
  </si>
  <si>
    <t>---------------------------------------------</t>
  </si>
  <si>
    <t xml:space="preserve">       utility |     sum(subs)  sum(subs_n~o)</t>
  </si>
  <si>
    <t>---------------+-----------------------------</t>
  </si>
  <si>
    <t xml:space="preserve">        CECONY |            69             46</t>
  </si>
  <si>
    <t>Central Hudson |            64             64</t>
  </si>
  <si>
    <t xml:space="preserve">         NYSEG |            79             79</t>
  </si>
  <si>
    <t xml:space="preserve"> National Grid |           151            151</t>
  </si>
  <si>
    <t xml:space="preserve">           O&amp;R |            59             59</t>
  </si>
  <si>
    <t xml:space="preserve">           RGE |            46             46</t>
  </si>
  <si>
    <t xml:space="preserve">         Total |           468            445</t>
  </si>
  <si>
    <t>(file graph1a.gph saved)</t>
  </si>
  <si>
    <t>(file graph2a.gph saved)</t>
  </si>
  <si>
    <t>(file graph3a.gph saved)</t>
  </si>
  <si>
    <t>(file graph4a.gph saved)</t>
  </si>
  <si>
    <t>(file graph5a.gph saved)</t>
  </si>
  <si>
    <t>(file graph6a.gph saved)</t>
  </si>
  <si>
    <t>Marginal Costs ($/kW)</t>
  </si>
  <si>
    <t>Project specific costs</t>
  </si>
  <si>
    <t>Substation level MC</t>
  </si>
  <si>
    <t>Substation Level Total MC</t>
  </si>
  <si>
    <t>Weighting</t>
  </si>
  <si>
    <t>From OR updated workpapers</t>
  </si>
  <si>
    <t>Total kW</t>
  </si>
  <si>
    <t>Inflation</t>
  </si>
  <si>
    <t>FN Parent  #</t>
  </si>
  <si>
    <t>Project Name</t>
  </si>
  <si>
    <t>Asset Identifier (Substation or Network)</t>
  </si>
  <si>
    <t>InvestType</t>
  </si>
  <si>
    <t>Budget Class Codes</t>
  </si>
  <si>
    <t>FINAL Project System Capacity (MW)</t>
  </si>
  <si>
    <t>Prior to FY26 Capex Spend</t>
  </si>
  <si>
    <t>FY26 Capex Forecast</t>
  </si>
  <si>
    <t>FY27 Capex Forecast</t>
  </si>
  <si>
    <t>FY28 Capex Forecast</t>
  </si>
  <si>
    <t>FY29 Capex Forecast</t>
  </si>
  <si>
    <t>FY30 Capex Forecast</t>
  </si>
  <si>
    <t>FY31 Capex Forecast</t>
  </si>
  <si>
    <t>FY32 Capex Forecast</t>
  </si>
  <si>
    <t>FY33 Capex Forecast</t>
  </si>
  <si>
    <t>FY34 Capex Forecast</t>
  </si>
  <si>
    <t>FY35 Capex Forecast</t>
  </si>
  <si>
    <t>FY36 Capex Forecast</t>
  </si>
  <si>
    <t>FN005761</t>
  </si>
  <si>
    <t>Lakeville Substation Retirement</t>
  </si>
  <si>
    <t>Load Relief</t>
  </si>
  <si>
    <t>Sonora Way - New Feeders</t>
  </si>
  <si>
    <t>Sonora Way</t>
  </si>
  <si>
    <t>Multi Value Distribution (MVD)</t>
  </si>
  <si>
    <t>Sonora Way Station - New SWG</t>
  </si>
  <si>
    <t>FN005770</t>
  </si>
  <si>
    <t>Fayette St Line</t>
  </si>
  <si>
    <t>Fayette St Substation</t>
  </si>
  <si>
    <t>Galeville 71,72&amp;73 fdrs conversion</t>
  </si>
  <si>
    <t>Galeville Station Rebuild</t>
  </si>
  <si>
    <t>Rebuild Ash 4160</t>
  </si>
  <si>
    <t>Ash St</t>
  </si>
  <si>
    <t>FN005771</t>
  </si>
  <si>
    <t>Buffalo Station 32 Rebuild - 23 kV</t>
  </si>
  <si>
    <t>Buffalo Station 32 Rebuild - Line</t>
  </si>
  <si>
    <t>Buffalo Station 32 Rebuild - Sta</t>
  </si>
  <si>
    <t>FN005791</t>
  </si>
  <si>
    <t>Buffalo Station 38 Rebuild - Line</t>
  </si>
  <si>
    <t>Buffalo Station 38 Rebuild - Sub</t>
  </si>
  <si>
    <t>FN005814</t>
  </si>
  <si>
    <t>South Eden Greenfield New Feeder 1</t>
  </si>
  <si>
    <t>South Eden Greenfield New Feeder 2</t>
  </si>
  <si>
    <t>South Eden Greenfield Substation</t>
  </si>
  <si>
    <t>South Eden Greenfield Sub-T</t>
  </si>
  <si>
    <t>FN005818</t>
  </si>
  <si>
    <t>Buffalo Station 30 - Rebuild - 23kV</t>
  </si>
  <si>
    <t>Buffalo Station 30 - Rebuild - Fdrs</t>
  </si>
  <si>
    <t>Buffalo Station 30 Rebuild - Sta</t>
  </si>
  <si>
    <t>FN005819</t>
  </si>
  <si>
    <t>Buffalo Station 34 Rebuild - 23 kV</t>
  </si>
  <si>
    <t>Buffalo Station 34 Rebuild - Line</t>
  </si>
  <si>
    <t>Buffalo Station 34 Rebuild - Sub</t>
  </si>
  <si>
    <t>FN005820</t>
  </si>
  <si>
    <t>Buffalo Station 41 Rebuild - 23 kV</t>
  </si>
  <si>
    <t>Buffalo Station 41 Rebuild - Line</t>
  </si>
  <si>
    <t>Buffalo Station 41 Rebuild - Sub</t>
  </si>
  <si>
    <t>FN005821</t>
  </si>
  <si>
    <t>Buffalo Station 51 Rebuild - 23 kV</t>
  </si>
  <si>
    <t>Buffalo Station 51 Rebuild - Line</t>
  </si>
  <si>
    <t>Buffalo Station 51 Rebuild - Sub</t>
  </si>
  <si>
    <t>FN005822</t>
  </si>
  <si>
    <t>Buffalo Station 68 Rebuild - 23 kV</t>
  </si>
  <si>
    <t>Buffalo Station 68 Rebuild - Line</t>
  </si>
  <si>
    <t>Buffalo Station 68 Rebuild - Sub</t>
  </si>
  <si>
    <t>FN005832</t>
  </si>
  <si>
    <t>Buffalo Station 31 Rebuild - 23 kV</t>
  </si>
  <si>
    <t>Buffalo Station 31 Rebuild - Line</t>
  </si>
  <si>
    <t>Buffalo Station 31 Rebuild - Sub</t>
  </si>
  <si>
    <t>FN005840</t>
  </si>
  <si>
    <t>Buffalo Station 25 Rebuild - 23 kV</t>
  </si>
  <si>
    <t>Buffalo Station 25 Rebuild - Line</t>
  </si>
  <si>
    <t>Buffalo Station 25 Rebuild - Sta</t>
  </si>
  <si>
    <t>FN005842</t>
  </si>
  <si>
    <t>Buffalo Station 35 Rebuild - 23 kV</t>
  </si>
  <si>
    <t>Buffalo Station 35 Rebuild - Line</t>
  </si>
  <si>
    <t>Buffalo Station 35 Rebuild - Sub</t>
  </si>
  <si>
    <t>FN005852</t>
  </si>
  <si>
    <t>Tuller Hill DLine-13kV Getaway</t>
  </si>
  <si>
    <t>FN005875</t>
  </si>
  <si>
    <t>Buffalo Station 122 Rebuild - Line.</t>
  </si>
  <si>
    <t>Buffalo Station 122 Rebuild - Sub</t>
  </si>
  <si>
    <t>FN005886</t>
  </si>
  <si>
    <t>Station 61 - Station Rebuild</t>
  </si>
  <si>
    <t>FN006255</t>
  </si>
  <si>
    <t>Station 3012 D-Line, Part 2</t>
  </si>
  <si>
    <t>Station 3012 Substation</t>
  </si>
  <si>
    <t>FN008276</t>
  </si>
  <si>
    <t>Transmission Project NA</t>
  </si>
  <si>
    <t>Coffeen - Asset Replace CH</t>
  </si>
  <si>
    <t>Substation Capital - Trans</t>
  </si>
  <si>
    <t>Coffeen - Asset Rplc T-line</t>
  </si>
  <si>
    <t>Asset Replacement</t>
  </si>
  <si>
    <t>Coffeen St. Substation</t>
  </si>
  <si>
    <t>Gulf Road Assc Tline work (Boonville Greenfield)</t>
  </si>
  <si>
    <t>Transmission Line - Capital</t>
  </si>
  <si>
    <t>Gulf Road Control House (Boonville Greenfield)</t>
  </si>
  <si>
    <t>Gulf Road Sub Remote End - Porter</t>
  </si>
  <si>
    <t>Gulf Road Substation (Boonville Greenfield)</t>
  </si>
  <si>
    <t>Land-Boonville Substation-Gulf Road</t>
  </si>
  <si>
    <t>LightHH 115kV CH</t>
  </si>
  <si>
    <t>LightHH 115kV Yard Repl &amp; cntrl hs.</t>
  </si>
  <si>
    <t>LightHH Trans Lines Reconnect</t>
  </si>
  <si>
    <t>Black River - LHH Rebuild</t>
  </si>
  <si>
    <t>Black River - Taylorville Rebuild</t>
  </si>
  <si>
    <t>Black River Substation Upgrades</t>
  </si>
  <si>
    <t>Boonville - Porter Rebuild</t>
  </si>
  <si>
    <t>Clay Sub CLCPA LN5 Assoc T-Line</t>
  </si>
  <si>
    <t>Clay Substation CLCPA Upgrades</t>
  </si>
  <si>
    <t>Coffeen - Black River Rebuild</t>
  </si>
  <si>
    <t>Coffeen - East Watertown Rebuild</t>
  </si>
  <si>
    <t>Coffeen - Lyme Junction Rebuild</t>
  </si>
  <si>
    <t>Coffeen Synchronous Condensers</t>
  </si>
  <si>
    <t>Colton - Malone #3 Rebuild</t>
  </si>
  <si>
    <t>Colton Substation Rebuild</t>
  </si>
  <si>
    <t>East Ave Station - Greenfield</t>
  </si>
  <si>
    <t>Gulf Rd CLCPA Upgrades (Boonville Greenfield)</t>
  </si>
  <si>
    <t>Land-CLCPA P2-Colton-Malone Rebuild</t>
  </si>
  <si>
    <t>Land-CLCPA P2-LHH-S Oswego</t>
  </si>
  <si>
    <t>Land-CLCPA-P2 Black River-Clay</t>
  </si>
  <si>
    <t>Land-CLCPA-P2 Black River-Porter</t>
  </si>
  <si>
    <t>Lighthouse Hill - Clay Rebuild</t>
  </si>
  <si>
    <t>Lighthouse Hill - S. Oswego Rebuild</t>
  </si>
  <si>
    <t>Maiden Lane Station - Greenfield</t>
  </si>
  <si>
    <t>Malone Control House</t>
  </si>
  <si>
    <t>Malone Station Rebuild_Tline</t>
  </si>
  <si>
    <t>Malone Substation Rebuild_T_Sub</t>
  </si>
  <si>
    <t>Reliability - Trans</t>
  </si>
  <si>
    <t>McIntyre - Colton DLR</t>
  </si>
  <si>
    <t>Middle Road Sta - Six Breaker Ring</t>
  </si>
  <si>
    <t>Taylorville - Boonville Rebuild</t>
  </si>
  <si>
    <t>Taylorville Sta - BAAH Greenfield</t>
  </si>
  <si>
    <t>FN008347</t>
  </si>
  <si>
    <t>Dunkirk to Laona 161/162 Rebuild</t>
  </si>
  <si>
    <t>Land/ROW-Dunkirk-Laona CCPA Rebuild</t>
  </si>
  <si>
    <t>FN008359</t>
  </si>
  <si>
    <t>Easement-109-110-119 LN-CLCPA-West</t>
  </si>
  <si>
    <t>Mortimer 109 bay 115kV Upgrade</t>
  </si>
  <si>
    <t>Mortimer-Golah #110 ACR Rebuild</t>
  </si>
  <si>
    <t>Mortimer-Golah 109-69kV Rebuild</t>
  </si>
  <si>
    <t>SE Batavia - Golah LN119 Rebuild</t>
  </si>
  <si>
    <t>FN008736</t>
  </si>
  <si>
    <t>South Oswego: 115kV Asset Rplc</t>
  </si>
  <si>
    <t>South Oswego Station Upgrades</t>
  </si>
  <si>
    <t>FN010064</t>
  </si>
  <si>
    <t>Oneida - Sub Rebuild T-line</t>
  </si>
  <si>
    <t>Oneida - Substation Rebuild CH</t>
  </si>
  <si>
    <t>Oneida Substation Rebuild</t>
  </si>
  <si>
    <t>FN010073</t>
  </si>
  <si>
    <t>130/133 Stations- Huntley</t>
  </si>
  <si>
    <t>130/133 T-Line Reconductor</t>
  </si>
  <si>
    <t>Land-130/133 T-Line Reconductor</t>
  </si>
  <si>
    <t>FN010078</t>
  </si>
  <si>
    <t>Hoosick - Replace Bank 1 &amp; Relays</t>
  </si>
  <si>
    <t>FN010080</t>
  </si>
  <si>
    <t>New Manheim - Assoc Line work</t>
  </si>
  <si>
    <t>New Manheim Control House</t>
  </si>
  <si>
    <t>New Manheim Greenfield project</t>
  </si>
  <si>
    <t>Manheim 46kV relocation</t>
  </si>
  <si>
    <t>Manheim</t>
  </si>
  <si>
    <t>Manheim Distribution</t>
  </si>
  <si>
    <t>FN010083</t>
  </si>
  <si>
    <t>Access Roads-Mortimer-Pannell 24 25</t>
  </si>
  <si>
    <t>Easements-Line Rebuild MP 24</t>
  </si>
  <si>
    <t>Mortimer - Pannell 24/25</t>
  </si>
  <si>
    <t>Mortimer Stn Wrk 24 25 Line Rebuild</t>
  </si>
  <si>
    <t>FN010084</t>
  </si>
  <si>
    <t>Lockport - Rebuild T-line work</t>
  </si>
  <si>
    <t>Lockport Sub - Remote End Work</t>
  </si>
  <si>
    <t>Lockport Sub Rebuild CH</t>
  </si>
  <si>
    <t>LockportSubstationRebuildCo36TxT</t>
  </si>
  <si>
    <t>FN010094</t>
  </si>
  <si>
    <t>Katherine St Term 115/23kV Sub</t>
  </si>
  <si>
    <t>Katherine St Term L145/146 T-Line</t>
  </si>
  <si>
    <t>Katherine St TERM STA 23KV SubT</t>
  </si>
  <si>
    <t>New First Ward Substation</t>
  </si>
  <si>
    <t>Land-First Ward Terminal Station</t>
  </si>
  <si>
    <t>FN010096</t>
  </si>
  <si>
    <t>Buffalo Station 45 Rebuild -Line</t>
  </si>
  <si>
    <t>Buffalo Station 45 Rebuild -Sub</t>
  </si>
  <si>
    <t>Buffalo Station 45 Rebuild -SubT</t>
  </si>
  <si>
    <t>FN010097</t>
  </si>
  <si>
    <t>25H Cable- New UG 23kV Cable</t>
  </si>
  <si>
    <t>Sawyer Station - New 25H Bkr Pos</t>
  </si>
  <si>
    <t>FN010101</t>
  </si>
  <si>
    <t>Gard-Dun 141-142 N Phase Rebuild</t>
  </si>
  <si>
    <t>FN010876</t>
  </si>
  <si>
    <t>Station 140 Station Rebuild</t>
  </si>
  <si>
    <t>FN011010</t>
  </si>
  <si>
    <t>Karner 4.16 kV Feeder Conversions</t>
  </si>
  <si>
    <t>Karner Station Retirement</t>
  </si>
  <si>
    <t>Ruth Road Rebuild Distribution Work</t>
  </si>
  <si>
    <t>Ruth Road</t>
  </si>
  <si>
    <t>Ruth Road Station Rebuild</t>
  </si>
  <si>
    <t>Sand Creek 54 Distribution</t>
  </si>
  <si>
    <t>Sand Creek</t>
  </si>
  <si>
    <t>FN011042</t>
  </si>
  <si>
    <t>Avenue A Station Rebuild/Retirement</t>
  </si>
  <si>
    <t>Delaware D-Line</t>
  </si>
  <si>
    <t>AVENUE A</t>
  </si>
  <si>
    <t>Riverside - 34.5 kV Line Reactors</t>
  </si>
  <si>
    <t>Riverside</t>
  </si>
  <si>
    <t>FN011069</t>
  </si>
  <si>
    <t>Swagertown Station Upgrades</t>
  </si>
  <si>
    <t>Swaggertown 54 and Scotia Conversion</t>
  </si>
  <si>
    <t>FN011103</t>
  </si>
  <si>
    <t>Newtonville Area Study: D-Line</t>
  </si>
  <si>
    <t>Newtonville Area Study: Johnson</t>
  </si>
  <si>
    <t>Newtonville</t>
  </si>
  <si>
    <t>Newtonville Area Study: Maplewood</t>
  </si>
  <si>
    <t>Newtonville Area Study: Newtonville</t>
  </si>
  <si>
    <t>FN011214</t>
  </si>
  <si>
    <t>Access Rd- Lockport-Batavia 112</t>
  </si>
  <si>
    <t>Land and Land Rights</t>
  </si>
  <si>
    <t>Easement-Lockport-Batavia 112-Rebld</t>
  </si>
  <si>
    <t>Lockport-Batavia 112 T1510 ACR</t>
  </si>
  <si>
    <t>FN011215</t>
  </si>
  <si>
    <t>Homer Hill - 115kV 34.5kV Asset Rpl</t>
  </si>
  <si>
    <t>FN011227</t>
  </si>
  <si>
    <t>Birch Ave 51 - Route 9N Conversion</t>
  </si>
  <si>
    <t>Birch Ave 51 Route 9N Extension</t>
  </si>
  <si>
    <t>Scofield Rd 51 Feeder</t>
  </si>
  <si>
    <t>SCOFIELD</t>
  </si>
  <si>
    <t>FN011290</t>
  </si>
  <si>
    <t>Buffalo Station 97 LAND</t>
  </si>
  <si>
    <t>FN011296</t>
  </si>
  <si>
    <t>New Cuba Sub Land</t>
  </si>
  <si>
    <t>New Cuba Sub Sub-T Taps</t>
  </si>
  <si>
    <t>FN011310</t>
  </si>
  <si>
    <t>FN011311</t>
  </si>
  <si>
    <t>New Livingston Sub LAND</t>
  </si>
  <si>
    <t>New Livingston Sub Sub-T Line</t>
  </si>
  <si>
    <t>FN011344</t>
  </si>
  <si>
    <t>Mexico Dline</t>
  </si>
  <si>
    <t>New Haven</t>
  </si>
  <si>
    <t>New Haven Sub D-line</t>
  </si>
  <si>
    <t>FN011369</t>
  </si>
  <si>
    <t>FN011396</t>
  </si>
  <si>
    <t>Tonawanda Area Study-STA74 new tap</t>
  </si>
  <si>
    <t>FN011527</t>
  </si>
  <si>
    <t>FN011534</t>
  </si>
  <si>
    <t>McClellan Station Rebuild</t>
  </si>
  <si>
    <t>FN011538</t>
  </si>
  <si>
    <t>FN011539</t>
  </si>
  <si>
    <t>Weaver 3rd Feeder</t>
  </si>
  <si>
    <t>FN011560</t>
  </si>
  <si>
    <t>N Leroy 56 Delta Conversion Phase 1</t>
  </si>
  <si>
    <t>N Leroy 56 Delta Conversion Phase 2</t>
  </si>
  <si>
    <t>FN011642</t>
  </si>
  <si>
    <t>Gloversville - Marshville #6 Refurb</t>
  </si>
  <si>
    <t>Inghams/Rotterdam Circuit Rebuild</t>
  </si>
  <si>
    <t>Marshville Tap Reconfiguration</t>
  </si>
  <si>
    <t>Marshville TLine New Substation</t>
  </si>
  <si>
    <t>Meco 115kV Rebuild</t>
  </si>
  <si>
    <t>Rotterdam LN10 &amp;LN 12 THERM UPG</t>
  </si>
  <si>
    <t>Land-Marshville Substation CLCPA</t>
  </si>
  <si>
    <t>Marshville New Substation</t>
  </si>
  <si>
    <t>Marshville 115kV Rebuild</t>
  </si>
  <si>
    <t>MVT Rott 69kV Rebuild &amp; New TB</t>
  </si>
  <si>
    <t>Transformers &amp; Related Equipment</t>
  </si>
  <si>
    <t>MVT Rott 69kV Rebuild &amp; New TB - CH</t>
  </si>
  <si>
    <t>MVT Scho/Sch Int-Rott 18/4 Rebld</t>
  </si>
  <si>
    <t>Saltsman Rd New 5 Breaker Ring</t>
  </si>
  <si>
    <t>FN011715</t>
  </si>
  <si>
    <t>Smith Bridge - New TB2 Getaways</t>
  </si>
  <si>
    <t>Smith Bridge 2nd Bank &amp; Metalclad</t>
  </si>
  <si>
    <t>Smith Bridge 56 &amp; 57 -Build Feeders</t>
  </si>
  <si>
    <t>FN011920</t>
  </si>
  <si>
    <t>Cobleskill D-Line 4.8 to 13.2 kV Conversion</t>
  </si>
  <si>
    <t>Cobleskill Station 4.8 to 13.2 kV Conversion</t>
  </si>
  <si>
    <t>Cobleskill</t>
  </si>
  <si>
    <t>FN011939</t>
  </si>
  <si>
    <t>Delmar 34.5kV Reconfiguration</t>
  </si>
  <si>
    <t>Delmar Feeders Rebuild and Convert</t>
  </si>
  <si>
    <t>Elsmere - Feeder Getaways</t>
  </si>
  <si>
    <t>Elsmere</t>
  </si>
  <si>
    <t>Elsmere Substation Rebuild</t>
  </si>
  <si>
    <t>FN011942</t>
  </si>
  <si>
    <t>Raquette Lake Transformer Upgrade</t>
  </si>
  <si>
    <t>FN011946</t>
  </si>
  <si>
    <t>Cicero D-Line</t>
  </si>
  <si>
    <t>Cicero sub Control House</t>
  </si>
  <si>
    <t>Cicero Substation</t>
  </si>
  <si>
    <t>FN011964</t>
  </si>
  <si>
    <t>Bloomingdale/Gabriels D-Line</t>
  </si>
  <si>
    <t>Bloomingdale/Gabriels Rebuild</t>
  </si>
  <si>
    <t>FN011965</t>
  </si>
  <si>
    <t>MV-Clinton Substation Rebuild, Control House</t>
  </si>
  <si>
    <t>MV-Clinton Substation Rebuild, DLine</t>
  </si>
  <si>
    <t>MV-Clinton Substation Rebuild, Station</t>
  </si>
  <si>
    <t>MV-Clinton Substation Rebuild, Sub-T</t>
  </si>
  <si>
    <t>FN011970</t>
  </si>
  <si>
    <t>Granby Center Expansion</t>
  </si>
  <si>
    <t>Third St. Retirement D-Line</t>
  </si>
  <si>
    <t>Third St</t>
  </si>
  <si>
    <t>FN011971</t>
  </si>
  <si>
    <t>E. Fulton Station Retirement D-Line</t>
  </si>
  <si>
    <t>FN011974</t>
  </si>
  <si>
    <t>Liberty Street D-Line</t>
  </si>
  <si>
    <t>Liberty Street TB5</t>
  </si>
  <si>
    <t>FN011975</t>
  </si>
  <si>
    <t>Boyntonville Rebuild: D-Line</t>
  </si>
  <si>
    <t>Boyntonville Rebuild: Substation</t>
  </si>
  <si>
    <t>FN011976</t>
  </si>
  <si>
    <t>Curtis Greenfield: D-Line</t>
  </si>
  <si>
    <t>Curtis Greenfield: Substation</t>
  </si>
  <si>
    <t>FN011978</t>
  </si>
  <si>
    <t>FN011996</t>
  </si>
  <si>
    <t>Valkin D-Line</t>
  </si>
  <si>
    <t>Valkin Station Rebuild</t>
  </si>
  <si>
    <t>FN011997</t>
  </si>
  <si>
    <t>FN012130</t>
  </si>
  <si>
    <t>FN012138</t>
  </si>
  <si>
    <t>Chestertown Station Retirement</t>
  </si>
  <si>
    <t>Chestertown-N. Creek 2 Rebuild OH</t>
  </si>
  <si>
    <t>Chestertown-N.Creek #2 Rebuild UG</t>
  </si>
  <si>
    <t>Chestertown-Schroon #3 Reconductor</t>
  </si>
  <si>
    <t>Knapp Road D-Line</t>
  </si>
  <si>
    <t>CHESTERTOWN</t>
  </si>
  <si>
    <t>Knapp Road Station</t>
  </si>
  <si>
    <t>W'burg-Chestertown 6 Reconductor OH</t>
  </si>
  <si>
    <t>FN012140</t>
  </si>
  <si>
    <t>Birch Ave Station Retirement</t>
  </si>
  <si>
    <t>Bolton Station Rebuild</t>
  </si>
  <si>
    <t>Bolton</t>
  </si>
  <si>
    <t>Lake George Station</t>
  </si>
  <si>
    <t>Warrensburg Rebuild</t>
  </si>
  <si>
    <t>FN012315</t>
  </si>
  <si>
    <t>New Krumkill - Feeder Getaways</t>
  </si>
  <si>
    <t>New Krumkill Station</t>
  </si>
  <si>
    <t>New Krumkill/Ave A Line</t>
  </si>
  <si>
    <t>FN012598</t>
  </si>
  <si>
    <t>Whitesboro Rebuild, D-Line</t>
  </si>
  <si>
    <t>FN012599</t>
  </si>
  <si>
    <t>Walesville Rebuild, D-line</t>
  </si>
  <si>
    <t>FN012618</t>
  </si>
  <si>
    <t>FN012619</t>
  </si>
  <si>
    <t>Belmont upgrade, Sub</t>
  </si>
  <si>
    <t>FN012851</t>
  </si>
  <si>
    <t>FN012964</t>
  </si>
  <si>
    <t>Burt 171 Ph1 D-Line Boutique</t>
  </si>
  <si>
    <t>Burt 171 Ph2 D-Line Boutique</t>
  </si>
  <si>
    <t>Burt 171 Ph2 Sub-T Boutique</t>
  </si>
  <si>
    <t>FN013525</t>
  </si>
  <si>
    <t>Tilden - Asset Rplc CH</t>
  </si>
  <si>
    <t>Tilden: Asset Replacement</t>
  </si>
  <si>
    <t>FN013571</t>
  </si>
  <si>
    <t>Niagara Dysinger 345kV (NextEra)</t>
  </si>
  <si>
    <t>Niagara-Dysinger 345kV - NYPA's Sta</t>
  </si>
  <si>
    <t>FN013572</t>
  </si>
  <si>
    <t>West Lysander Station - CH</t>
  </si>
  <si>
    <t>West Lysander Station - Line Work</t>
  </si>
  <si>
    <t>West Lysander Station- Substation</t>
  </si>
  <si>
    <t>FN013957</t>
  </si>
  <si>
    <t>Pottersville Sub-T Regulator</t>
  </si>
  <si>
    <t>Schroon Lake Getaway Rebuild</t>
  </si>
  <si>
    <t>W'burg-Chestertown 6 Reconductor UG</t>
  </si>
  <si>
    <t>FN013976</t>
  </si>
  <si>
    <t>Van Hoesen Greenfield: D-Line</t>
  </si>
  <si>
    <t>Van Hoesen Greenfield: Substation</t>
  </si>
  <si>
    <t>FN014033</t>
  </si>
  <si>
    <t>Genesee Station Retirement</t>
  </si>
  <si>
    <t>Genesee</t>
  </si>
  <si>
    <t>RR-Menands 10157-Getaway Replacemen</t>
  </si>
  <si>
    <t>Menands</t>
  </si>
  <si>
    <t>FN014043</t>
  </si>
  <si>
    <t>Rensselaer Area Study: D-Line</t>
  </si>
  <si>
    <t>FN014119</t>
  </si>
  <si>
    <t>FN014243</t>
  </si>
  <si>
    <t>Altamont TB2 Replacement</t>
  </si>
  <si>
    <t>FN014248</t>
  </si>
  <si>
    <t>Sunny Side - Substation</t>
  </si>
  <si>
    <t>Electric Vehicles (EV)</t>
  </si>
  <si>
    <t>FN014323</t>
  </si>
  <si>
    <t>Beech Ave Substation Retirement</t>
  </si>
  <si>
    <t>Eleventh St Substation Retirement</t>
  </si>
  <si>
    <t>Eleventh St Station 82</t>
  </si>
  <si>
    <t>New College Ave Substation</t>
  </si>
  <si>
    <t>New College Ave Station</t>
  </si>
  <si>
    <t>Northern Niagara Falls D-line</t>
  </si>
  <si>
    <t>Rebuild Lockport Rd Substation</t>
  </si>
  <si>
    <t xml:space="preserve">Lockport Rd </t>
  </si>
  <si>
    <t>FN014417</t>
  </si>
  <si>
    <t>Cleveland D-Line</t>
  </si>
  <si>
    <t>Constantia D-Line Sub</t>
  </si>
  <si>
    <t>Constantia</t>
  </si>
  <si>
    <t>West Cleveland D-line</t>
  </si>
  <si>
    <t>West Cleveland</t>
  </si>
  <si>
    <t>West Monroe D-line</t>
  </si>
  <si>
    <t>West Monroe</t>
  </si>
  <si>
    <t>Individual Project</t>
  </si>
  <si>
    <t>*Hague Rd 52 - Convert Delta Route 22</t>
  </si>
  <si>
    <t>07856 Phillips Rd Conversion</t>
  </si>
  <si>
    <t>26453 South Rd. Conversion</t>
  </si>
  <si>
    <t>33452 NY-43 Conversion</t>
  </si>
  <si>
    <t>81452 Westminster Park Rd - Rebuild</t>
  </si>
  <si>
    <t>BakerSt 56 Delta Conversion Phase 1</t>
  </si>
  <si>
    <t>BakerSt 56 Delta Conversion Phase 2</t>
  </si>
  <si>
    <t>Bethlehem 02158 Conversion</t>
  </si>
  <si>
    <t>Bethlehem 55 Delta Conversion</t>
  </si>
  <si>
    <t>Bridgeport add second bank</t>
  </si>
  <si>
    <t>Bridgeport Upgrade, Sub</t>
  </si>
  <si>
    <t>Brunswick Rebuild: Substation</t>
  </si>
  <si>
    <t>Burgoyne 52- 336 TS Conductor Pilot</t>
  </si>
  <si>
    <t>Burgoyne Station Rebuild</t>
  </si>
  <si>
    <t>Butler Transformer Upgrade 40MVA</t>
  </si>
  <si>
    <t>Coffeen 56 Delta Conversion</t>
  </si>
  <si>
    <t>Colton-BF 1-2 T3140-T3150 ACR</t>
  </si>
  <si>
    <t>Commerce D Line</t>
  </si>
  <si>
    <t>Commerce Station</t>
  </si>
  <si>
    <t>Corinth Rebuild</t>
  </si>
  <si>
    <t>County Hwy 138 OL Ratio Broadalbin</t>
  </si>
  <si>
    <t>Delanson 51_3P Conv_E Esp. Braman</t>
  </si>
  <si>
    <t>Delanson 51_3P Conv_W Bramans Cor</t>
  </si>
  <si>
    <t>Dorwin D-lines</t>
  </si>
  <si>
    <t>East Batavia 55 Delta Conversion</t>
  </si>
  <si>
    <t>East Golah 52 Delta Conversion</t>
  </si>
  <si>
    <t>East Golah 55 Delta Conversion</t>
  </si>
  <si>
    <t>East Pulaski Transformer Upgrade</t>
  </si>
  <si>
    <t>Eastover 230kV 70 MVAR cap bank</t>
  </si>
  <si>
    <t>Elbridge - Geres Lock Capacity</t>
  </si>
  <si>
    <t>Elm St #2 TRF Asset Replacement</t>
  </si>
  <si>
    <t>Elmwood 23kV Cable Group</t>
  </si>
  <si>
    <t>EV RS - Angola -D-line</t>
  </si>
  <si>
    <t>EV RS - Angola -Sub</t>
  </si>
  <si>
    <t>EV RS - Angola -T-line</t>
  </si>
  <si>
    <t>EV RS - Chittenango-D-line</t>
  </si>
  <si>
    <t>EV RS - Chittenango-Sub</t>
  </si>
  <si>
    <t>EV RS - Chittenango-T-line</t>
  </si>
  <si>
    <t>EV RS - Dewitt-D-line</t>
  </si>
  <si>
    <t>EV RS - Dewitt-Sub</t>
  </si>
  <si>
    <t>EV RS - Dewitt-T-line</t>
  </si>
  <si>
    <t>EV RS - Pattersonville-T-line</t>
  </si>
  <si>
    <t>EV RS - Pembroke (Flying J)-D-line</t>
  </si>
  <si>
    <t>EV RS - Pembroke (Flying J)-Sub</t>
  </si>
  <si>
    <t>EV RS - Pembroke (Flying J)-T-line</t>
  </si>
  <si>
    <t>F6458 Reconductor 4/0 Aerial Cable</t>
  </si>
  <si>
    <t>Firehouse 44951</t>
  </si>
  <si>
    <t>Flat Rock Upgrades - Line</t>
  </si>
  <si>
    <t>Florida 52 - Route 30 Ratio Relief</t>
  </si>
  <si>
    <t>French Mountain TB#1 Repl D-Line</t>
  </si>
  <si>
    <t>Frontier 181 ACR/Recond</t>
  </si>
  <si>
    <t>Gilbert Mills Xfmr Upgrade-Xfmr</t>
  </si>
  <si>
    <t>Gilmantown Station Rebuild</t>
  </si>
  <si>
    <t>Gloversville Station Rebuild</t>
  </si>
  <si>
    <t>Grand Island Station Build</t>
  </si>
  <si>
    <t>Greenbush 07857</t>
  </si>
  <si>
    <t>Hague Rd 53 - Alexandria Ave</t>
  </si>
  <si>
    <t>Inman Upgrade D-Line work</t>
  </si>
  <si>
    <t>Install New UG Feeder 16071</t>
  </si>
  <si>
    <t>Kenmore Station 22 Energy Storage</t>
  </si>
  <si>
    <t>Lockport-Batavia 107 Rebuild</t>
  </si>
  <si>
    <t>Lyndonville Tr Replace</t>
  </si>
  <si>
    <t>Malone PAR</t>
  </si>
  <si>
    <t>Middleburg Rebuild</t>
  </si>
  <si>
    <t>Middleville Boutique, D-line</t>
  </si>
  <si>
    <t>Mobile Storage at Angola</t>
  </si>
  <si>
    <t>Nassau Rebuild: Substation</t>
  </si>
  <si>
    <t>New Middleport 13.2kV</t>
  </si>
  <si>
    <t>Northville Station Rebuild</t>
  </si>
  <si>
    <t>Partridge Station Rebuild</t>
  </si>
  <si>
    <t>Pinebush 53 Delta Conversion</t>
  </si>
  <si>
    <t>Port Henry 51 - Convert Port Henry</t>
  </si>
  <si>
    <t>Port Henry Rebuild</t>
  </si>
  <si>
    <t>Recond Cortland Clarks Corners</t>
  </si>
  <si>
    <t>Riverside 28855 Conduit Replacement</t>
  </si>
  <si>
    <t>Rome 52 Delta Conversion</t>
  </si>
  <si>
    <t>Rome 55 Delta Conversion Phase 1</t>
  </si>
  <si>
    <t>Rome 55 Delta Conversion Phase 2</t>
  </si>
  <si>
    <t>Rome 56 Delta Conversion</t>
  </si>
  <si>
    <t>Rotterdam #34 #36 34.5kV Cable Repl</t>
  </si>
  <si>
    <t>Russell Road 22851 Conversion</t>
  </si>
  <si>
    <t>S Washington Boutique D-line</t>
  </si>
  <si>
    <t>Schenevus Rebuild</t>
  </si>
  <si>
    <t>Schroon 51 US-9 Mainline Relocation</t>
  </si>
  <si>
    <t>Scofield 3rd Breaker Installation</t>
  </si>
  <si>
    <t>Scotia Substation Retirement</t>
  </si>
  <si>
    <t>Selkirk 14952 Overloaded ratio</t>
  </si>
  <si>
    <t>Seneca #5 TRF Asset Replace</t>
  </si>
  <si>
    <t>Sharon 51 - Route 20 Ratio Relief - 4.8kV Conversion</t>
  </si>
  <si>
    <t>Sharon 52 - Route 20 Ratio Relief</t>
  </si>
  <si>
    <t>Shawnee Rd Station 76- TRF1 AC</t>
  </si>
  <si>
    <t>Smart Path Connect - T Line</t>
  </si>
  <si>
    <t>South Mall #38 Cable Replacement</t>
  </si>
  <si>
    <t>South Street Rebuild</t>
  </si>
  <si>
    <t>Summit Rebuild</t>
  </si>
  <si>
    <t>Swann Rd 51 Delta Conversion</t>
  </si>
  <si>
    <t>Teall Ave - Asset Replacement</t>
  </si>
  <si>
    <t>Teall-Oneida LN2 &amp; LN5 DCT Rebuild</t>
  </si>
  <si>
    <t>Unionville D-Line Work</t>
  </si>
  <si>
    <t>Vail Mills 51 - Cnty Hwy 107 Part 3</t>
  </si>
  <si>
    <t>Vail Mills 52 - Centerline Rd Ratio</t>
  </si>
  <si>
    <t>Voorheesville Station Rebuild</t>
  </si>
  <si>
    <t>W Chautauqua 34.5/4.8kV Mini Sub</t>
  </si>
  <si>
    <t>Warrensburg 52 - Glen Athol Road</t>
  </si>
  <si>
    <t>Wells Station Rebuild</t>
  </si>
  <si>
    <t>Wolf Road Getaway Replacement</t>
  </si>
  <si>
    <t>Spending in 000's</t>
  </si>
  <si>
    <t>Transmission Project</t>
  </si>
  <si>
    <t>Transmission only Projects</t>
  </si>
  <si>
    <t>FN000507</t>
  </si>
  <si>
    <t>FN010416</t>
  </si>
  <si>
    <t>FN000138</t>
  </si>
  <si>
    <t>FN002420</t>
  </si>
  <si>
    <t>FN000570</t>
  </si>
  <si>
    <t>FN011558</t>
  </si>
  <si>
    <t>FN011559</t>
  </si>
  <si>
    <t>FN002393</t>
  </si>
  <si>
    <t>FN012008</t>
  </si>
  <si>
    <t>FN011363</t>
  </si>
  <si>
    <t>FN012610</t>
  </si>
  <si>
    <t>FN011439</t>
  </si>
  <si>
    <t>FN011352</t>
  </si>
  <si>
    <t>FN012851A</t>
  </si>
  <si>
    <t>FN012817</t>
  </si>
  <si>
    <t>FN014222</t>
  </si>
  <si>
    <t>FN011414</t>
  </si>
  <si>
    <t>FN011413</t>
  </si>
  <si>
    <t>FN012612</t>
  </si>
  <si>
    <t>FN011415</t>
  </si>
  <si>
    <t>FN011848</t>
  </si>
  <si>
    <t>FN006634</t>
  </si>
  <si>
    <t>FN006637</t>
  </si>
  <si>
    <t>FN011440</t>
  </si>
  <si>
    <t>FN010312</t>
  </si>
  <si>
    <t>FN004729</t>
  </si>
  <si>
    <t>FN004723</t>
  </si>
  <si>
    <t>FN010831</t>
  </si>
  <si>
    <t>FN011387A</t>
  </si>
  <si>
    <t>FN011545</t>
  </si>
  <si>
    <t>FN011544</t>
  </si>
  <si>
    <t>FN011543</t>
  </si>
  <si>
    <t>FN000216A</t>
  </si>
  <si>
    <t>FN011402</t>
  </si>
  <si>
    <t>FN010022</t>
  </si>
  <si>
    <t>FN012052</t>
  </si>
  <si>
    <t>FN012051</t>
  </si>
  <si>
    <t>FN012062</t>
  </si>
  <si>
    <t>FN012061</t>
  </si>
  <si>
    <t>FN012057</t>
  </si>
  <si>
    <t>FN012055</t>
  </si>
  <si>
    <t>FN012048</t>
  </si>
  <si>
    <t>FN012041</t>
  </si>
  <si>
    <t>FN013818</t>
  </si>
  <si>
    <t>FN000459</t>
  </si>
  <si>
    <t>FN011347</t>
  </si>
  <si>
    <t>FN006171</t>
  </si>
  <si>
    <t>FN014455</t>
  </si>
  <si>
    <t>FN013397</t>
  </si>
  <si>
    <t>FN013415</t>
  </si>
  <si>
    <t>FN000195A</t>
  </si>
  <si>
    <t>FN011476</t>
  </si>
  <si>
    <t>FN011422</t>
  </si>
  <si>
    <t>FN002240</t>
  </si>
  <si>
    <t>FN011384</t>
  </si>
  <si>
    <t>FN006457</t>
  </si>
  <si>
    <t>FN011442</t>
  </si>
  <si>
    <t>FN002374</t>
  </si>
  <si>
    <t>FN011445</t>
  </si>
  <si>
    <t>FN011353</t>
  </si>
  <si>
    <t>FN011417</t>
  </si>
  <si>
    <t>FN010667</t>
  </si>
  <si>
    <t>FN011605</t>
  </si>
  <si>
    <t>FN011371</t>
  </si>
  <si>
    <t>FN011411</t>
  </si>
  <si>
    <t>FN013411</t>
  </si>
  <si>
    <t>FN013414</t>
  </si>
  <si>
    <t>FN011857</t>
  </si>
  <si>
    <t>FN010006</t>
  </si>
  <si>
    <t>FN011424</t>
  </si>
  <si>
    <t>FN011382</t>
  </si>
  <si>
    <t>FN012928</t>
  </si>
  <si>
    <t>FN012193</t>
  </si>
  <si>
    <t>FN011393</t>
  </si>
  <si>
    <t>FN010052</t>
  </si>
  <si>
    <t>FN011426</t>
  </si>
  <si>
    <t>FN011416</t>
  </si>
  <si>
    <t>FN011443</t>
  </si>
  <si>
    <t>FN012945</t>
  </si>
  <si>
    <t>FN011395</t>
  </si>
  <si>
    <t>FN012004</t>
  </si>
  <si>
    <t>FN011397</t>
  </si>
  <si>
    <t>FN002263</t>
  </si>
  <si>
    <t>FN011433</t>
  </si>
  <si>
    <t>FN012721</t>
  </si>
  <si>
    <t>FN000126</t>
  </si>
  <si>
    <t>FN011854</t>
  </si>
  <si>
    <t>FN011852</t>
  </si>
  <si>
    <t>FN011853</t>
  </si>
  <si>
    <t>FN011856</t>
  </si>
  <si>
    <t>FN001348</t>
  </si>
  <si>
    <t>FN014168</t>
  </si>
  <si>
    <t>FN013424A</t>
  </si>
  <si>
    <t>FN011355A</t>
  </si>
  <si>
    <t>FN011399</t>
  </si>
  <si>
    <t>FN011465</t>
  </si>
  <si>
    <t>FN011466</t>
  </si>
  <si>
    <t>FN002211</t>
  </si>
  <si>
    <t>FN001881</t>
  </si>
  <si>
    <t>FN006212</t>
  </si>
  <si>
    <t>FN006224</t>
  </si>
  <si>
    <t>FN013868</t>
  </si>
  <si>
    <t>FN003350</t>
  </si>
  <si>
    <t>FN011436</t>
  </si>
  <si>
    <t>FN011383</t>
  </si>
  <si>
    <t>FN011562</t>
  </si>
  <si>
    <t>FN012826</t>
  </si>
  <si>
    <t>FN011404</t>
  </si>
  <si>
    <t>FN011406</t>
  </si>
  <si>
    <t>FN012943</t>
  </si>
  <si>
    <t>FN006357</t>
  </si>
  <si>
    <t>FN006234</t>
  </si>
  <si>
    <t>FN011427</t>
  </si>
  <si>
    <t>FN011400</t>
  </si>
  <si>
    <t>FN006517</t>
  </si>
  <si>
    <t>FN002225</t>
  </si>
  <si>
    <t>FN011423</t>
  </si>
  <si>
    <t>FN011388</t>
  </si>
  <si>
    <t>Capital Spending $000s</t>
  </si>
  <si>
    <t>pre 2026</t>
  </si>
  <si>
    <t>Project #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</si>
  <si>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</si>
  <si>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</si>
  <si>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</si>
  <si>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</si>
  <si>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</si>
  <si>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</si>
  <si>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</si>
  <si>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</si>
  <si>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</si>
  <si>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</si>
  <si>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Substation on Distribution Tab</t>
  </si>
  <si>
    <t>38 Spring</t>
  </si>
  <si>
    <t>Cumulative Costs</t>
  </si>
  <si>
    <t>Incremental Spending</t>
  </si>
  <si>
    <t>Cumulative Per Investment Type</t>
  </si>
  <si>
    <t>Escalated Costs</t>
  </si>
  <si>
    <t>ECCR=&gt;</t>
  </si>
  <si>
    <t>Parent #</t>
  </si>
  <si>
    <t>Total MW</t>
  </si>
  <si>
    <t>Substation MCOS</t>
  </si>
  <si>
    <t>Final MW</t>
  </si>
  <si>
    <t>Final MW for Averaging</t>
  </si>
  <si>
    <t>Type</t>
  </si>
  <si>
    <t>MW for Weighting</t>
  </si>
  <si>
    <t>ECCR =&gt;</t>
  </si>
  <si>
    <t>MC after ECCR</t>
  </si>
  <si>
    <t>Transmnet</t>
  </si>
  <si>
    <t>Pre-2025</t>
  </si>
  <si>
    <t>Cost Inputs</t>
  </si>
  <si>
    <t>*STATA commands for Staff DRV / LSRV Proposal</t>
  </si>
  <si>
    <t>gen lsrv=1.645*se_mcos10yr</t>
  </si>
  <si>
    <t xml:space="preserve"> gen wtd_drv_plus_lsrv=0</t>
  </si>
  <si>
    <t xml:space="preserve"> replace wtd_drv_plus_lsrv=wtd_drv+wtd_lsrv</t>
  </si>
  <si>
    <t>*table B-1 six columns, too many stats to include in table</t>
  </si>
  <si>
    <t xml:space="preserve"> table utility if mcos10yr&gt;0, c(sum subs_nonzero mean wtd_drv  mean wtd_se_mcos10yr mean wtd_lsrv sum wtd_lsrv_area  mean wtd_drv_plus_lsrv)</t>
  </si>
  <si>
    <t>*table B-1 six columns, first five columns</t>
  </si>
  <si>
    <t xml:space="preserve"> table utility if mcos10yr&gt;0, c(sum subs_nonzero mean wtd_drv   mean wtd_se_mcos10yr mean wtd_lsrv sum wtd_lsrv_area  )</t>
  </si>
  <si>
    <t>*table B-1 six columns, last five columns</t>
  </si>
  <si>
    <t xml:space="preserve"> table utility if mcos10yr&gt;0, c( mean wtd_drv   mean wtd_se_mcos10yr mean wtd_lsrv sum wtd_lsrv_area  mean wtd_drv_plus_lsrv)</t>
  </si>
  <si>
    <t>*table B-2</t>
  </si>
  <si>
    <t>table utility if mcos10yr&gt;0, c( mean wtd_drv )</t>
  </si>
  <si>
    <t xml:space="preserve">*table B-3 </t>
  </si>
  <si>
    <t>*table B-4</t>
  </si>
  <si>
    <t>table utility if mcos10yr&gt;0, c(mean wtd_lsrv )</t>
  </si>
  <si>
    <t>*table B-5</t>
  </si>
  <si>
    <t>table utility if mcos10yr&gt;0, c(sum wtd_lsrv_area  )</t>
  </si>
  <si>
    <t>graph combine graph1a.gph graph2a.gph graph3a.gph graph4a.gph graph5a.gph graph6a.gph, t1("Staff Proposal -- Bottom Line=DRV,  Top Line=LSRV")</t>
  </si>
  <si>
    <t>*Figure B-1    Ten Year Levelized MCOS Results for Substation Areas Stacked by Cost Level</t>
  </si>
  <si>
    <t xml:space="preserve">*table utility, c(sum subs mean non_zero ) </t>
  </si>
  <si>
    <t xml:space="preserve">*one sided 95 percent confidence LSRV threshold &amp; SE based on mean of a  20% sample.  </t>
  </si>
  <si>
    <t>*drop National Grid transmission  cost observation. These costs were allocated to substation areas</t>
  </si>
  <si>
    <t>display "     result(1)=" _result(1) "     result(3)="  _result(3)  "     result(4)^0.5="  _result(4)^0.5</t>
  </si>
  <si>
    <t>gen se_mcos10yr= std_mcos10yr/((ceil(non_zero*.2))^.5)</t>
  </si>
  <si>
    <t>gen se1_mcos10yr= std_mcos10yr/(ceil((non_zero*.2)^.5))</t>
  </si>
  <si>
    <t xml:space="preserve"> replace wtd_mcos10yr=_result(3)  if utility=="CECONY" &amp; mcos10yr&gt;0 </t>
  </si>
  <si>
    <t xml:space="preserve"> replace wtd_se_mcos10yr=((_result(4)^.5)/(((_result(1)*.2)^.5))) if utility=="CECONY" &amp; mcos10yr&gt;0 </t>
  </si>
  <si>
    <t xml:space="preserve">replace wtd_drv=_result(3) if utility=="CECONY" &amp; mcos10yr&gt;0 </t>
  </si>
  <si>
    <t xml:space="preserve">replace wtd_lsrv=(1.645*wtd_se_mcos10yr) if utility=="CECONY" &amp; mcos10yr&gt;0 </t>
  </si>
  <si>
    <t xml:space="preserve"> replace wtd_mcos10yr=_result(3)  if utility=="Central Hudson" &amp; mcos10yr&gt;0 </t>
  </si>
  <si>
    <t xml:space="preserve"> replace wtd_se_mcos10yr=((_result(4)^.5)/(((_result(1)*.2)^.5))) if utility=="Central Hudson" &amp; mcos10yr&gt;0 </t>
  </si>
  <si>
    <t xml:space="preserve">replace wtd_drv=_result(3) if utility=="Central Hudson" &amp; mcos10yr&gt;0 </t>
  </si>
  <si>
    <t xml:space="preserve">replace wtd_lsrv=(1.645*wtd_se_mcos10yr) if utility=="Central Hudson" &amp; mcos10yr&gt;0 </t>
  </si>
  <si>
    <t xml:space="preserve"> replace wtd_mcos10yr=_result(3)  if utility=="NYSEG" &amp; mcos10yr&gt;0 </t>
  </si>
  <si>
    <t xml:space="preserve"> replace wtd_se_mcos10yr=((_result(4)^.5)/(((_result(1)*.2)^.5))) if utility=="NYSEG" &amp; mcos10yr&gt;0 </t>
  </si>
  <si>
    <t xml:space="preserve">replace wtd_drv=_result(3) if utility=="NYSEG" &amp; mcos10yr&gt;0 </t>
  </si>
  <si>
    <t xml:space="preserve">replace wtd_lsrv=(1.645*wtd_se_mcos10yr) if utility=="NYSEG" &amp; mcos10yr&gt;0 </t>
  </si>
  <si>
    <t xml:space="preserve"> replace wtd_mcos10yr=_result(3)  if utility=="National Grid" &amp; mcos10yr&gt;0 </t>
  </si>
  <si>
    <t xml:space="preserve"> replace wtd_se_mcos10yr=((_result(4)^.5)/(((_result(1)*.2)^.5))) if utility=="National Grid" &amp; mcos10yr&gt;0 </t>
  </si>
  <si>
    <t xml:space="preserve">replace wtd_drv=_result(3) if utility=="National Grid" &amp; mcos10yr&gt;0 </t>
  </si>
  <si>
    <t xml:space="preserve">replace wtd_lsrv=(1.645*wtd_se_mcos10yr) if utility=="National Grid" &amp; mcos10yr&gt;0 </t>
  </si>
  <si>
    <t xml:space="preserve"> replace wtd_mcos10yr=_result(3)  if utility=="O&amp;R" &amp; mcos10yr&gt;0 </t>
  </si>
  <si>
    <t xml:space="preserve"> replace wtd_se_mcos10yr=((_result(4)^.5)/(((_result(1)*.2)^.5))) if utility=="O&amp;R" &amp; mcos10yr&gt;0 </t>
  </si>
  <si>
    <t xml:space="preserve">replace wtd_drv=_result(3) if utility=="O&amp;R" &amp; mcos10yr&gt;0 </t>
  </si>
  <si>
    <t xml:space="preserve">replace wtd_lsrv=(1.645*wtd_se_mcos10yr) if utility=="O&amp;R" &amp; mcos10yr&gt;0 </t>
  </si>
  <si>
    <t xml:space="preserve"> replace wtd_mcos10yr=_result(3)  if utility=="RGE" &amp; mcos10yr&gt;0 </t>
  </si>
  <si>
    <t xml:space="preserve"> replace wtd_se_mcos10yr=((_result(4)^.5)/(((_result(1)*.2)^.5))) if utility=="RGE" &amp; mcos10yr&gt;0 </t>
  </si>
  <si>
    <t xml:space="preserve">replace wtd_drv=_result(3) if utility=="RGE" &amp; mcos10yr&gt;0 </t>
  </si>
  <si>
    <t xml:space="preserve">replace wtd_lsrv=(1.645*wtd_se_mcos10yr) if utility=="RGE" &amp; mcos10yr&gt;0 </t>
  </si>
  <si>
    <t>twoway scatter mcos10yr utility_obs2  if mcos10yr&gt;0 &amp; utility=="CECONY", saving(graph1a,replace) , yline(252.54 305.24 )  t1(CECONY)  scheme(s1mono)</t>
  </si>
  <si>
    <t>twoway scatter mcos10yr utility_obs2  if mcos10yr&gt;0 &amp; utility=="Central Hudson", saving(graph2a,replace) , yline(21.64204 35.58262 )  t1(Central Hudson)  scheme(s1mono)</t>
  </si>
  <si>
    <t>twoway scatter mcos10yr utility_obs2  if mcos10yr&gt;0 &amp; utility=="NYSEG", saving(graph3a,replace) , yline(85.23215 123.89745 )  t1(NYSEG) scheme(s1mono)</t>
  </si>
  <si>
    <t>twoway scatter mcos10yr utility_obs2  if  mcos10yr&gt;0 &amp; utility=="National Grid", saving(graph4a,replace) , yline(146.59 178.52 )  t1(National Grid)  scheme(s1mono)</t>
  </si>
  <si>
    <t>twoway scatter mcos10yr utility_obs2  if mcos10yr&gt;0 &amp; utility=="O&amp;R", saving(graph5a,replace) , yline(22.73 34.72 )  t1(O&amp;R) scheme(s1mono)</t>
  </si>
  <si>
    <t>twoway scatter mcos10yr utility_obs2  if mcos10yr&gt;0 &amp; utility=="RGE" ,saving(graph6a,replace) , yline(66.85089 86.64889 )  t1(RGE)  scheme(s1mono)</t>
  </si>
  <si>
    <t xml:space="preserve">changed to </t>
  </si>
  <si>
    <t>. *STATA commands for Staff DRV / LSRV Proposal</t>
  </si>
  <si>
    <t>. gen lsrv=1.645*se_mcos10yr</t>
  </si>
  <si>
    <t xml:space="preserve">    mcos10yr |        151    148.9844    114.2891      65.82     632.89</t>
  </si>
  <si>
    <t xml:space="preserve">    mcos10yr |         59    13.97308    24.78505    1.85332   136.2434</t>
  </si>
  <si>
    <t xml:space="preserve">    mcos10yr |      46  4274.80545    252.5372   97.16889   4.331281   493.1802</t>
  </si>
  <si>
    <t xml:space="preserve">    mcos10yr |     151  5988.08998    146.5905    106.676      65.82     632.89</t>
  </si>
  <si>
    <t xml:space="preserve">    mcos10yr |      59  1880.74751    22.73046    25.0406    1.85332   136.2434</t>
  </si>
  <si>
    <t>(67 real changes made)</t>
  </si>
  <si>
    <t>.  gen wtd_drv_plus_lsrv=0</t>
  </si>
  <si>
    <t>.  replace wtd_drv_plus_lsrv=wtd_drv+wtd_lsrv</t>
  </si>
  <si>
    <t>. *table B-1 six columns, too many stats to include in table</t>
  </si>
  <si>
    <t>.  table utility if mcos10yr&gt;0, c(sum subs_nonzero mean wtd_drv  mean wtd_se_mcos10yr mean wtd_lsrv sum wtd_lsrv_area  mean wtd_drv_plus_lsrv)</t>
  </si>
  <si>
    <t>too many stats()</t>
  </si>
  <si>
    <t>r(103);</t>
  </si>
  <si>
    <t>Table B-1               Staff's Proposed DRV and LSRV  ($/kW-year)</t>
  </si>
  <si>
    <t>. *table B-1 six columns, first five columns</t>
  </si>
  <si>
    <t>DRV (Weighted Avg 10-yr Levelized MCOS)</t>
  </si>
  <si>
    <t>footnote 36 re % LSRV areas</t>
  </si>
  <si>
    <t>mean(wtd_~r)</t>
  </si>
  <si>
    <t>.  table utility if mcos10yr&gt;0, c(sum subs_nonzero mean wtd_drv   mean wtd_se_mcos10yr mean wtd_lsrv sum wtd_lsrv_area  )</t>
  </si>
  <si>
    <t xml:space="preserve">       utility | sum(subs_~o)  mean(wtd_~v)  mean(wtd_~r)  mean(wtd_~v)  sum(wtd_l~a)</t>
  </si>
  <si>
    <t xml:space="preserve">        CECONY |           46      252.5372      32.03563      52.69862             2</t>
  </si>
  <si>
    <t>Central Hudson |           64      21.64204      8.474517      13.94058             4</t>
  </si>
  <si>
    <t xml:space="preserve">         NYSEG |           79      85.23215      23.50474       38.6653            10</t>
  </si>
  <si>
    <t xml:space="preserve"> National Grid |          151      146.5905      19.41168      31.93221            35</t>
  </si>
  <si>
    <t xml:space="preserve">           O&amp;R |           59      22.73046      7.289601      11.99139             7</t>
  </si>
  <si>
    <t xml:space="preserve">           RGE |           46      66.85089      12.03526        19.798             9</t>
  </si>
  <si>
    <t>. *table B-1 six columns, last five columns</t>
  </si>
  <si>
    <t>.  table utility if mcos10yr&gt;0, c( mean wtd_drv   mean wtd_se_mcos10yr mean wtd_lsrv sum wtd_lsrv_area  mean wtd_drv_plus_lsrv)</t>
  </si>
  <si>
    <t xml:space="preserve">       utility | mean(wtd_~v)  mean(wtd_~r)  mean(wtd_~v)  sum(wtd_l~a)  mean(wtd_~v)</t>
  </si>
  <si>
    <t xml:space="preserve">        CECONY |     252.5372      32.03563      52.69862             2      305.2358</t>
  </si>
  <si>
    <t>Central Hudson |     21.64204      8.474517      13.94058             4      35.58262</t>
  </si>
  <si>
    <t xml:space="preserve">         NYSEG |     85.23215      23.50474       38.6653            10      123.8975</t>
  </si>
  <si>
    <t xml:space="preserve"> National Grid |     146.5905      19.41168      31.93221            35      178.5227</t>
  </si>
  <si>
    <t xml:space="preserve">           O&amp;R |     22.73046      7.289601      11.99139             7      34.72186</t>
  </si>
  <si>
    <t xml:space="preserve">           RGE |     66.85089      12.03526        19.798             9      86.64889</t>
  </si>
  <si>
    <t>. *table B-2</t>
  </si>
  <si>
    <t>. table utility if mcos10yr&gt;0, c( mean wtd_drv )</t>
  </si>
  <si>
    <t>------------------------------</t>
  </si>
  <si>
    <t xml:space="preserve">       utility | mean(wtd_drv)</t>
  </si>
  <si>
    <t>---------------+--------------</t>
  </si>
  <si>
    <t xml:space="preserve">        CECONY |      252.5372</t>
  </si>
  <si>
    <t>Central Hudson |      21.64204</t>
  </si>
  <si>
    <t xml:space="preserve">         NYSEG |      85.23215</t>
  </si>
  <si>
    <t xml:space="preserve"> National Grid |      146.5905</t>
  </si>
  <si>
    <t xml:space="preserve">           O&amp;R |      22.73046</t>
  </si>
  <si>
    <t xml:space="preserve">           RGE |      66.85089</t>
  </si>
  <si>
    <t xml:space="preserve">. *table B-3 </t>
  </si>
  <si>
    <t>. *table B-4</t>
  </si>
  <si>
    <t>. table utility if mcos10yr&gt;0, c(mean wtd_lsrv )</t>
  </si>
  <si>
    <t>-------------------------------</t>
  </si>
  <si>
    <t xml:space="preserve">       utility | mean(wtd_lsrv)</t>
  </si>
  <si>
    <t>---------------+---------------</t>
  </si>
  <si>
    <t xml:space="preserve">        CECONY |       52.69862</t>
  </si>
  <si>
    <t>Central Hudson |       13.94058</t>
  </si>
  <si>
    <t xml:space="preserve">         NYSEG |        38.6653</t>
  </si>
  <si>
    <t xml:space="preserve"> National Grid |       31.93221</t>
  </si>
  <si>
    <t xml:space="preserve">           O&amp;R |       11.99139</t>
  </si>
  <si>
    <t xml:space="preserve">           RGE |         19.798</t>
  </si>
  <si>
    <t>. *table B-5</t>
  </si>
  <si>
    <t>. table utility if mcos10yr&gt;0, c(sum wtd_lsrv_area  )</t>
  </si>
  <si>
    <t xml:space="preserve">       utility | sum(wtd_ls~a)</t>
  </si>
  <si>
    <t xml:space="preserve">        CECONY |             2</t>
  </si>
  <si>
    <t>Central Hudson |             4</t>
  </si>
  <si>
    <t xml:space="preserve">         NYSEG |            10</t>
  </si>
  <si>
    <t xml:space="preserve"> National Grid |            35</t>
  </si>
  <si>
    <t xml:space="preserve">           O&amp;R |             7</t>
  </si>
  <si>
    <t xml:space="preserve">           RGE |             9</t>
  </si>
  <si>
    <t>. graph combine graph1a.gph graph2a.gph graph3a.gph graph4a.gph graph5a.gph graph6a.gph, t1("Staff Proposal -- Bottom Line=DRV,  Top Line=LSRV")</t>
  </si>
  <si>
    <t>. *Figure B-1    Ten Year Levelized MCOS Results for Substation Areas Stacked by Cost Level</t>
  </si>
  <si>
    <t>&gt; o)</t>
  </si>
  <si>
    <t>Table B-3      Comparison of Segment Aggregation Methods for DRV ($/kW-year)</t>
  </si>
  <si>
    <t>Staff Proposed DRV  (Weighted Avg 10-yr Levelized MCOS) *</t>
  </si>
  <si>
    <t>NERA Segmenting Method 10yr Levelized MCOS for Systemwide EE Purposes **</t>
  </si>
  <si>
    <t>* weighted average of sum of segment costs in areas with at least one segment having non-zero cost</t>
  </si>
  <si>
    <t>**  sum of each segment's non-zero weighted cost</t>
  </si>
  <si>
    <t>Example Cumulative vs Back-to-Zero MCOS Calculations</t>
  </si>
  <si>
    <t>Example Regarding Segment Cost Aggregation</t>
  </si>
  <si>
    <t>MCOS with Transm Net</t>
  </si>
  <si>
    <t>2.84 or 5.68</t>
  </si>
  <si>
    <t>31.57 or 63.13</t>
  </si>
  <si>
    <t>18.32 or 36.65</t>
  </si>
  <si>
    <t>Table B-4</t>
  </si>
  <si>
    <t>RG&amp;E</t>
  </si>
  <si>
    <t>Table B-5</t>
  </si>
  <si>
    <t>Table B-2</t>
  </si>
  <si>
    <t xml:space="preserve"> *table utility if mcos10yr&gt;0, c(sum subs_nonzero sum lsrv_area mean drv mean lsrv)</t>
  </si>
  <si>
    <t>*table utility if mcos10yr&gt;0 , c(sum subs_nonzero mean mcos10yr mean wtd_mcos10yr mean se_mcos10yr mean wtd_se_mcos10yr)</t>
  </si>
  <si>
    <t>*list by substation --  if LSRV area,  10-year levelized MCOS, and MW</t>
  </si>
  <si>
    <t xml:space="preserve"> list utility substation wtd_lsrv_area mcos10yr mw, clean</t>
  </si>
  <si>
    <t>*cells A1:E470 are cut and pasted into STATA data editor</t>
  </si>
  <si>
    <t>. *drop National Grid transmission  cost observation. These costs were allocated to substation areas</t>
  </si>
  <si>
    <t>. gen se_mcos10yr= std_mcos10yr/((ceil(non_zero*.2))^.5)</t>
  </si>
  <si>
    <t>. gen se1_mcos10yr= std_mcos10yr/(ceil((non_zero*.2)^.5))</t>
  </si>
  <si>
    <t xml:space="preserve">. *table utility, c(sum subs mean non_zero ) </t>
  </si>
  <si>
    <t xml:space="preserve">. *one sided 95 percent confidence LSRV threshold &amp; SE based on mean of a  20% sample.  </t>
  </si>
  <si>
    <t>(88 real changes made)</t>
  </si>
  <si>
    <t>.  *table utility if mcos10yr&gt;0, c(sum subs_nonzero sum lsrv_area mean drv mean lsrv)</t>
  </si>
  <si>
    <t>. display "     result(1)=" _result(1) "     result(3)="  _result(3)  "     result(4)^0.5="  _result(4)^0.5</t>
  </si>
  <si>
    <t xml:space="preserve">     result(1)=46     result(3)=252.53717     result(4)^0.5=97.168891</t>
  </si>
  <si>
    <t xml:space="preserve">.  replace wtd_mcos10yr=_result(3)  if utility=="CECONY" &amp; mcos10yr&gt;0 </t>
  </si>
  <si>
    <t xml:space="preserve">.  replace wtd_se_mcos10yr=((_result(4)^.5)/(((_result(1)*.2)^.5))) if utility=="CECONY" &amp; mcos10yr&gt;0 </t>
  </si>
  <si>
    <t xml:space="preserve">. replace wtd_drv=_result(3) if utility=="CECONY" &amp; mcos10yr&gt;0 </t>
  </si>
  <si>
    <t xml:space="preserve">. replace wtd_lsrv=(1.645*wtd_se_mcos10yr) if utility=="CECONY" &amp; mcos10yr&gt;0 </t>
  </si>
  <si>
    <t xml:space="preserve">     result(1)=64     result(3)=21.642037     result(4)^0.5=30.319352</t>
  </si>
  <si>
    <t xml:space="preserve">.  replace wtd_mcos10yr=_result(3)  if utility=="Central Hudson" &amp; mcos10yr&gt;0 </t>
  </si>
  <si>
    <t xml:space="preserve">.  replace wtd_se_mcos10yr=((_result(4)^.5)/(((_result(1)*.2)^.5))) if utility=="Central Hudson" &amp; mcos10yr&gt;0 </t>
  </si>
  <si>
    <t xml:space="preserve">. replace wtd_drv=_result(3) if utility=="Central Hudson" &amp; mcos10yr&gt;0 </t>
  </si>
  <si>
    <t xml:space="preserve">. replace wtd_lsrv=(1.645*wtd_se_mcos10yr) if utility=="Central Hudson" &amp; mcos10yr&gt;0 </t>
  </si>
  <si>
    <t xml:space="preserve">     result(1)=79     result(3)=85.232157     result(4)^0.5=93.429508</t>
  </si>
  <si>
    <t xml:space="preserve">.  replace wtd_mcos10yr=_result(3)  if utility=="NYSEG" &amp; mcos10yr&gt;0 </t>
  </si>
  <si>
    <t xml:space="preserve">.  replace wtd_se_mcos10yr=((_result(4)^.5)/(((_result(1)*.2)^.5))) if utility=="NYSEG" &amp; mcos10yr&gt;0 </t>
  </si>
  <si>
    <t xml:space="preserve">. replace wtd_drv=_result(3) if utility=="NYSEG" &amp; mcos10yr&gt;0 </t>
  </si>
  <si>
    <t xml:space="preserve">. replace wtd_lsrv=(1.645*wtd_se_mcos10yr) if utility=="NYSEG" &amp; mcos10yr&gt;0 </t>
  </si>
  <si>
    <t xml:space="preserve">     result(1)=151     result(3)=146.5905     result(4)^0.5=106.67596</t>
  </si>
  <si>
    <t xml:space="preserve">.  replace wtd_mcos10yr=_result(3)  if utility=="National Grid" &amp; mcos10yr&gt;0 </t>
  </si>
  <si>
    <t xml:space="preserve">.  replace wtd_se_mcos10yr=((_result(4)^.5)/(((_result(1)*.2)^.5))) if utility=="National Grid" &amp; mcos10yr&gt;0 </t>
  </si>
  <si>
    <t xml:space="preserve">. replace wtd_drv=_result(3) if utility=="National Grid" &amp; mcos10yr&gt;0 </t>
  </si>
  <si>
    <t xml:space="preserve">. replace wtd_lsrv=(1.645*wtd_se_mcos10yr) if utility=="National Grid" &amp; mcos10yr&gt;0 </t>
  </si>
  <si>
    <t xml:space="preserve">     result(1)=59     result(3)=22.73046     result(4)^0.5=25.040603</t>
  </si>
  <si>
    <t xml:space="preserve">.  replace wtd_mcos10yr=_result(3)  if utility=="O&amp;R" &amp; mcos10yr&gt;0 </t>
  </si>
  <si>
    <t xml:space="preserve">.  replace wtd_se_mcos10yr=((_result(4)^.5)/(((_result(1)*.2)^.5))) if utility=="O&amp;R" &amp; mcos10yr&gt;0 </t>
  </si>
  <si>
    <t xml:space="preserve">. replace wtd_drv=_result(3) if utility=="O&amp;R" &amp; mcos10yr&gt;0 </t>
  </si>
  <si>
    <t xml:space="preserve">. replace wtd_lsrv=(1.645*wtd_se_mcos10yr) if utility=="O&amp;R" &amp; mcos10yr&gt;0 </t>
  </si>
  <si>
    <t xml:space="preserve">     result(1)=46     result(3)=66.850895     result(4)^0.5=36.504744</t>
  </si>
  <si>
    <t xml:space="preserve">.  replace wtd_mcos10yr=_result(3)  if utility=="RGE" &amp; mcos10yr&gt;0 </t>
  </si>
  <si>
    <t xml:space="preserve">.  replace wtd_se_mcos10yr=((_result(4)^.5)/(((_result(1)*.2)^.5))) if utility=="RGE" &amp; mcos10yr&gt;0 </t>
  </si>
  <si>
    <t xml:space="preserve">. replace wtd_drv=_result(3) if utility=="RGE" &amp; mcos10yr&gt;0 </t>
  </si>
  <si>
    <t xml:space="preserve">. replace wtd_lsrv=(1.645*wtd_se_mcos10yr) if utility=="RGE" &amp; mcos10yr&gt;0 </t>
  </si>
  <si>
    <t>. *table utility if mcos10yr&gt;0 , c(sum subs_nonzero mean mcos10yr mean wtd_mcos10yr mean se_mcos10yr mean wtd_se_mcos10yr)</t>
  </si>
  <si>
    <t>. twoway scatter mcos10yr utility_obs2  if mcos10yr&gt;0 &amp; utility=="CECONY", saving(graph1a,replace) , yline(252.54 305.24 )  t1(CECONY)  scheme(s1mono)</t>
  </si>
  <si>
    <t>. twoway scatter mcos10yr utility_obs2  if mcos10yr&gt;0 &amp; utility=="Central Hudson", saving(graph2a,replace) , yline(21.64204 35.58262 )  t1(Central Hud</t>
  </si>
  <si>
    <t>&gt; son)  scheme(s1mono)</t>
  </si>
  <si>
    <t>. twoway scatter mcos10yr utility_obs2  if mcos10yr&gt;0 &amp; utility=="NYSEG", saving(graph3a,replace) , yline(85.23215 123.89745 )  t1(NYSEG) scheme(s1mon</t>
  </si>
  <si>
    <t xml:space="preserve">. twoway scatter mcos10yr utility_obs2  if  mcos10yr&gt;0 &amp; utility=="National Grid", saving(graph4a,replace) , yline(146.59 178.52 )  t1(National Grid) </t>
  </si>
  <si>
    <t>&gt;  scheme(s1mono)</t>
  </si>
  <si>
    <t>. twoway scatter mcos10yr utility_obs2  if mcos10yr&gt;0 &amp; utility=="O&amp;R", saving(graph5a,replace) , yline(22.73 34.72 )  t1(O&amp;R) scheme(s1mono)</t>
  </si>
  <si>
    <t>. twoway scatter mcos10yr utility_obs2  if mcos10yr&gt;0 &amp; utility=="RGE" ,saving(graph6a,replace) , yline(66.85089 86.64889 )  t1(RGE)  scheme(s1mono)</t>
  </si>
  <si>
    <t>. *list by substation --  if LSRV area,  10-year levelized MCOS, and MW</t>
  </si>
  <si>
    <t>.  list utility substation wtd_lsrv_area mcos10yr mw, clean</t>
  </si>
  <si>
    <t xml:space="preserve">              utility                  substation   wtd_ls~a   mcos10yr        mw  </t>
  </si>
  <si>
    <t xml:space="preserve">  1.           CECONY                    Rockview          0          0         0  </t>
  </si>
  <si>
    <t xml:space="preserve">  2.           CECONY     West 110th Street No. 2          0          0         0  </t>
  </si>
  <si>
    <t xml:space="preserve">  3.           CECONY               Cherry Street          0          0         0  </t>
  </si>
  <si>
    <t xml:space="preserve">  4.           CECONY               Ossining West          0          0         0  </t>
  </si>
  <si>
    <t xml:space="preserve">  5.           CECONY                       Astor          0          0         0  </t>
  </si>
  <si>
    <t xml:space="preserve">  6.           CECONY            West 19th Street          0          0         0  </t>
  </si>
  <si>
    <t xml:space="preserve">  7.           CECONY      Co-Op City/Radial 27kV          0          0         0  </t>
  </si>
  <si>
    <t xml:space="preserve">  8.           CECONY                    Buchanan          0          0         0  </t>
  </si>
  <si>
    <t xml:space="preserve">  9.           CECONY              Elmsford No. 2          0          0         0  </t>
  </si>
  <si>
    <t xml:space="preserve"> 10.           CECONY               Seaport No. 2          0          0         0  </t>
  </si>
  <si>
    <t xml:space="preserve"> 11.           CECONY                Granite Hill          0          0         0  </t>
  </si>
  <si>
    <t xml:space="preserve"> 12.           CECONY                     Jamaica          0          0         0  </t>
  </si>
  <si>
    <t xml:space="preserve"> 13.           CECONY                    Harrison          0          0         0  </t>
  </si>
  <si>
    <t xml:space="preserve"> 14.           CECONY               Pleasantville          0          0         0  </t>
  </si>
  <si>
    <t xml:space="preserve"> 15.           CECONY      West 42nd Street No. 1          0          0         0  </t>
  </si>
  <si>
    <t xml:space="preserve"> 16.           CECONY      East 40th Street No. 1          0          0         0  </t>
  </si>
  <si>
    <t xml:space="preserve"> 17.           CECONY               Seaport No. 1          0          0         0  </t>
  </si>
  <si>
    <t xml:space="preserve"> 18.           CECONY          Trade Center No. 1          0          0         0  </t>
  </si>
  <si>
    <t xml:space="preserve"> 19.           CECONY                   Hell Gate          0          0         0  </t>
  </si>
  <si>
    <t xml:space="preserve"> 20.           CECONY                 Willowbrook          0          0         0  </t>
  </si>
  <si>
    <t xml:space="preserve"> 21.           CECONY      East 40th Street No. 2          0          0         0  </t>
  </si>
  <si>
    <t xml:space="preserve"> 22.           CECONY                Corona No. 1          0          0         0  </t>
  </si>
  <si>
    <t xml:space="preserve"> 23.           CECONY        Leonard Street No. 2          0          0         0  </t>
  </si>
  <si>
    <t xml:space="preserve"> 24.           CECONY                 Murray Hill          0    4.33128      2.23  </t>
  </si>
  <si>
    <t xml:space="preserve"> 25.           CECONY                  Wainwright          0    6.55563    .29665  </t>
  </si>
  <si>
    <t xml:space="preserve"> 26.           CECONY           Washington Street          0    16.4386      .264  </t>
  </si>
  <si>
    <t xml:space="preserve"> 27.           CECONY            East 36th Street          0    18.3598     1.164  </t>
  </si>
  <si>
    <t xml:space="preserve"> 28.           CECONY           Fresh Kills 33 kV          0    18.8083    6.3155  </t>
  </si>
  <si>
    <t xml:space="preserve"> 29.           CECONY      West 65th Street No. 2          0    20.9648     1.167  </t>
  </si>
  <si>
    <t xml:space="preserve"> 30.           CECONY      East 63rd Street No. 1          0    23.4836        .5  </t>
  </si>
  <si>
    <t xml:space="preserve"> 31.           CECONY      East 63rd Street No. 2          0    32.2322     2.091  </t>
  </si>
  <si>
    <t xml:space="preserve"> 32.           CECONY      West 42nd Street No. 2          0    32.7453     2.752  </t>
  </si>
  <si>
    <t xml:space="preserve"> 33.           CECONY           East 179th Street          0    33.7196     2.577  </t>
  </si>
  <si>
    <t xml:space="preserve"> 34.           CECONY     West 110th Street No. 1          0    34.1269      2.44  </t>
  </si>
  <si>
    <t xml:space="preserve"> 35.           CECONY           Brownsville No. 2          0    38.5057     .7225  </t>
  </si>
  <si>
    <t xml:space="preserve"> 36.           CECONY            East 29th Street          0    40.2331      .574  </t>
  </si>
  <si>
    <t xml:space="preserve"> 37.           CECONY           Bensonhurst No. 2          0    45.9188   5.70095  </t>
  </si>
  <si>
    <t xml:space="preserve"> 38.           CECONY               North Queens           0     50.343    4.6427  </t>
  </si>
  <si>
    <t xml:space="preserve"> 39.           CECONY                     Woodrow          0    54.5603    1.1628  </t>
  </si>
  <si>
    <t xml:space="preserve"> 40.           CECONY                  Greenwood           0    56.3238    9.0695  </t>
  </si>
  <si>
    <t xml:space="preserve"> 41.           CECONY           Bensonhurst No. 1          0    57.2207    2.5092  </t>
  </si>
  <si>
    <t xml:space="preserve"> 42.           CECONY      West 65th Street No. 1          0    58.1305     1.748  </t>
  </si>
  <si>
    <t xml:space="preserve"> 43.           CECONY            East 75th Street          0    59.1958       .81  </t>
  </si>
  <si>
    <t xml:space="preserve"> 44.           CECONY             Plymouth Street          0    60.1218     4.777  </t>
  </si>
  <si>
    <t xml:space="preserve"> 45.           CECONY            West 50th Street          0    62.0824     2.425  </t>
  </si>
  <si>
    <t xml:space="preserve"> 46.           CECONY                Water Street          0    63.3919   4.16755  </t>
  </si>
  <si>
    <t xml:space="preserve"> 47.           CECONY                    Avenue A          0    66.0249     2.558  </t>
  </si>
  <si>
    <t xml:space="preserve"> 48.           CECONY               Millwood West          0    70.3278        79  </t>
  </si>
  <si>
    <t xml:space="preserve"> 49.           CECONY                  Grasslands          0    82.9669        82  </t>
  </si>
  <si>
    <t xml:space="preserve"> 50.           CECONY           Parkchester No. 2          0    88.6104     1.968  </t>
  </si>
  <si>
    <t xml:space="preserve"> 51.           CECONY                Corona No. 2          0    97.8873   1.17725  </t>
  </si>
  <si>
    <t xml:space="preserve"> 52.           CECONY           Brownsville No. 1          0    103.215    5.2377  </t>
  </si>
  <si>
    <t xml:space="preserve"> 53.           CECONY               Sherman Creek          0    103.238     3.048  </t>
  </si>
  <si>
    <t xml:space="preserve"> 54.           CECONY                White Plains          0    103.359      .808  </t>
  </si>
  <si>
    <t xml:space="preserve"> 55.           CECONY                  Mott Haven          0    126.423   86.1285  </t>
  </si>
  <si>
    <t xml:space="preserve"> 56.           CECONY                    Bruckner          0    137.053    33.134  </t>
  </si>
  <si>
    <t xml:space="preserve"> 57.           CECONY             Fox Hills 33 kV          0    143.439     9.726  </t>
  </si>
  <si>
    <t xml:space="preserve"> 58.           CECONY                    Glendale          0    150.684   130.219  </t>
  </si>
  <si>
    <t xml:space="preserve"> 59.           CECONY        Leonard Street No. 1          0    201.936      .042  </t>
  </si>
  <si>
    <t xml:space="preserve"> 60.           CECONY                    Atlantic          0    204.356       716  </t>
  </si>
  <si>
    <t xml:space="preserve"> 61.           CECONY                Cedar Street          0    208.437        85  </t>
  </si>
  <si>
    <t xml:space="preserve"> 62.           CECONY                    Idlewild          0    213.709       716  </t>
  </si>
  <si>
    <t xml:space="preserve"> 63.           CECONY           Parkchester No. 1          0    216.151      1.41  </t>
  </si>
  <si>
    <t xml:space="preserve"> 64.           CECONY                     Newtown          0    222.284   117.243  </t>
  </si>
  <si>
    <t xml:space="preserve"> 65.           CECONY                    Hillside          0     248.68       716  </t>
  </si>
  <si>
    <t xml:space="preserve"> 66.           CECONY               Industry City          0    249.871       269  </t>
  </si>
  <si>
    <t xml:space="preserve"> 67.           CECONY                    Parkview          0    296.259        85  </t>
  </si>
  <si>
    <t xml:space="preserve"> 68.           CECONY               Nevins Street          1    329.988       716  </t>
  </si>
  <si>
    <t xml:space="preserve"> 69.           CECONY                Gateway Park          1     493.18       358  </t>
  </si>
  <si>
    <t xml:space="preserve"> 70.   Central Hudson              North Catskill          0       6.49      5.17  </t>
  </si>
  <si>
    <t xml:space="preserve"> 71.   Central Hudson                   Union Ave          0        6.6      5.17  </t>
  </si>
  <si>
    <t xml:space="preserve"> 72.   Central Hudson                Bethlehem Rd          0       6.62      5.17  </t>
  </si>
  <si>
    <t xml:space="preserve"> 73.   Central Hudson               Grimley rd x2          0       7.87      5.17  </t>
  </si>
  <si>
    <t xml:space="preserve"> 74.   Central Hudson                Vinegar Hill          0       9.13      5.17  </t>
  </si>
  <si>
    <t xml:space="preserve"> 75.   Central Hudson     Shenandoah Distribution          0       9.13      5.17  </t>
  </si>
  <si>
    <t xml:space="preserve"> 76.   Central Hudson                 East walden          0       9.13      5.17  </t>
  </si>
  <si>
    <t xml:space="preserve"> 77.   Central Hudson                      Hunter          0       9.13      5.17  </t>
  </si>
  <si>
    <t xml:space="preserve"> 78.   Central Hudson               Grimley rd x1          0       9.13      5.17  </t>
  </si>
  <si>
    <t xml:space="preserve"> 79.   Central Hudson                  Manchester          0       9.13      5.17  </t>
  </si>
  <si>
    <t xml:space="preserve"> 80.   Central Hudson               Sturgeon Pool          0       9.13      5.17  </t>
  </si>
  <si>
    <t xml:space="preserve"> 81.   Central Hudson               Lawrenceville          0       9.13      5.17  </t>
  </si>
  <si>
    <t xml:space="preserve"> 82.   Central Hudson                 Spackenkill          0       9.13      5.17  </t>
  </si>
  <si>
    <t xml:space="preserve"> 83.   Central Hudson                Pulvers 34kv          0       9.13      5.17  </t>
  </si>
  <si>
    <t xml:space="preserve"> 84.   Central Hudson        Sand Dock-Industrial          0       9.13      5.17  </t>
  </si>
  <si>
    <t xml:space="preserve"> 85.   Central Hudson                  Honk falls          0       9.13      5.17  </t>
  </si>
  <si>
    <t xml:space="preserve"> 86.   Central Hudson                   Millerton          0       9.13      5.17  </t>
  </si>
  <si>
    <t xml:space="preserve"> 87.   Central Hudson                   East park          0       9.13      5.17  </t>
  </si>
  <si>
    <t xml:space="preserve"> 88.   Central Hudson               East Kingston          0       9.13      5.17  </t>
  </si>
  <si>
    <t xml:space="preserve"> 89.   Central Hudson                  Smithfield          0       9.13      5.17  </t>
  </si>
  <si>
    <t xml:space="preserve"> 90.   Central Hudson             Fishkill Plains          0       9.13      5.17  </t>
  </si>
  <si>
    <t xml:space="preserve"> 91.   Central Hudson      Sand Dock-distribution          0       9.13      5.17  </t>
  </si>
  <si>
    <t xml:space="preserve"> 92.   Central Hudson                      Ancram          0       9.13      5.17  </t>
  </si>
  <si>
    <t xml:space="preserve"> 93.   Central Hudson                    Westerlo          0       9.14      5.17  </t>
  </si>
  <si>
    <t xml:space="preserve"> 94.   Central Hudson                       Milan          0       9.14      5.17  </t>
  </si>
  <si>
    <t xml:space="preserve"> 95.   Central Hudson                  Staatsburg          0       9.14      5.17  </t>
  </si>
  <si>
    <t xml:space="preserve"> 96.   Central Hudson                       Myers          0       9.14      5.17  </t>
  </si>
  <si>
    <t xml:space="preserve"> 97.   Central Hudson                 Clinton ave          0       9.14      5.17  </t>
  </si>
  <si>
    <t xml:space="preserve"> 98.   Central Hudson                   Neversink          0       9.15      5.17  </t>
  </si>
  <si>
    <t xml:space="preserve"> 99.   Central Hudson                  Tinkertown          0       9.15      5.17  </t>
  </si>
  <si>
    <t xml:space="preserve">100.   Central Hudson                   Ohioville          0       9.15      5.17  </t>
  </si>
  <si>
    <t xml:space="preserve">101.   Central Hudson                   Coldenham          0       9.16      5.17  </t>
  </si>
  <si>
    <t xml:space="preserve">102.   Central Hudson                    Highland          0       9.16      5.17  </t>
  </si>
  <si>
    <t xml:space="preserve">103.   Central Hudson                   Galeville          0       9.16      5.17  </t>
  </si>
  <si>
    <t xml:space="preserve">104.   Central Hudson                  High falls          0       9.17      5.17  </t>
  </si>
  <si>
    <t xml:space="preserve">105.   Central Hudson                   Boulevard          0       9.18      5.17  </t>
  </si>
  <si>
    <t xml:space="preserve">106.   Central Hudson               Reynolds Hill          0       9.19      5.17  </t>
  </si>
  <si>
    <t xml:space="preserve">107.   Central Hudson                    Marlboro          0        9.2      5.17  </t>
  </si>
  <si>
    <t xml:space="preserve">108.   Central Hudson                Lincoln Park          0        9.2      5.17  </t>
  </si>
  <si>
    <t xml:space="preserve">109.   Central Hudson                  Kerhonkson          0        9.2      5.17  </t>
  </si>
  <si>
    <t xml:space="preserve">110.   Central Hudson              West Balmville          0       9.21      5.17  </t>
  </si>
  <si>
    <t xml:space="preserve">111.   Central Hudson                  Inwood Ave          0       9.21      5.17  </t>
  </si>
  <si>
    <t xml:space="preserve">112.   Central Hudson                    Hibernia          0       9.21      5.17  </t>
  </si>
  <si>
    <t xml:space="preserve">113.   Central Hudson                  Saugerties          0       9.24      5.17  </t>
  </si>
  <si>
    <t xml:space="preserve">114.   Central Hudson                   Coxsackie          0       9.26      5.17  </t>
  </si>
  <si>
    <t xml:space="preserve">115.   Central Hudson                  Montgomery          0       9.29      5.17  </t>
  </si>
  <si>
    <t xml:space="preserve">116.   Central Hudson                 South Cairo          0       9.29      5.17  </t>
  </si>
  <si>
    <t xml:space="preserve">117.   Central Hudson                Merritt Park          0        9.3      5.17  </t>
  </si>
  <si>
    <t xml:space="preserve">118.   Central Hudson                    Freehold          0       9.31      5.17  </t>
  </si>
  <si>
    <t xml:space="preserve">119.   Central Hudson                   Rhinebeck          0       9.32      5.17  </t>
  </si>
  <si>
    <t xml:space="preserve">120.   Central Hudson              Knapps corners          0       9.33      5.17  </t>
  </si>
  <si>
    <t xml:space="preserve">121.   Central Hudson                    Tioronda          0       9.35      5.17  </t>
  </si>
  <si>
    <t xml:space="preserve">122.   Central Hudson               Greenfield rd          0       9.37      5.17  </t>
  </si>
  <si>
    <t xml:space="preserve">123.   Central Hudson               North Chelsea          0        9.4      5.17  </t>
  </si>
  <si>
    <t xml:space="preserve">124.   Central Hudson                   Todd hill          0       9.48      5.17  </t>
  </si>
  <si>
    <t xml:space="preserve">125.   Central Hudson                      Modena          0       9.51      5.17  </t>
  </si>
  <si>
    <t xml:space="preserve">126.   Central Hudson               Stanfordville          0       9.64      5.17  </t>
  </si>
  <si>
    <t xml:space="preserve">127.   Central Hudson                  Forgebrook          0       9.65      5.17  </t>
  </si>
  <si>
    <t xml:space="preserve">128.   Central Hudson               New Baltimore          0      10.22     18.57  </t>
  </si>
  <si>
    <t xml:space="preserve">129.   Central Hudson                    Wiccopee          0      14.76      5.17  </t>
  </si>
  <si>
    <t xml:space="preserve">130.   Central Hudson                    Maybrook          1      58.04     29.17  </t>
  </si>
  <si>
    <t xml:space="preserve">131.   Central Hudson                  Hurley Ave          1       63.6     15.57  </t>
  </si>
  <si>
    <t xml:space="preserve">132.   Central Hudson                pulvers 13kv          1      87.55     12.42  </t>
  </si>
  <si>
    <t xml:space="preserve">133.   Central Hudson                   Woodstock          1     145.99     11.97  </t>
  </si>
  <si>
    <t xml:space="preserve">134.            NYSEG                Croton Falls          0    7.60813        50  </t>
  </si>
  <si>
    <t xml:space="preserve">135.            NYSEG                      Greene          0    10.6416        10  </t>
  </si>
  <si>
    <t xml:space="preserve">136.            NYSEG                 Grand Gorge          0    11.0906      34.3  </t>
  </si>
  <si>
    <t xml:space="preserve">137.            NYSEG           Sanataria Springs          0    11.3606        10  </t>
  </si>
  <si>
    <t xml:space="preserve">138.            NYSEG                  South Park          0      14.84      22.4  </t>
  </si>
  <si>
    <t xml:space="preserve">139.            NYSEG           Richfield Springs          0    15.1588        16  </t>
  </si>
  <si>
    <t xml:space="preserve">140.            NYSEG                West Erie AV          0    15.1588        16  </t>
  </si>
  <si>
    <t xml:space="preserve">141.            NYSEG                        Milo          0    16.5054        14  </t>
  </si>
  <si>
    <t xml:space="preserve">142.            NYSEG                 Lounsberry           0    16.9824      22.4  </t>
  </si>
  <si>
    <t xml:space="preserve">143.            NYSEG                        Peru          0    16.9824      22.4  </t>
  </si>
  <si>
    <t xml:space="preserve">144.            NYSEG                 Border City          0    16.9824      22.4  </t>
  </si>
  <si>
    <t xml:space="preserve">145.            NYSEG                 Pound Ridge          0    16.9824      22.4  </t>
  </si>
  <si>
    <t xml:space="preserve">146.            NYSEG                Hallock Hill          0    16.9824      22.4  </t>
  </si>
  <si>
    <t xml:space="preserve">147.            NYSEG             Sciota-Flatrock          0    16.9824      22.4  </t>
  </si>
  <si>
    <t xml:space="preserve">148.            NYSEG                  Stolle Rd.          0    16.9824      22.4  </t>
  </si>
  <si>
    <t xml:space="preserve">149.            NYSEG                      Crafts          0    16.9824      22.4  </t>
  </si>
  <si>
    <t xml:space="preserve">150.            NYSEG           Mountaindale-bank          0    17.4081        37  </t>
  </si>
  <si>
    <t xml:space="preserve">151.            NYSEG            Snows Corner Tap          0    17.8473       1.5  </t>
  </si>
  <si>
    <t xml:space="preserve">152.            NYSEG                 Kattleville          0    20.2986        90  </t>
  </si>
  <si>
    <t xml:space="preserve">153.            NYSEG              Erwin Junction          0    20.3697        30  </t>
  </si>
  <si>
    <t xml:space="preserve">154.            NYSEG                    State St          0    21.5472      23.2  </t>
  </si>
  <si>
    <t xml:space="preserve">155.            NYSEG                    Line 706          0      21.82        30  </t>
  </si>
  <si>
    <t xml:space="preserve">156.            NYSEG                   Peruville          0    21.8443        14  </t>
  </si>
  <si>
    <t xml:space="preserve">157.            NYSEG                       Locke          0    21.8443        14  </t>
  </si>
  <si>
    <t xml:space="preserve">158.            NYSEG        From Erwin to Presho          0    22.0492        11  </t>
  </si>
  <si>
    <t xml:space="preserve">159.            NYSEG                  White Lake          0    23.2989        14  </t>
  </si>
  <si>
    <t xml:space="preserve">160.            NYSEG                     Burdett          0    23.5895       7.5  </t>
  </si>
  <si>
    <t xml:space="preserve">161.            NYSEG              Silver Springs          0    24.7172        18  </t>
  </si>
  <si>
    <t xml:space="preserve">162.            NYSEG             County Hospital          0    27.3008         7  </t>
  </si>
  <si>
    <t xml:space="preserve">163.            NYSEG                 West Elmira          0    27.5209         3  </t>
  </si>
  <si>
    <t xml:space="preserve">164.            NYSEG                  Sleight Rd          0    29.4046       100  </t>
  </si>
  <si>
    <t xml:space="preserve">165.            NYSEG                   Maplewood          0    30.1089      11.9  </t>
  </si>
  <si>
    <t xml:space="preserve">166.            NYSEG                  Falls Park          0    30.3176         8  </t>
  </si>
  <si>
    <t xml:space="preserve">167.            NYSEG                       Clyde          0    31.1068       3.3  </t>
  </si>
  <si>
    <t xml:space="preserve">168.            NYSEG                Dingle Ridge          0    32.1412      38.4  </t>
  </si>
  <si>
    <t xml:space="preserve">169.            NYSEG                  Coddington          0    34.0275       100  </t>
  </si>
  <si>
    <t xml:space="preserve">170.            NYSEG                    Cantitoe          0    34.1295      11.7  </t>
  </si>
  <si>
    <t xml:space="preserve">171.            NYSEG                 Stephentown          0    34.5824        11  </t>
  </si>
  <si>
    <t xml:space="preserve">172.            NYSEG                      Valois          0    35.0887    27.108  </t>
  </si>
  <si>
    <t xml:space="preserve">173.            NYSEG                    Bennett           0    35.4602        14  </t>
  </si>
  <si>
    <t xml:space="preserve">174.            NYSEG                Orchard Park          0     37.902    13.042  </t>
  </si>
  <si>
    <t xml:space="preserve">175.            NYSEG              Cayuga Heights          0    38.8268      36.4  </t>
  </si>
  <si>
    <t xml:space="preserve">176.            NYSEG                   Old Falls          0    38.9217        14  </t>
  </si>
  <si>
    <t xml:space="preserve">177.            NYSEG            West Woodbourne           0    41.1834        87  </t>
  </si>
  <si>
    <t xml:space="preserve">178.            NYSEG                 Jordanville          0    41.8138        .8  </t>
  </si>
  <si>
    <t xml:space="preserve">179.            NYSEG               Fourth Street          0    42.0109      74.6  </t>
  </si>
  <si>
    <t xml:space="preserve">180.            NYSEG                 Stryker Ave          0    43.4858       8.8  </t>
  </si>
  <si>
    <t xml:space="preserve">181.            NYSEG                   Grant Ave          0    44.9676      10.1  </t>
  </si>
  <si>
    <t xml:space="preserve">182.            NYSEG                  Kline Kill          0    45.5965        74  </t>
  </si>
  <si>
    <t xml:space="preserve">183.            NYSEG                  Scipio new          0    45.7194       100  </t>
  </si>
  <si>
    <t xml:space="preserve">184.            NYSEG                 N. Endicott          0       47.3      54.4  </t>
  </si>
  <si>
    <t xml:space="preserve">185.            NYSEG                      Howard          0    51.0972        14  </t>
  </si>
  <si>
    <t xml:space="preserve">186.            NYSEG                   Neversink          0    51.3247    21.625  </t>
  </si>
  <si>
    <t xml:space="preserve">187.            NYSEG                     Concord          0    51.6557      35.6  </t>
  </si>
  <si>
    <t xml:space="preserve">188.            NYSEG                 Cobble Hill          0    51.6576        50  </t>
  </si>
  <si>
    <t xml:space="preserve">189.            NYSEG                  Kent Falls          0    61.2067        50  </t>
  </si>
  <si>
    <t xml:space="preserve">190.            NYSEG                     Hamburg          0    66.8203         1  </t>
  </si>
  <si>
    <t xml:space="preserve">191.            NYSEG                     Transit          0     67.734        .8  </t>
  </si>
  <si>
    <t xml:space="preserve">192.            NYSEG               Montour falls          0    69.7537      34.3  </t>
  </si>
  <si>
    <t xml:space="preserve">193.            NYSEG                    Line 455          0    70.1742      26.8  </t>
  </si>
  <si>
    <t xml:space="preserve">194.            NYSEG                     Holland          0    79.0418      22.4  </t>
  </si>
  <si>
    <t xml:space="preserve">195.            NYSEG                    Ferndale          0    81.0726        78  </t>
  </si>
  <si>
    <t xml:space="preserve">196.            NYSEG                     Pawling          0    84.1042      22.4  </t>
  </si>
  <si>
    <t xml:space="preserve">197.            NYSEG                   Chenango           0     94.651    28.207  </t>
  </si>
  <si>
    <t xml:space="preserve">198.            NYSEG                 Nowlan Road          0    103.447    29.207  </t>
  </si>
  <si>
    <t xml:space="preserve">199.            NYSEG                       Genoa          0    112.475     10.55  </t>
  </si>
  <si>
    <t xml:space="preserve">200.            NYSEG                 Trumansburg          0    112.706        33  </t>
  </si>
  <si>
    <t xml:space="preserve">201.            NYSEG                    Hilldale          0    115.079      31.9  </t>
  </si>
  <si>
    <t xml:space="preserve">202.            NYSEG         Morningside Heights          0    116.874    21.094  </t>
  </si>
  <si>
    <t xml:space="preserve">203.            NYSEG                     Erie St          1    128.755     13.02  </t>
  </si>
  <si>
    <t xml:space="preserve">204.            NYSEG                  Moraine Rd          1    150.818        80  </t>
  </si>
  <si>
    <t xml:space="preserve">205.            NYSEG                    Milliken          1    164.204       200  </t>
  </si>
  <si>
    <t xml:space="preserve">206.            NYSEG                        Hyde          1    167.596       5.6  </t>
  </si>
  <si>
    <t xml:space="preserve">207.            NYSEG                  Ashley  Rd          1    184.545    16.138  </t>
  </si>
  <si>
    <t xml:space="preserve">208.            NYSEG                Center Point          1    190.094      22.4  </t>
  </si>
  <si>
    <t xml:space="preserve">209.            NYSEG                     Willard          1    199.951     100.1  </t>
  </si>
  <si>
    <t xml:space="preserve">210.            NYSEG                      Aurora          1    213.594    53.971  </t>
  </si>
  <si>
    <t xml:space="preserve">211.            NYSEG               Webb Crossing          1    335.842    54.722  </t>
  </si>
  <si>
    <t xml:space="preserve">212.            NYSEG                 Mac Dougall          1    448.639    71.951  </t>
  </si>
  <si>
    <t xml:space="preserve">213.    National Grid                           0          0      65.82     26.84  </t>
  </si>
  <si>
    <t xml:space="preserve">214.    National Grid                           0          0      65.82     26.84  </t>
  </si>
  <si>
    <t xml:space="preserve">215.    National Grid                           0          0      65.82     26.84  </t>
  </si>
  <si>
    <t xml:space="preserve">216.    National Grid                           0          0      65.82     26.84  </t>
  </si>
  <si>
    <t xml:space="preserve">217.    National Grid                           0          0      65.82     26.84  </t>
  </si>
  <si>
    <t xml:space="preserve">218.    National Grid                           0          0      65.82     26.84  </t>
  </si>
  <si>
    <t xml:space="preserve">219.    National Grid                           0          0      65.82     26.84  </t>
  </si>
  <si>
    <t xml:space="preserve">220.    National Grid                           0          0      65.82     26.84  </t>
  </si>
  <si>
    <t xml:space="preserve">221.    National Grid                           0          0      65.82     26.84  </t>
  </si>
  <si>
    <t xml:space="preserve">222.    National Grid                           0          0      65.82     26.84  </t>
  </si>
  <si>
    <t xml:space="preserve">223.    National Grid                           0          0      65.82     26.84  </t>
  </si>
  <si>
    <t xml:space="preserve">224.    National Grid                           0          0      65.82     26.84  </t>
  </si>
  <si>
    <t xml:space="preserve">225.    National Grid                           0          0      65.82     26.84  </t>
  </si>
  <si>
    <t xml:space="preserve">226.    National Grid                           0          0      65.82     26.84  </t>
  </si>
  <si>
    <t xml:space="preserve">227.    National Grid                           0          0      65.82     26.84  </t>
  </si>
  <si>
    <t xml:space="preserve">228.    National Grid                           0          0      65.82     26.84  </t>
  </si>
  <si>
    <t xml:space="preserve">229.    National Grid                           0          0      65.82     26.84  </t>
  </si>
  <si>
    <t xml:space="preserve">230.    National Grid                           0          0      65.82     26.84  </t>
  </si>
  <si>
    <t xml:space="preserve">231.    National Grid                           0          0      65.82     26.84  </t>
  </si>
  <si>
    <t xml:space="preserve">232.    National Grid                           0          0      65.82     26.84  </t>
  </si>
  <si>
    <t xml:space="preserve">233.    National Grid                           0          0      65.82     26.84  </t>
  </si>
  <si>
    <t xml:space="preserve">234.    National Grid                           0          0      65.82     26.84  </t>
  </si>
  <si>
    <t xml:space="preserve">235.    National Grid                           0          0      65.82     26.84  </t>
  </si>
  <si>
    <t xml:space="preserve">236.    National Grid                           0          0      65.82     26.84  </t>
  </si>
  <si>
    <t xml:space="preserve">237.    National Grid                           0          0      65.82     26.84  </t>
  </si>
  <si>
    <t xml:space="preserve">238.    National Grid                           0          0      65.82     26.84  </t>
  </si>
  <si>
    <t xml:space="preserve">239.    National Grid                           0          0      65.82     26.84  </t>
  </si>
  <si>
    <t xml:space="preserve">240.    National Grid                           0          0      65.82     26.84  </t>
  </si>
  <si>
    <t xml:space="preserve">241.    National Grid                           0          0      65.82     26.84  </t>
  </si>
  <si>
    <t xml:space="preserve">242.    National Grid                           0          0      65.82     26.84  </t>
  </si>
  <si>
    <t xml:space="preserve">243.    National Grid                           0          0      65.82     26.84  </t>
  </si>
  <si>
    <t xml:space="preserve">244.    National Grid                      Scotia          0       66.8     35.94  </t>
  </si>
  <si>
    <t xml:space="preserve">245.    National Grid                    Scofield          0      67.02     56.34  </t>
  </si>
  <si>
    <t xml:space="preserve">246.    National Grid      New Buffalo Station 97          0      69.86     41.84  </t>
  </si>
  <si>
    <t xml:space="preserve">247.    National Grid                 TULLER HILL          0      74.78     32.84  </t>
  </si>
  <si>
    <t xml:space="preserve">248.    National Grid             FRENCH MOUNTAIN          0      75.26     31.84  </t>
  </si>
  <si>
    <t xml:space="preserve">249.    National Grid            New Cuba Station          0      75.76     39.34  </t>
  </si>
  <si>
    <t xml:space="preserve">250.    National Grid                     Belmont          0      76.93     36.84  </t>
  </si>
  <si>
    <t xml:space="preserve">251.    National Grid                      Valkin          0       77.2     84.44  </t>
  </si>
  <si>
    <t xml:space="preserve">252.    National Grid                 LYNDONVILLE          0      77.53     31.84  </t>
  </si>
  <si>
    <t xml:space="preserve">253.    National Grid   New Livingston Substation          0      77.85     39.34  </t>
  </si>
  <si>
    <t xml:space="preserve">254.    National Grid                 East Fulton          0      78.91     66.84  </t>
  </si>
  <si>
    <t xml:space="preserve">255.    National Grid                    ALTAMONT          0      79.57     53.34  </t>
  </si>
  <si>
    <t xml:space="preserve">256.    National Grid                    Swann Rd          0      81.49     31.84  </t>
  </si>
  <si>
    <t xml:space="preserve">257.    National Grid                  Vail Mills          0      82.85     49.34  </t>
  </si>
  <si>
    <t xml:space="preserve">258.    National Grid                  CHAUTAUQUA          0      82.87     30.84  </t>
  </si>
  <si>
    <t xml:space="preserve">259.    National Grid                     Burdeck          0      83.59     46.74  </t>
  </si>
  <si>
    <t xml:space="preserve">260.    National Grid                     Florida          0      86.64     28.84  </t>
  </si>
  <si>
    <t xml:space="preserve">261.    National Grid                SCHROON LAKE          0       86.9     31.64  </t>
  </si>
  <si>
    <t xml:space="preserve">262.    National Grid           CURTIS GREENFIELD          0      86.94     66.84  </t>
  </si>
  <si>
    <t xml:space="preserve">263.    National Grid                   FIREHOUSE          0      87.54     36.84  </t>
  </si>
  <si>
    <t xml:space="preserve">264.    National Grid               64 STATION 64          0      87.57     31.41  </t>
  </si>
  <si>
    <t xml:space="preserve">265.    National Grid                 Middleburgh          0      88.86     46.24  </t>
  </si>
  <si>
    <t xml:space="preserve">266.    National Grid                  Gilmantown          0      90.34     36.84  </t>
  </si>
  <si>
    <t xml:space="preserve">267.    National Grid                   GREENBUSH          0      90.95     41.54  </t>
  </si>
  <si>
    <t xml:space="preserve">268.    National Grid                    Delanson          0      92.61     29.32  </t>
  </si>
  <si>
    <t xml:space="preserve">269.    National Grid                  Sawyer Ave          0      93.18     58.84  </t>
  </si>
  <si>
    <t xml:space="preserve">270.    National Grid                Boyntonville          0       93.3     59.34  </t>
  </si>
  <si>
    <t xml:space="preserve">271.    National Grid                      Butler          0      93.82     44.44  </t>
  </si>
  <si>
    <t xml:space="preserve">272.    National Grid                  Walesville          0       96.3     40.84  </t>
  </si>
  <si>
    <t xml:space="preserve">273.    National Grid       Shawnee Rd Station 76          0      96.38     44.44  </t>
  </si>
  <si>
    <t xml:space="preserve">274.    National Grid                     SELKIRK          0       97.2     29.34  </t>
  </si>
  <si>
    <t xml:space="preserve">275.    National Grid                  Station 61          0      98.08     61.84  </t>
  </si>
  <si>
    <t xml:space="preserve">276.    National Grid             Rome Substation          0      98.51     46.84  </t>
  </si>
  <si>
    <t xml:space="preserve">277.    National Grid                   Partridge          0      98.67     41.84  </t>
  </si>
  <si>
    <t xml:space="preserve">278.    National Grid                  EAST GOLAH          0     100.52     36.84  </t>
  </si>
  <si>
    <t xml:space="preserve">279.    National Grid                Pottersville          0     100.72     39.84  </t>
  </si>
  <si>
    <t xml:space="preserve">280.    National Grid                East Pulaski          0     100.75     42.44  </t>
  </si>
  <si>
    <t xml:space="preserve">281.    National Grid                  Whitesboro          0     102.64     38.84  </t>
  </si>
  <si>
    <t xml:space="preserve">282.    National Grid                   Schenevus          0     102.93     29.84  </t>
  </si>
  <si>
    <t xml:space="preserve">283.    National Grid      New 3rd Ave Substation          0     103.02     66.84  </t>
  </si>
  <si>
    <t xml:space="preserve">284.    National Grid                  Van Hoesen          0     104.53     75.04  </t>
  </si>
  <si>
    <t xml:space="preserve">285.    National Grid               Voorheesville          0     104.62     41.84  </t>
  </si>
  <si>
    <t xml:space="preserve">286.    National Grid          Northville Station          0     105.24     39.34  </t>
  </si>
  <si>
    <t xml:space="preserve">287.    National Grid                Grand Island          0     105.26     41.84  </t>
  </si>
  <si>
    <t xml:space="preserve">288.    National Grid       New Cicero Substation          0     107.76    106.84  </t>
  </si>
  <si>
    <t xml:space="preserve">289.    National Grid                     Coffeen          0     108.48     31.84  </t>
  </si>
  <si>
    <t xml:space="preserve">290.    National Grid                GLOVERSVILLE          0     108.93     41.84  </t>
  </si>
  <si>
    <t xml:space="preserve">291.    National Grid                    Burgoyne          0     109.32     53.24  </t>
  </si>
  <si>
    <t xml:space="preserve">292.    National Grid                      Mexico          0     110.05     46.84  </t>
  </si>
  <si>
    <t xml:space="preserve">293.    National Grid                      Nassau          0     111.81     39.84  </t>
  </si>
  <si>
    <t xml:space="preserve">294.    National Grid            South Washington          0     113.67     31.84  </t>
  </si>
  <si>
    <t xml:space="preserve">295.    National Grid          Kenmore Station 22          0     114.13     28.84  </t>
  </si>
  <si>
    <t xml:space="preserve">296.    National Grid            Clintion Station          0     114.88     40.34  </t>
  </si>
  <si>
    <t xml:space="preserve">297.    National Grid               Raquette Lake          0      116.6     27.34  </t>
  </si>
  <si>
    <t xml:space="preserve">298.    National Grid                   BRUNSWICK          0     116.62     41.54  </t>
  </si>
  <si>
    <t xml:space="preserve">299.    National Grid                  Middleport          0     117.53     33.84  </t>
  </si>
  <si>
    <t xml:space="preserve">300.    National Grid               Gilbert Mills          0     117.95     41.84  </t>
  </si>
  <si>
    <t xml:space="preserve">301.    National Grid               GRANBY CENTER          0     119.01     59.74  </t>
  </si>
  <si>
    <t xml:space="preserve">302.    National Grid                  Port Henry          0     119.82     43.84  </t>
  </si>
  <si>
    <t xml:space="preserve">303.    National Grid                BAKER STREET          0     120.84     36.84  </t>
  </si>
  <si>
    <t xml:space="preserve">304.    National Grid                   Rotterdam          0     120.97     39.84  </t>
  </si>
  <si>
    <t xml:space="preserve">305.    National Grid                     Corinth          0        123     36.34  </t>
  </si>
  <si>
    <t xml:space="preserve">306.    National Grid                       Beech          0     124.92     66.84  </t>
  </si>
  <si>
    <t xml:space="preserve">307.    National Grid                South Street          0     128.39     34.34  </t>
  </si>
  <si>
    <t xml:space="preserve">308.    National Grid                      Sharon          0     128.82     30.87  </t>
  </si>
  <si>
    <t xml:space="preserve">309.    National Grid                 North Leroy          0      129.1     31.84  </t>
  </si>
  <si>
    <t xml:space="preserve">310.    National Grid                   STARR RD.          0     129.25     29.44  </t>
  </si>
  <si>
    <t xml:space="preserve">311.    National Grid        Smith Bridge Station          0     130.13     51.84  </t>
  </si>
  <si>
    <t xml:space="preserve">312.    National Grid             BATAVIA STATION          0     131.34    111.84  </t>
  </si>
  <si>
    <t xml:space="preserve">313.    National Grid                 34 BEST ST.          0     131.87     35.84  </t>
  </si>
  <si>
    <t xml:space="preserve">314.    National Grid               41 STATION 41          0     131.87     35.84  </t>
  </si>
  <si>
    <t xml:space="preserve">315.    National Grid                 Chestertown          0     132.98     61.34  </t>
  </si>
  <si>
    <t xml:space="preserve">316.    National Grid                  68 ELMWOOD          0     133.86     38.04  </t>
  </si>
  <si>
    <t xml:space="preserve">317.    National Grid                 NEWTONVILLE          0     138.25     65.56  </t>
  </si>
  <si>
    <t xml:space="preserve">318.    National Grid                  Bridgeport          0      139.3    103.84  </t>
  </si>
  <si>
    <t xml:space="preserve">319.    National Grid          Buffalo Station 25          0     140.95     35.84  </t>
  </si>
  <si>
    <t xml:space="preserve">320.    National Grid                NEW KRUMKILL          0     141.21     86.84  </t>
  </si>
  <si>
    <t xml:space="preserve">321.    National Grid                       Inman          0     143.29     40.84  </t>
  </si>
  <si>
    <t xml:space="preserve">322.    National Grid                  COBLESKILL          0     146.38     36.24  </t>
  </si>
  <si>
    <t xml:space="preserve">323.    National Grid                   Delameter          0     146.54    108.84  </t>
  </si>
  <si>
    <t xml:space="preserve">324.    National Grid                 Swaggertown          0     151.41     50.24  </t>
  </si>
  <si>
    <t xml:space="preserve">325.    National Grid            Gabriels Station          0     155.83     30.84  </t>
  </si>
  <si>
    <t xml:space="preserve">326.    National Grid                    PINEBUSH          0      162.8     27.49  </t>
  </si>
  <si>
    <t xml:space="preserve">327.    National Grid                   McClellan          0     168.32     32.14  </t>
  </si>
  <si>
    <t xml:space="preserve">328.    National Grid                 East Molloy          0     175.26     73.84  </t>
  </si>
  <si>
    <t xml:space="preserve">329.    National Grid                   35 WALDEN          1     183.35     35.84  </t>
  </si>
  <si>
    <t xml:space="preserve">330.    National Grid                       HAGUE          1     188.73     32.34  </t>
  </si>
  <si>
    <t xml:space="preserve">331.    National Grid                    Commerce          1     194.99     31.24  </t>
  </si>
  <si>
    <t xml:space="preserve">332.    National Grid                   WEAVER ST          1     197.71     30.94  </t>
  </si>
  <si>
    <t xml:space="preserve">333.    National Grid                   BETHLEHEM          1     201.56     28.34  </t>
  </si>
  <si>
    <t xml:space="preserve">334.    National Grid                       Wells          1     202.24     30.28  </t>
  </si>
  <si>
    <t xml:space="preserve">335.    National Grid                  Fayette St          1     207.49     68.34  </t>
  </si>
  <si>
    <t xml:space="preserve">336.    National Grid                   RIVERSIDE          1     220.73     31.84  </t>
  </si>
  <si>
    <t xml:space="preserve">337.    National Grid                 Middleville          1     223.65     32.04  </t>
  </si>
  <si>
    <t xml:space="preserve">338.    National Grid            THOUSAND ISLANDS          1     228.96     27.17  </t>
  </si>
  <si>
    <t xml:space="preserve">339.    National Grid                  RUSSELL RD          1     238.72     29.84  </t>
  </si>
  <si>
    <t xml:space="preserve">340.    National Grid               NORTH COLLINS          1     240.86     32.44  </t>
  </si>
  <si>
    <t xml:space="preserve">341.    National Grid                      Summit          1     241.54     29.22  </t>
  </si>
  <si>
    <t xml:space="preserve">342.    National Grid                    WOLF RD.          1     242.85     29.84  </t>
  </si>
  <si>
    <t xml:space="preserve">343.    National Grid                    171 BURT          1     248.82     31.84  </t>
  </si>
  <si>
    <t xml:space="preserve">344.    National Grid                    Avenue A          1     256.45     33.24  </t>
  </si>
  <si>
    <t xml:space="preserve">345.    National Grid                 Station 140          1     263.24     36.84  </t>
  </si>
  <si>
    <t xml:space="preserve">346.    National Grid                Birch Avenue          1     274.98     52.94  </t>
  </si>
  <si>
    <t xml:space="preserve">347.    National Grid                 30 SPILLMAN          1     276.53     35.84  </t>
  </si>
  <si>
    <t xml:space="preserve">348.    National Grid                   51 ELK ST          1     282.66     35.84  </t>
  </si>
  <si>
    <t xml:space="preserve">349.    National Grid          Buffalo Station 45          1     311.97     35.84  </t>
  </si>
  <si>
    <t xml:space="preserve">350.    National Grid                 EDEN CENTER          1     329.14     37.84  </t>
  </si>
  <si>
    <t xml:space="preserve">351.    National Grid                   Cleveland          1      339.9     33.84  </t>
  </si>
  <si>
    <t xml:space="preserve">352.    National Grid                  31 STATION          1     350.21     35.84  </t>
  </si>
  <si>
    <t xml:space="preserve">353.    National Grid                      Karner          1     363.01     44.34  </t>
  </si>
  <si>
    <t xml:space="preserve">354.    National Grid                 Warrensburg          1     390.13     27.34  </t>
  </si>
  <si>
    <t xml:space="preserve">355.    National Grid              Liberty Street          1     404.38     33.09  </t>
  </si>
  <si>
    <t xml:space="preserve">356.    National Grid                  UNIONVILLE          1     429.03     28.84  </t>
  </si>
  <si>
    <t xml:space="preserve">357.    National Grid         Buffalo Station 122          1     450.61     32.84  </t>
  </si>
  <si>
    <t xml:space="preserve">358.    National Grid                      Delmar          1     486.12     34.04  </t>
  </si>
  <si>
    <t xml:space="preserve">359.    National Grid                   Lakeville          1     505.84     36.84  </t>
  </si>
  <si>
    <t xml:space="preserve">360.    National Grid                      Dorwin          1     516.33     28.84  </t>
  </si>
  <si>
    <t xml:space="preserve">361.    National Grid                   32 BAILEY          1     522.54     35.84  </t>
  </si>
  <si>
    <t xml:space="preserve">362.    National Grid                   38 Spring          1     572.34     35.84  </t>
  </si>
  <si>
    <t xml:space="preserve">363.    National Grid                Station 3012          1     632.89     35.84  </t>
  </si>
  <si>
    <t xml:space="preserve">364.              O&amp;R                 Silver Lake          0    1.85332        16  </t>
  </si>
  <si>
    <t xml:space="preserve">365.              O&amp;R                   Blue Hill          0    1.85332        16  </t>
  </si>
  <si>
    <t xml:space="preserve">366.              O&amp;R            Deer Park 34.5KV          0    1.85332        16  </t>
  </si>
  <si>
    <t xml:space="preserve">367.              O&amp;R             Harriman-34.5KV          0    1.85332        16  </t>
  </si>
  <si>
    <t xml:space="preserve">368.              O&amp;R                      Wisner          0    1.85332        16  </t>
  </si>
  <si>
    <t xml:space="preserve">369.              O&amp;R              Cuddebackville          0    1.85332        16  </t>
  </si>
  <si>
    <t xml:space="preserve">370.              O&amp;R                        Aluf          0    1.85332        16  </t>
  </si>
  <si>
    <t xml:space="preserve">371.              O&amp;R   Washington Heights 34.5KV          0    1.85332        16  </t>
  </si>
  <si>
    <t xml:space="preserve">372.              O&amp;R             Swinging Bridge          0    1.85332        16  </t>
  </si>
  <si>
    <t xml:space="preserve">373.              O&amp;R                    Sparkill          0    1.85332        16  </t>
  </si>
  <si>
    <t xml:space="preserve">374.              O&amp;R                  Rio-34.5KV          0    1.85332        16  </t>
  </si>
  <si>
    <t xml:space="preserve">375.              O&amp;R                     Chester          0    1.85332        16  </t>
  </si>
  <si>
    <t xml:space="preserve">376.              O&amp;R             West Haverstraw          0    1.85332        16  </t>
  </si>
  <si>
    <t xml:space="preserve">377.              O&amp;R              Rockland Sewer          0    1.85332        16  </t>
  </si>
  <si>
    <t xml:space="preserve">378.              O&amp;R                      Nanuet          0    1.85332        16  </t>
  </si>
  <si>
    <t xml:space="preserve">379.              O&amp;R                   Deer Park          0    1.85332        16  </t>
  </si>
  <si>
    <t xml:space="preserve">380.              O&amp;R                      Monroe          0    1.85332        16  </t>
  </si>
  <si>
    <t xml:space="preserve">381.              O&amp;R                  Snake Hill          0    1.85332        16  </t>
  </si>
  <si>
    <t xml:space="preserve">382.              O&amp;R                        Hunt          0    1.85332        16  </t>
  </si>
  <si>
    <t xml:space="preserve">383.              O&amp;R                Grassy Point          0    1.85332        16  </t>
  </si>
  <si>
    <t xml:space="preserve">384.              O&amp;R                     Congers          0    1.85332        16  </t>
  </si>
  <si>
    <t xml:space="preserve">385.              O&amp;R                   Lake Road          0    1.85332        16  </t>
  </si>
  <si>
    <t xml:space="preserve">386.              O&amp;R         South Goshen 34.5KV          0    1.85332        16  </t>
  </si>
  <si>
    <t xml:space="preserve">387.              O&amp;R    Highland Falls (SubArea)          0    1.85332        16  </t>
  </si>
  <si>
    <t xml:space="preserve">388.              O&amp;R                   Shoemaker          0    1.85332        16  </t>
  </si>
  <si>
    <t xml:space="preserve">389.              O&amp;R      Bloomingburg (SubArea)          0    1.85332        16  </t>
  </si>
  <si>
    <t xml:space="preserve">390.              O&amp;R                     Lederle          0    1.85332        16  </t>
  </si>
  <si>
    <t xml:space="preserve">391.              O&amp;R                    Westtown          0    1.85332        16  </t>
  </si>
  <si>
    <t xml:space="preserve">392.              O&amp;R                    Hillburn          0    1.85332        16  </t>
  </si>
  <si>
    <t xml:space="preserve">393.              O&amp;R              Chester 34.5KV          0    1.85332        16  </t>
  </si>
  <si>
    <t xml:space="preserve">394.              O&amp;R            Shoemaker-34.5KV          0    1.85332        16  </t>
  </si>
  <si>
    <t xml:space="preserve">395.              O&amp;R                      Monsey          0    1.85332        16  </t>
  </si>
  <si>
    <t xml:space="preserve">396.              O&amp;R                   Blue Lake          0    1.85332        16  </t>
  </si>
  <si>
    <t xml:space="preserve">397.              O&amp;R                    Harriman          0    1.85332        16  </t>
  </si>
  <si>
    <t xml:space="preserve">398.              O&amp;R                  Orangeburg          0    1.85332        16  </t>
  </si>
  <si>
    <t xml:space="preserve">399.              O&amp;R          Washington Heights          0    1.85332        16  </t>
  </si>
  <si>
    <t xml:space="preserve">400.              O&amp;R                Hartley Road          0    1.85332        16  </t>
  </si>
  <si>
    <t xml:space="preserve">401.              O&amp;R                State School          0    1.85332        16  </t>
  </si>
  <si>
    <t xml:space="preserve">402.              O&amp;R                       Burns          0    1.85332        16  </t>
  </si>
  <si>
    <t xml:space="preserve">403.              O&amp;R               New Hempstead          0    7.55836     105.3  </t>
  </si>
  <si>
    <t xml:space="preserve">404.              O&amp;R               East Wallkill          0    11.7272    18.812  </t>
  </si>
  <si>
    <t xml:space="preserve">405.              O&amp;R                  Little Tor          0    11.9361     122.4  </t>
  </si>
  <si>
    <t xml:space="preserve">406.              O&amp;R                 Port Jervis          0    13.6183    18.109  </t>
  </si>
  <si>
    <t xml:space="preserve">407.              O&amp;R                     Oak St.          0    18.3098      95.8  </t>
  </si>
  <si>
    <t xml:space="preserve">408.              O&amp;R                 Stony Point          0    22.2931    21.624  </t>
  </si>
  <si>
    <t xml:space="preserve">409.              O&amp;R             Sterling Forest          0    23.9857    25.519  </t>
  </si>
  <si>
    <t xml:space="preserve">410.              O&amp;R                  West Nyack          0    24.4716     293.4  </t>
  </si>
  <si>
    <t xml:space="preserve">411.              O&amp;R                  Sloatsburg          0    24.4775     98.65  </t>
  </si>
  <si>
    <t xml:space="preserve">412.              O&amp;R                     Tallman          0    24.6495    19.515  </t>
  </si>
  <si>
    <t xml:space="preserve">413.              O&amp;R              Dean (SubArea)          0    24.8481    18.812  </t>
  </si>
  <si>
    <t xml:space="preserve">414.              O&amp;R              Blooming Grove          0    27.9646    27.989  </t>
  </si>
  <si>
    <t xml:space="preserve">415.              O&amp;R       Summitville (SubArea)          0    29.0123    18.109  </t>
  </si>
  <si>
    <t xml:space="preserve">416.              O&amp;R             Corporate Drive          1    38.8883    18.109  </t>
  </si>
  <si>
    <t xml:space="preserve">417.              O&amp;R                South Goshen          1    44.1067     103.4  </t>
  </si>
  <si>
    <t xml:space="preserve">418.              O&amp;R         Otisville (SubArea)          1    48.6147    18.109  </t>
  </si>
  <si>
    <t xml:space="preserve">419.              O&amp;R         Bullville (SubArea)          1    56.2104    20.921  </t>
  </si>
  <si>
    <t xml:space="preserve">420.              O&amp;R                  Viola Road          1    72.2468     175.6  </t>
  </si>
  <si>
    <t xml:space="preserve">421.              O&amp;R                     Mongaup          1    90.9696    18.109  </t>
  </si>
  <si>
    <t xml:space="preserve">422.              O&amp;R         Wurstboro (SubArea)          1    136.243   18.4605  </t>
  </si>
  <si>
    <t xml:space="preserve">423.              RGE                         136          0    2.67277      14.4  </t>
  </si>
  <si>
    <t xml:space="preserve">424.              RGE                          74          0    3.05459      18.9  </t>
  </si>
  <si>
    <t xml:space="preserve">425.              RGE                         420          0    3.05459      25.2  </t>
  </si>
  <si>
    <t xml:space="preserve">426.              RGE                          60          0    6.38333      12.6  </t>
  </si>
  <si>
    <t xml:space="preserve">427.              RGE                    Line 739          0    6.87485       6.3  </t>
  </si>
  <si>
    <t xml:space="preserve">428.              RGE                         117          0    8.10717       7.2  </t>
  </si>
  <si>
    <t xml:space="preserve">429.              RGE                    Line 764          0    9.16647      12.6  </t>
  </si>
  <si>
    <t xml:space="preserve">430.              RGE                         156          0    10.2146     20.25  </t>
  </si>
  <si>
    <t xml:space="preserve">431.              RGE                         104          0    13.7327      16.2  </t>
  </si>
  <si>
    <t xml:space="preserve">432.              RGE                          72          0    14.6813      18.9  </t>
  </si>
  <si>
    <t xml:space="preserve">433.              RGE                         246          0    15.3625      12.6  </t>
  </si>
  <si>
    <t xml:space="preserve">434.              RGE                          23          0    17.7367        99  </t>
  </si>
  <si>
    <t xml:space="preserve">435.              RGE                         205          0    18.3246    15.435  </t>
  </si>
  <si>
    <t xml:space="preserve">436.              RGE                          69          0    19.7712     78.84  </t>
  </si>
  <si>
    <t xml:space="preserve">437.              RGE                         567          0    20.1783      19.8  </t>
  </si>
  <si>
    <t xml:space="preserve">438.              RGE                         762          0     20.614      19.8  </t>
  </si>
  <si>
    <t xml:space="preserve">439.              RGE                         115          0    22.7215      30.6  </t>
  </si>
  <si>
    <t xml:space="preserve">440.              RGE                         112          0    23.2925      72.9  </t>
  </si>
  <si>
    <t xml:space="preserve">441.              RGE                         216          0    24.9401        54  </t>
  </si>
  <si>
    <t xml:space="preserve">442.              RGE                         769          0    25.2075     118.8  </t>
  </si>
  <si>
    <t xml:space="preserve">443.              RGE                         766          0    25.2821        18  </t>
  </si>
  <si>
    <t xml:space="preserve">444.              RGE                          93          0    35.7995    111.24  </t>
  </si>
  <si>
    <t xml:space="preserve">445.              RGE                          71          0    43.5886     63.36  </t>
  </si>
  <si>
    <t xml:space="preserve">446.              RGE                         109          0    57.0639       135  </t>
  </si>
  <si>
    <t xml:space="preserve">447.              RGE                         122          0     59.621      66.6  </t>
  </si>
  <si>
    <t xml:space="preserve">448.              RGE                          70          0     61.866     118.8  </t>
  </si>
  <si>
    <t xml:space="preserve">449.              RGE                          62          0    62.9309    157.14  </t>
  </si>
  <si>
    <t xml:space="preserve">450.              RGE                         124          0    66.4123    116.28  </t>
  </si>
  <si>
    <t xml:space="preserve">451.              RGE                         255          0    67.7502     152.1  </t>
  </si>
  <si>
    <t xml:space="preserve">452.              RGE                          55          0    68.1069     167.4  </t>
  </si>
  <si>
    <t xml:space="preserve">453.              RGE                          46          0    68.4859      49.5  </t>
  </si>
  <si>
    <t xml:space="preserve">454.              RGE                         103          0     74.391       117  </t>
  </si>
  <si>
    <t xml:space="preserve">455.              RGE                         424          0    74.8301     24.39  </t>
  </si>
  <si>
    <t xml:space="preserve">456.              RGE                         127          0    77.1562     50.76  </t>
  </si>
  <si>
    <t xml:space="preserve">457.              RGE                         126          0     78.252     129.6  </t>
  </si>
  <si>
    <t xml:space="preserve">458.              RGE                          81          0    82.6429       117  </t>
  </si>
  <si>
    <t xml:space="preserve">459.              RGE                          58          0    84.3405     32.76  </t>
  </si>
  <si>
    <t xml:space="preserve">460.              RGE                          65          1    86.7281     192.6  </t>
  </si>
  <si>
    <t xml:space="preserve">461.              RGE                          19          1    87.6236       117  </t>
  </si>
  <si>
    <t xml:space="preserve">462.              RGE                          49          1     88.076    120.15  </t>
  </si>
  <si>
    <t xml:space="preserve">463.              RGE                         154          1    92.0961   109.665  </t>
  </si>
  <si>
    <t xml:space="preserve">464.              RGE                          29          1    94.7691     124.2  </t>
  </si>
  <si>
    <t xml:space="preserve">465.              RGE                          89          1    131.022      90.9  </t>
  </si>
  <si>
    <t xml:space="preserve">466.              RGE                          45          1    135.628      46.8  </t>
  </si>
  <si>
    <t xml:space="preserve">467.              RGE                          16          1     171.78    20.772  </t>
  </si>
  <si>
    <t xml:space="preserve">468.              RGE                         230          1    190.662     73.53  </t>
  </si>
  <si>
    <t>added</t>
  </si>
  <si>
    <t>staff proposal</t>
  </si>
  <si>
    <t>Check</t>
  </si>
  <si>
    <t>network segment cost/kw-yr  allocated to  all substation serving areas served by network segment investment</t>
  </si>
  <si>
    <t>distribution station, secondary and primary costs only recovered from substation areas with investment projects</t>
  </si>
  <si>
    <t>Source:  tabs "CapEx Distribution," "CapEx Substation," "CapEx Transmission" of the Consolidated Edison Workpaper</t>
  </si>
  <si>
    <t>Source:  tabs "CapEx Secondary," "CapEx Primary," "CapEx Substation," "CapEx Transmission" of the Orange and Rockland Workpaper</t>
  </si>
  <si>
    <t>Source:  tab "FinalData" of  National Grid workpaper</t>
  </si>
  <si>
    <t>Source:  tab "summary substation" of  Central Hudson workpaper</t>
  </si>
  <si>
    <t>Source:  tab "T3B_MC BY SUBST CUMULATIVE" of  Rochester Gas and Electric workpaper</t>
  </si>
  <si>
    <t>Source:  tab "T3B_MC SUBSTATION CUMULATIVE" of  New York State Electric and Gas workpaper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</si>
</sst>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8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_);[Red]\(#,##0\);\-_)"/>
    <numFmt numFmtId="166" formatCode="_(* #,##0.0_);_(* \(#,##0.0\);_(* &quot;-&quot;??_);_(@_)"/>
    <numFmt numFmtId="167" formatCode="&quot;$&quot;#,##0.0_);\(&quot;$&quot;#,##0.0\)"/>
    <numFmt numFmtId="168" formatCode="0.000%"/>
    <numFmt numFmtId="169" formatCode="_(&quot;$&quot;* #,##0_);_(&quot;$&quot;* \(#,##0\);_(&quot;$&quot;* &quot;-&quot;??_);_(@_)"/>
    <numFmt numFmtId="170" formatCode="#,##0.0_);\(#,##0.0\)"/>
    <numFmt numFmtId="171" formatCode="_(* #,##0.0_);_(* \(#,##0.0\);_(* &quot;-&quot;?_);_(@_)"/>
    <numFmt numFmtId="172" formatCode="_([$€-2]* #,##0.00_);_([$€-2]* \(#,##0.00\);_([$€-2]* &quot;-&quot;??_)"/>
    <numFmt numFmtId="173" formatCode="_(&quot;$&quot;* #,##0.0000_);_(&quot;$&quot;* \(#,##0.0000\);_(&quot;$&quot;* &quot;-&quot;??_);_(@_)"/>
    <numFmt numFmtId="174" formatCode="_(&quot;$&quot;* #,##0.00000_);_(&quot;$&quot;* \(#,##0.00000\);_(&quot;$&quot;* &quot;-&quot;??_);_(@_)"/>
    <numFmt numFmtId="175" formatCode="0.0%"/>
    <numFmt numFmtId="176" formatCode="_(* #,##0.000000_);_(* \(#,##0.000000\);_(* &quot;-&quot;??_);_(@_)"/>
  </numFmts>
  <fonts count="39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1"/>
      <name val="Calibri"/>
      <family val="2"/>
    </font>
    <font>
      <sz val="11"/>
      <name val="Calibri"/>
      <family val="2"/>
    </font>
    <font>
      <sz val="11"/>
      <name val="Aptos Narrow"/>
      <family val="2"/>
    </font>
    <font>
      <sz val="10"/>
      <color theme="1"/>
      <name val="Arial"/>
      <family val="2"/>
    </font>
    <font>
      <b/>
      <sz val="12"/>
      <color indexed="8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11"/>
      <color theme="1"/>
      <name val="Times New Roman"/>
      <family val="1"/>
    </font>
    <font>
      <sz val="11"/>
      <name val="Times New Roman"/>
      <family val="1"/>
    </font>
    <font>
      <b/>
      <sz val="14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name val="Aptos Narrow"/>
      <family val="2"/>
      <scheme val="minor"/>
    </font>
    <font>
      <b/>
      <sz val="11"/>
      <color rgb="FF002060"/>
      <name val="Aptos Narrow"/>
      <family val="2"/>
      <scheme val="minor"/>
    </font>
    <font>
      <b/>
      <sz val="12"/>
      <color theme="4"/>
      <name val="Aptos Narrow"/>
      <family val="2"/>
      <scheme val="minor"/>
    </font>
    <font>
      <sz val="10"/>
      <name val="Tms Rmn"/>
    </font>
    <font>
      <b/>
      <sz val="11"/>
      <name val="Times New Roman"/>
      <family val="1"/>
    </font>
    <font>
      <b/>
      <sz val="11"/>
      <color theme="1"/>
      <name val="Courier New"/>
      <family val="3"/>
    </font>
    <font>
      <b/>
      <sz val="11"/>
      <color rgb="FFFF0000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2"/>
    </font>
    <font>
      <i/>
      <sz val="11"/>
      <color rgb="FFFF0000"/>
      <name val="Times New Roman"/>
      <family val="1"/>
    </font>
    <font>
      <i/>
      <sz val="11"/>
      <color rgb="FFFF0000"/>
      <name val="Aptos Narrow"/>
      <family val="2"/>
      <scheme val="minor"/>
    </font>
    <font>
      <sz val="12"/>
      <name val="Times New Roman"/>
      <family val="1"/>
    </font>
    <font>
      <sz val="6"/>
      <name val="Helv"/>
    </font>
    <font>
      <sz val="10"/>
      <name val="Arial MT"/>
    </font>
    <font>
      <b/>
      <sz val="11"/>
      <color theme="0"/>
      <name val="Aptos Narrow"/>
      <family val="2"/>
      <scheme val="minor"/>
    </font>
    <font>
      <b/>
      <i/>
      <sz val="11"/>
      <color rgb="FF000000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sz val="10"/>
      <color theme="1"/>
      <name val="Courier New"/>
      <family val="3"/>
    </font>
    <font>
      <sz val="11"/>
      <color theme="1"/>
      <name val="Calibri"/>
      <family val="2"/>
    </font>
    <font>
      <b/>
      <i/>
      <sz val="11"/>
      <color rgb="FFFF0000"/>
      <name val="Aptos Narrow"/>
      <family val="2"/>
      <scheme val="minor"/>
    </font>
    <font>
      <b/>
      <u/>
      <sz val="14"/>
      <color theme="1"/>
      <name val="Aptos Narrow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2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</borders>
  <cellStyleXfs count="58">
    <xf numFmtId="0" fontId="0" fillId="0" borderId="0"/>
    <xf numFmtId="0" fontId="4" fillId="0" borderId="0"/>
    <xf numFmtId="0" fontId="5" fillId="0" borderId="0"/>
    <xf numFmtId="43" fontId="5" fillId="0" borderId="0" applyFont="0" applyFill="0" applyBorder="0" applyAlignment="0" applyProtection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8" fillId="2" borderId="1"/>
    <xf numFmtId="0" fontId="7" fillId="0" borderId="0"/>
    <xf numFmtId="43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/>
    <xf numFmtId="39" fontId="20" fillId="0" borderId="0"/>
    <xf numFmtId="0" fontId="1" fillId="0" borderId="0"/>
    <xf numFmtId="39" fontId="20" fillId="0" borderId="0"/>
    <xf numFmtId="0" fontId="26" fillId="0" borderId="0"/>
    <xf numFmtId="0" fontId="7" fillId="0" borderId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/>
    <xf numFmtId="0" fontId="1" fillId="0" borderId="0"/>
    <xf numFmtId="0" fontId="29" fillId="0" borderId="0"/>
    <xf numFmtId="0" fontId="30" fillId="0" borderId="0"/>
    <xf numFmtId="172" fontId="1" fillId="0" borderId="0"/>
    <xf numFmtId="0" fontId="29" fillId="0" borderId="0"/>
    <xf numFmtId="0" fontId="10" fillId="0" borderId="0"/>
    <xf numFmtId="0" fontId="30" fillId="0" borderId="0"/>
    <xf numFmtId="9" fontId="10" fillId="0" borderId="0" applyFont="0" applyFill="0" applyBorder="0" applyAlignment="0" applyProtection="0"/>
    <xf numFmtId="39" fontId="20" fillId="0" borderId="0"/>
    <xf numFmtId="0" fontId="10" fillId="0" borderId="0"/>
    <xf numFmtId="9" fontId="31" fillId="0" borderId="0" applyFont="0" applyFill="0" applyBorder="0" applyAlignment="0" applyProtection="0"/>
    <xf numFmtId="0" fontId="29" fillId="0" borderId="0"/>
    <xf numFmtId="0" fontId="10" fillId="0" borderId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</cellStyleXfs>
  <cellXfs count="254">
    <xf numFmtId="0" fontId="0" fillId="0" borderId="0" xfId="0"/>
    <xf numFmtId="166" fontId="4" fillId="0" borderId="0" xfId="14" applyNumberFormat="1" applyFont="1"/>
    <xf numFmtId="166" fontId="4" fillId="0" borderId="0" xfId="14" applyNumberFormat="1" applyFont="1" applyFill="1"/>
    <xf numFmtId="0" fontId="0" fillId="0" borderId="0" xfId="0" applyBorder="1"/>
    <xf numFmtId="43" fontId="0" fillId="0" borderId="0" xfId="0" applyNumberFormat="1"/>
    <xf numFmtId="0" fontId="11" fillId="0" borderId="0" xfId="0" applyFont="1"/>
    <xf numFmtId="9" fontId="0" fillId="0" borderId="0" xfId="0" applyNumberFormat="1"/>
    <xf numFmtId="0" fontId="12" fillId="0" borderId="0" xfId="0" applyFont="1"/>
    <xf numFmtId="0" fontId="0" fillId="0" borderId="9" xfId="0" applyBorder="1"/>
    <xf numFmtId="0" fontId="0" fillId="3" borderId="0" xfId="0" applyFill="1"/>
    <xf numFmtId="43" fontId="0" fillId="3" borderId="0" xfId="0" applyNumberFormat="1" applyFill="1"/>
    <xf numFmtId="0" fontId="0" fillId="4" borderId="0" xfId="0" applyFill="1"/>
    <xf numFmtId="0" fontId="0" fillId="5" borderId="0" xfId="0" applyFill="1"/>
    <xf numFmtId="0" fontId="2" fillId="0" borderId="0" xfId="0" applyFont="1" applyAlignment="1">
      <alignment horizontal="right"/>
    </xf>
    <xf numFmtId="0" fontId="0" fillId="0" borderId="0" xfId="0" applyAlignment="1">
      <alignment wrapText="1"/>
    </xf>
    <xf numFmtId="37" fontId="13" fillId="6" borderId="0" xfId="2" applyNumberFormat="1" applyFont="1" applyFill="1" applyAlignment="1">
      <alignment horizontal="centerContinuous" vertical="center"/>
    </xf>
    <xf numFmtId="37" fontId="14" fillId="6" borderId="0" xfId="2" applyNumberFormat="1" applyFont="1" applyFill="1" applyAlignment="1">
      <alignment horizontal="centerContinuous" vertical="center"/>
    </xf>
    <xf numFmtId="37" fontId="15" fillId="6" borderId="0" xfId="2" applyNumberFormat="1" applyFont="1" applyFill="1" applyAlignment="1">
      <alignment horizontal="centerContinuous" vertical="center"/>
    </xf>
    <xf numFmtId="0" fontId="15" fillId="6" borderId="0" xfId="2" applyFont="1" applyFill="1" applyAlignment="1">
      <alignment horizontal="centerContinuous" vertical="center"/>
    </xf>
    <xf numFmtId="0" fontId="14" fillId="6" borderId="0" xfId="2" applyFont="1" applyFill="1"/>
    <xf numFmtId="0" fontId="15" fillId="6" borderId="0" xfId="2" applyFont="1" applyFill="1" applyAlignment="1">
      <alignment vertical="center"/>
    </xf>
    <xf numFmtId="37" fontId="16" fillId="6" borderId="0" xfId="2" applyNumberFormat="1" applyFont="1" applyFill="1" applyAlignment="1">
      <alignment vertical="center"/>
    </xf>
    <xf numFmtId="37" fontId="17" fillId="7" borderId="12" xfId="2" applyNumberFormat="1" applyFont="1" applyFill="1" applyBorder="1" applyAlignment="1">
      <alignment horizontal="centerContinuous" vertical="center"/>
    </xf>
    <xf numFmtId="37" fontId="15" fillId="7" borderId="1" xfId="2" applyNumberFormat="1" applyFont="1" applyFill="1" applyBorder="1" applyAlignment="1">
      <alignment horizontal="centerContinuous" vertical="center"/>
    </xf>
    <xf numFmtId="37" fontId="15" fillId="7" borderId="13" xfId="2" applyNumberFormat="1" applyFont="1" applyFill="1" applyBorder="1" applyAlignment="1">
      <alignment horizontal="centerContinuous" vertical="center"/>
    </xf>
    <xf numFmtId="37" fontId="15" fillId="6" borderId="14" xfId="2" applyNumberFormat="1" applyFont="1" applyFill="1" applyBorder="1" applyAlignment="1">
      <alignment horizontal="center" vertical="center" wrapText="1"/>
    </xf>
    <xf numFmtId="37" fontId="15" fillId="6" borderId="14" xfId="2" applyNumberFormat="1" applyFont="1" applyFill="1" applyBorder="1" applyAlignment="1">
      <alignment vertical="center" wrapText="1"/>
    </xf>
    <xf numFmtId="37" fontId="15" fillId="6" borderId="12" xfId="2" applyNumberFormat="1" applyFont="1" applyFill="1" applyBorder="1" applyAlignment="1">
      <alignment horizontal="center" vertical="center" wrapText="1"/>
    </xf>
    <xf numFmtId="37" fontId="15" fillId="6" borderId="1" xfId="2" applyNumberFormat="1" applyFont="1" applyFill="1" applyBorder="1" applyAlignment="1">
      <alignment horizontal="center" vertical="center" wrapText="1"/>
    </xf>
    <xf numFmtId="37" fontId="15" fillId="6" borderId="13" xfId="2" applyNumberFormat="1" applyFont="1" applyFill="1" applyBorder="1" applyAlignment="1">
      <alignment horizontal="center" vertical="center" wrapText="1"/>
    </xf>
    <xf numFmtId="37" fontId="15" fillId="6" borderId="15" xfId="2" applyNumberFormat="1" applyFont="1" applyFill="1" applyBorder="1" applyAlignment="1">
      <alignment horizontal="center" vertical="center"/>
    </xf>
    <xf numFmtId="37" fontId="14" fillId="6" borderId="15" xfId="2" applyNumberFormat="1" applyFont="1" applyFill="1" applyBorder="1" applyAlignment="1">
      <alignment vertical="center"/>
    </xf>
    <xf numFmtId="37" fontId="14" fillId="6" borderId="11" xfId="2" applyNumberFormat="1" applyFont="1" applyFill="1" applyBorder="1" applyAlignment="1">
      <alignment horizontal="center" vertical="center"/>
    </xf>
    <xf numFmtId="37" fontId="18" fillId="8" borderId="10" xfId="2" applyNumberFormat="1" applyFont="1" applyFill="1" applyBorder="1" applyAlignment="1">
      <alignment horizontal="center" vertical="center" wrapText="1"/>
    </xf>
    <xf numFmtId="37" fontId="18" fillId="8" borderId="7" xfId="2" applyNumberFormat="1" applyFont="1" applyFill="1" applyBorder="1" applyAlignment="1">
      <alignment horizontal="center" vertical="center" wrapText="1"/>
    </xf>
    <xf numFmtId="37" fontId="18" fillId="8" borderId="8" xfId="2" applyNumberFormat="1" applyFont="1" applyFill="1" applyBorder="1" applyAlignment="1">
      <alignment horizontal="center" vertical="center" wrapText="1"/>
    </xf>
    <xf numFmtId="37" fontId="14" fillId="6" borderId="11" xfId="2" applyNumberFormat="1" applyFont="1" applyFill="1" applyBorder="1" applyAlignment="1">
      <alignment vertical="center"/>
    </xf>
    <xf numFmtId="37" fontId="14" fillId="6" borderId="15" xfId="2" applyNumberFormat="1" applyFont="1" applyFill="1" applyBorder="1" applyAlignment="1">
      <alignment horizontal="center" vertical="center"/>
    </xf>
    <xf numFmtId="37" fontId="18" fillId="8" borderId="11" xfId="2" applyNumberFormat="1" applyFont="1" applyFill="1" applyBorder="1" applyAlignment="1">
      <alignment horizontal="center" vertical="center" wrapText="1"/>
    </xf>
    <xf numFmtId="37" fontId="18" fillId="8" borderId="0" xfId="2" applyNumberFormat="1" applyFont="1" applyFill="1" applyAlignment="1">
      <alignment horizontal="center" vertical="center" wrapText="1"/>
    </xf>
    <xf numFmtId="37" fontId="18" fillId="8" borderId="9" xfId="2" applyNumberFormat="1" applyFont="1" applyFill="1" applyBorder="1" applyAlignment="1">
      <alignment horizontal="center" vertical="center" wrapText="1"/>
    </xf>
    <xf numFmtId="0" fontId="14" fillId="6" borderId="15" xfId="2" applyFont="1" applyFill="1" applyBorder="1"/>
    <xf numFmtId="0" fontId="14" fillId="6" borderId="11" xfId="2" applyFont="1" applyFill="1" applyBorder="1"/>
    <xf numFmtId="0" fontId="14" fillId="6" borderId="9" xfId="2" applyFont="1" applyFill="1" applyBorder="1"/>
    <xf numFmtId="0" fontId="15" fillId="6" borderId="15" xfId="12" applyFont="1" applyFill="1" applyBorder="1" applyAlignment="1">
      <alignment horizontal="center" wrapText="1"/>
    </xf>
    <xf numFmtId="0" fontId="14" fillId="6" borderId="15" xfId="12" applyFont="1" applyFill="1" applyBorder="1" applyAlignment="1">
      <alignment horizontal="center" wrapText="1"/>
    </xf>
    <xf numFmtId="167" fontId="14" fillId="6" borderId="11" xfId="2" applyNumberFormat="1" applyFont="1" applyFill="1" applyBorder="1" applyAlignment="1">
      <alignment horizontal="right" vertical="center"/>
    </xf>
    <xf numFmtId="167" fontId="14" fillId="6" borderId="0" xfId="2" applyNumberFormat="1" applyFont="1" applyFill="1" applyAlignment="1">
      <alignment horizontal="right" vertical="center"/>
    </xf>
    <xf numFmtId="167" fontId="14" fillId="6" borderId="9" xfId="2" applyNumberFormat="1" applyFont="1" applyFill="1" applyBorder="1" applyAlignment="1">
      <alignment horizontal="right" vertical="center"/>
    </xf>
    <xf numFmtId="0" fontId="14" fillId="6" borderId="11" xfId="12" applyFont="1" applyFill="1" applyBorder="1" applyAlignment="1">
      <alignment horizontal="center" wrapText="1"/>
    </xf>
    <xf numFmtId="0" fontId="15" fillId="6" borderId="11" xfId="12" applyFont="1" applyFill="1" applyBorder="1" applyAlignment="1">
      <alignment horizontal="center" wrapText="1"/>
    </xf>
    <xf numFmtId="0" fontId="15" fillId="6" borderId="16" xfId="12" applyFont="1" applyFill="1" applyBorder="1" applyAlignment="1">
      <alignment horizontal="center" wrapText="1"/>
    </xf>
    <xf numFmtId="37" fontId="18" fillId="8" borderId="0" xfId="2" applyNumberFormat="1" applyFont="1" applyFill="1" applyBorder="1" applyAlignment="1">
      <alignment horizontal="center" vertical="center" wrapText="1"/>
    </xf>
    <xf numFmtId="37" fontId="15" fillId="6" borderId="0" xfId="2" applyNumberFormat="1" applyFont="1" applyFill="1" applyBorder="1" applyAlignment="1">
      <alignment horizontal="center" vertical="center" wrapText="1"/>
    </xf>
    <xf numFmtId="10" fontId="0" fillId="0" borderId="0" xfId="27" applyNumberFormat="1" applyFont="1"/>
    <xf numFmtId="168" fontId="0" fillId="0" borderId="0" xfId="27" applyNumberFormat="1" applyFont="1"/>
    <xf numFmtId="0" fontId="14" fillId="6" borderId="0" xfId="12" applyFont="1" applyFill="1" applyBorder="1" applyAlignment="1">
      <alignment horizontal="center" wrapText="1"/>
    </xf>
    <xf numFmtId="7" fontId="0" fillId="0" borderId="0" xfId="0" applyNumberFormat="1"/>
    <xf numFmtId="0" fontId="15" fillId="7" borderId="12" xfId="2" applyFont="1" applyFill="1" applyBorder="1" applyAlignment="1">
      <alignment vertical="center"/>
    </xf>
    <xf numFmtId="37" fontId="16" fillId="7" borderId="1" xfId="2" applyNumberFormat="1" applyFont="1" applyFill="1" applyBorder="1" applyAlignment="1">
      <alignment vertical="center"/>
    </xf>
    <xf numFmtId="37" fontId="19" fillId="7" borderId="12" xfId="2" applyNumberFormat="1" applyFont="1" applyFill="1" applyBorder="1" applyAlignment="1">
      <alignment horizontal="centerContinuous" vertical="center"/>
    </xf>
    <xf numFmtId="37" fontId="16" fillId="7" borderId="1" xfId="2" applyNumberFormat="1" applyFont="1" applyFill="1" applyBorder="1" applyAlignment="1">
      <alignment horizontal="centerContinuous" vertical="center"/>
    </xf>
    <xf numFmtId="37" fontId="14" fillId="6" borderId="11" xfId="2" applyNumberFormat="1" applyFont="1" applyFill="1" applyBorder="1" applyAlignment="1">
      <alignment horizontal="center"/>
    </xf>
    <xf numFmtId="167" fontId="0" fillId="0" borderId="0" xfId="0" applyNumberFormat="1"/>
    <xf numFmtId="10" fontId="0" fillId="0" borderId="0" xfId="0" applyNumberFormat="1"/>
    <xf numFmtId="0" fontId="0" fillId="6" borderId="7" xfId="0" applyFill="1" applyBorder="1" applyAlignment="1">
      <alignment horizontal="center"/>
    </xf>
    <xf numFmtId="0" fontId="0" fillId="6" borderId="0" xfId="0" applyFill="1" applyAlignment="1">
      <alignment horizontal="center"/>
    </xf>
    <xf numFmtId="44" fontId="0" fillId="0" borderId="0" xfId="29" applyFont="1"/>
    <xf numFmtId="0" fontId="11" fillId="0" borderId="6" xfId="0" applyFont="1" applyBorder="1"/>
    <xf numFmtId="164" fontId="11" fillId="0" borderId="0" xfId="28" applyNumberFormat="1" applyFont="1" applyBorder="1"/>
    <xf numFmtId="164" fontId="11" fillId="0" borderId="3" xfId="28" applyNumberFormat="1" applyFont="1" applyBorder="1"/>
    <xf numFmtId="164" fontId="11" fillId="0" borderId="6" xfId="28" applyNumberFormat="1" applyFont="1" applyBorder="1"/>
    <xf numFmtId="164" fontId="11" fillId="0" borderId="5" xfId="28" applyNumberFormat="1" applyFont="1" applyBorder="1"/>
    <xf numFmtId="0" fontId="2" fillId="0" borderId="0" xfId="0" applyFont="1"/>
    <xf numFmtId="0" fontId="0" fillId="8" borderId="0" xfId="0" applyFill="1"/>
    <xf numFmtId="8" fontId="0" fillId="0" borderId="0" xfId="0" applyNumberFormat="1"/>
    <xf numFmtId="44" fontId="0" fillId="0" borderId="0" xfId="0" applyNumberFormat="1"/>
    <xf numFmtId="164" fontId="0" fillId="0" borderId="0" xfId="0" applyNumberFormat="1"/>
    <xf numFmtId="166" fontId="0" fillId="0" borderId="0" xfId="0" applyNumberFormat="1"/>
    <xf numFmtId="0" fontId="22" fillId="0" borderId="0" xfId="0" applyFont="1"/>
    <xf numFmtId="0" fontId="23" fillId="0" borderId="0" xfId="0" applyFont="1"/>
    <xf numFmtId="0" fontId="12" fillId="0" borderId="0" xfId="0" applyFont="1" applyFill="1" applyBorder="1"/>
    <xf numFmtId="0" fontId="15" fillId="9" borderId="15" xfId="12" applyFont="1" applyFill="1" applyBorder="1" applyAlignment="1">
      <alignment horizontal="center" wrapText="1"/>
    </xf>
    <xf numFmtId="0" fontId="14" fillId="6" borderId="0" xfId="2" applyFont="1" applyFill="1" applyBorder="1"/>
    <xf numFmtId="0" fontId="11" fillId="0" borderId="0" xfId="0" applyFont="1" applyBorder="1"/>
    <xf numFmtId="0" fontId="11" fillId="8" borderId="0" xfId="0" applyFont="1" applyFill="1"/>
    <xf numFmtId="164" fontId="11" fillId="8" borderId="0" xfId="28" applyNumberFormat="1" applyFont="1" applyFill="1"/>
    <xf numFmtId="164" fontId="11" fillId="8" borderId="3" xfId="28" applyNumberFormat="1" applyFont="1" applyFill="1" applyBorder="1"/>
    <xf numFmtId="0" fontId="11" fillId="8" borderId="6" xfId="0" applyFont="1" applyFill="1" applyBorder="1"/>
    <xf numFmtId="164" fontId="11" fillId="8" borderId="6" xfId="28" applyNumberFormat="1" applyFont="1" applyFill="1" applyBorder="1"/>
    <xf numFmtId="164" fontId="11" fillId="8" borderId="5" xfId="28" applyNumberFormat="1" applyFont="1" applyFill="1" applyBorder="1"/>
    <xf numFmtId="0" fontId="14" fillId="6" borderId="0" xfId="32" applyNumberFormat="1" applyFont="1" applyFill="1" applyAlignment="1">
      <alignment horizontal="center"/>
    </xf>
    <xf numFmtId="39" fontId="14" fillId="6" borderId="0" xfId="32" applyFont="1" applyFill="1" applyAlignment="1">
      <alignment horizontal="center"/>
    </xf>
    <xf numFmtId="0" fontId="0" fillId="0" borderId="0" xfId="0" applyAlignment="1">
      <alignment horizontal="center" wrapText="1"/>
    </xf>
    <xf numFmtId="170" fontId="14" fillId="6" borderId="0" xfId="2" applyNumberFormat="1" applyFont="1" applyFill="1" applyBorder="1" applyAlignment="1">
      <alignment horizontal="right"/>
    </xf>
    <xf numFmtId="2" fontId="0" fillId="0" borderId="0" xfId="0" applyNumberFormat="1"/>
    <xf numFmtId="0" fontId="0" fillId="0" borderId="0" xfId="0" applyFill="1" applyBorder="1"/>
    <xf numFmtId="0" fontId="27" fillId="0" borderId="0" xfId="0" applyFont="1"/>
    <xf numFmtId="0" fontId="24" fillId="0" borderId="0" xfId="0" applyFont="1"/>
    <xf numFmtId="0" fontId="0" fillId="9" borderId="0" xfId="0" applyFill="1"/>
    <xf numFmtId="0" fontId="0" fillId="0" borderId="0" xfId="0" applyAlignment="1">
      <alignment horizontal="right"/>
    </xf>
    <xf numFmtId="0" fontId="28" fillId="0" borderId="0" xfId="0" applyFont="1"/>
    <xf numFmtId="0" fontId="2" fillId="3" borderId="0" xfId="0" applyFont="1" applyFill="1"/>
    <xf numFmtId="8" fontId="0" fillId="3" borderId="0" xfId="0" applyNumberFormat="1" applyFill="1"/>
    <xf numFmtId="171" fontId="0" fillId="3" borderId="0" xfId="0" applyNumberFormat="1" applyFill="1"/>
    <xf numFmtId="2" fontId="0" fillId="6" borderId="0" xfId="0" applyNumberFormat="1" applyFill="1" applyAlignment="1">
      <alignment horizontal="center"/>
    </xf>
    <xf numFmtId="1" fontId="0" fillId="6" borderId="0" xfId="0" applyNumberFormat="1" applyFill="1" applyAlignment="1">
      <alignment horizontal="center"/>
    </xf>
    <xf numFmtId="2" fontId="0" fillId="0" borderId="4" xfId="0" applyNumberFormat="1" applyBorder="1"/>
    <xf numFmtId="0" fontId="0" fillId="0" borderId="6" xfId="0" applyBorder="1"/>
    <xf numFmtId="0" fontId="0" fillId="6" borderId="0" xfId="0" applyFill="1"/>
    <xf numFmtId="0" fontId="2" fillId="6" borderId="0" xfId="0" applyFont="1" applyFill="1"/>
    <xf numFmtId="0" fontId="0" fillId="0" borderId="3" xfId="0" applyBorder="1"/>
    <xf numFmtId="0" fontId="0" fillId="0" borderId="19" xfId="0" applyBorder="1"/>
    <xf numFmtId="0" fontId="2" fillId="6" borderId="0" xfId="0" applyFont="1" applyFill="1" applyAlignment="1">
      <alignment horizontal="center"/>
    </xf>
    <xf numFmtId="0" fontId="0" fillId="0" borderId="5" xfId="0" applyBorder="1"/>
    <xf numFmtId="2" fontId="0" fillId="0" borderId="2" xfId="0" quotePrefix="1" applyNumberFormat="1" applyBorder="1"/>
    <xf numFmtId="0" fontId="2" fillId="6" borderId="0" xfId="0" applyFont="1" applyFill="1" applyAlignment="1">
      <alignment horizontal="center" vertical="center"/>
    </xf>
    <xf numFmtId="0" fontId="0" fillId="0" borderId="17" xfId="0" applyBorder="1"/>
    <xf numFmtId="0" fontId="0" fillId="0" borderId="18" xfId="0" applyBorder="1"/>
    <xf numFmtId="0" fontId="0" fillId="0" borderId="0" xfId="0"/>
    <xf numFmtId="0" fontId="0" fillId="6" borderId="0" xfId="0" applyFill="1" applyAlignment="1">
      <alignment horizontal="center" wrapText="1"/>
    </xf>
    <xf numFmtId="0" fontId="2" fillId="6" borderId="20" xfId="0" applyFont="1" applyFill="1" applyBorder="1" applyAlignment="1"/>
    <xf numFmtId="0" fontId="0" fillId="0" borderId="20" xfId="0" applyBorder="1"/>
    <xf numFmtId="0" fontId="2" fillId="0" borderId="20" xfId="0" applyFont="1" applyBorder="1"/>
    <xf numFmtId="0" fontId="2" fillId="8" borderId="0" xfId="0" applyFont="1" applyFill="1" applyAlignment="1">
      <alignment horizontal="center"/>
    </xf>
    <xf numFmtId="39" fontId="14" fillId="10" borderId="0" xfId="32" applyFont="1" applyFill="1"/>
    <xf numFmtId="0" fontId="0" fillId="6" borderId="0" xfId="0" applyFill="1" applyAlignment="1">
      <alignment horizontal="left"/>
    </xf>
    <xf numFmtId="2" fontId="0" fillId="6" borderId="0" xfId="0" applyNumberFormat="1" applyFill="1" applyAlignment="1">
      <alignment horizontal="left"/>
    </xf>
    <xf numFmtId="174" fontId="0" fillId="6" borderId="0" xfId="29" applyNumberFormat="1" applyFont="1" applyFill="1"/>
    <xf numFmtId="44" fontId="0" fillId="6" borderId="0" xfId="29" applyFont="1" applyFill="1"/>
    <xf numFmtId="0" fontId="15" fillId="0" borderId="0" xfId="0" applyFont="1"/>
    <xf numFmtId="0" fontId="32" fillId="0" borderId="0" xfId="0" applyFont="1"/>
    <xf numFmtId="0" fontId="14" fillId="0" borderId="0" xfId="0" applyFont="1"/>
    <xf numFmtId="169" fontId="0" fillId="0" borderId="0" xfId="29" applyNumberFormat="1" applyFont="1" applyAlignment="1">
      <alignment horizontal="right"/>
    </xf>
    <xf numFmtId="0" fontId="33" fillId="0" borderId="0" xfId="0" applyFont="1" applyAlignment="1">
      <alignment horizontal="left" wrapText="1" indent="2"/>
    </xf>
    <xf numFmtId="169" fontId="34" fillId="0" borderId="0" xfId="29" applyNumberFormat="1" applyFont="1" applyFill="1" applyAlignment="1">
      <alignment horizontal="right"/>
    </xf>
    <xf numFmtId="3" fontId="0" fillId="0" borderId="0" xfId="0" applyNumberFormat="1"/>
    <xf numFmtId="3" fontId="32" fillId="0" borderId="0" xfId="0" applyNumberFormat="1" applyFont="1"/>
    <xf numFmtId="173" fontId="14" fillId="0" borderId="0" xfId="29" applyNumberFormat="1" applyFont="1" applyAlignment="1">
      <alignment horizontal="right"/>
    </xf>
    <xf numFmtId="0" fontId="2" fillId="0" borderId="0" xfId="0" applyFont="1" applyAlignment="1">
      <alignment horizontal="left"/>
    </xf>
    <xf numFmtId="2" fontId="0" fillId="0" borderId="0" xfId="0" quotePrefix="1" applyNumberFormat="1"/>
    <xf numFmtId="0" fontId="0" fillId="8" borderId="0" xfId="0" applyFill="1" applyAlignment="1">
      <alignment horizontal="center"/>
    </xf>
    <xf numFmtId="0" fontId="0" fillId="0" borderId="0" xfId="0" applyAlignment="1">
      <alignment horizontal="left"/>
    </xf>
    <xf numFmtId="0" fontId="0" fillId="11" borderId="0" xfId="0" applyFill="1"/>
    <xf numFmtId="166" fontId="4" fillId="8" borderId="0" xfId="14" applyNumberFormat="1" applyFont="1" applyFill="1"/>
    <xf numFmtId="0" fontId="14" fillId="6" borderId="20" xfId="2" applyFont="1" applyFill="1" applyBorder="1"/>
    <xf numFmtId="0" fontId="14" fillId="6" borderId="21" xfId="12" applyFont="1" applyFill="1" applyBorder="1" applyAlignment="1">
      <alignment horizontal="center" wrapText="1"/>
    </xf>
    <xf numFmtId="167" fontId="14" fillId="6" borderId="21" xfId="2" applyNumberFormat="1" applyFont="1" applyFill="1" applyBorder="1" applyAlignment="1">
      <alignment horizontal="right" vertical="center"/>
    </xf>
    <xf numFmtId="167" fontId="14" fillId="6" borderId="20" xfId="2" applyNumberFormat="1" applyFont="1" applyFill="1" applyBorder="1" applyAlignment="1">
      <alignment horizontal="right" vertical="center"/>
    </xf>
    <xf numFmtId="167" fontId="14" fillId="6" borderId="22" xfId="2" applyNumberFormat="1" applyFont="1" applyFill="1" applyBorder="1" applyAlignment="1">
      <alignment horizontal="right" vertical="center"/>
    </xf>
    <xf numFmtId="166" fontId="4" fillId="0" borderId="0" xfId="56" applyNumberFormat="1" applyFont="1"/>
    <xf numFmtId="0" fontId="4" fillId="0" borderId="0" xfId="1" applyFont="1"/>
    <xf numFmtId="0" fontId="0" fillId="0" borderId="22" xfId="0" applyBorder="1"/>
    <xf numFmtId="0" fontId="0" fillId="0" borderId="21" xfId="0" applyBorder="1"/>
    <xf numFmtId="0" fontId="35" fillId="0" borderId="0" xfId="0" applyFont="1"/>
    <xf numFmtId="0" fontId="0" fillId="0" borderId="0" xfId="0"/>
    <xf numFmtId="175" fontId="0" fillId="0" borderId="0" xfId="27" applyNumberFormat="1" applyFont="1"/>
    <xf numFmtId="0" fontId="0" fillId="0" borderId="0" xfId="0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Fill="1" applyBorder="1" applyAlignment="1">
      <alignment vertical="center"/>
    </xf>
    <xf numFmtId="0" fontId="2" fillId="0" borderId="0" xfId="0" applyFont="1" applyFill="1" applyBorder="1"/>
    <xf numFmtId="0" fontId="2" fillId="8" borderId="0" xfId="0" applyFont="1" applyFill="1" applyBorder="1"/>
    <xf numFmtId="0" fontId="0" fillId="0" borderId="0" xfId="0" applyFont="1" applyFill="1" applyBorder="1"/>
    <xf numFmtId="0" fontId="2" fillId="8" borderId="7" xfId="0" applyFont="1" applyFill="1" applyBorder="1"/>
    <xf numFmtId="0" fontId="0" fillId="8" borderId="7" xfId="0" applyFill="1" applyBorder="1"/>
    <xf numFmtId="0" fontId="2" fillId="8" borderId="0" xfId="0" applyFont="1" applyFill="1"/>
    <xf numFmtId="0" fontId="2" fillId="9" borderId="0" xfId="0" applyFont="1" applyFill="1"/>
    <xf numFmtId="8" fontId="0" fillId="0" borderId="0" xfId="0" applyNumberFormat="1" applyFill="1" applyBorder="1"/>
    <xf numFmtId="44" fontId="0" fillId="0" borderId="0" xfId="29" applyFont="1" applyFill="1" applyBorder="1"/>
    <xf numFmtId="44" fontId="2" fillId="8" borderId="7" xfId="29" applyFont="1" applyFill="1" applyBorder="1"/>
    <xf numFmtId="0" fontId="0" fillId="0" borderId="0" xfId="29" applyNumberFormat="1" applyFont="1" applyFill="1" applyBorder="1"/>
    <xf numFmtId="44" fontId="0" fillId="0" borderId="0" xfId="0" applyNumberFormat="1" applyFill="1" applyBorder="1"/>
    <xf numFmtId="0" fontId="2" fillId="0" borderId="0" xfId="0" applyFont="1" applyFill="1" applyBorder="1" applyAlignment="1">
      <alignment horizontal="center"/>
    </xf>
    <xf numFmtId="0" fontId="12" fillId="9" borderId="0" xfId="0" applyFont="1" applyFill="1" applyBorder="1"/>
    <xf numFmtId="0" fontId="0" fillId="9" borderId="0" xfId="0" applyFill="1" applyBorder="1"/>
    <xf numFmtId="176" fontId="0" fillId="0" borderId="0" xfId="0" applyNumberFormat="1"/>
    <xf numFmtId="0" fontId="12" fillId="0" borderId="17" xfId="0" applyFont="1" applyBorder="1" applyAlignment="1">
      <alignment horizontal="center"/>
    </xf>
    <xf numFmtId="0" fontId="12" fillId="0" borderId="17" xfId="0" applyFont="1" applyBorder="1"/>
    <xf numFmtId="0" fontId="12" fillId="0" borderId="0" xfId="0" applyFont="1" applyAlignment="1">
      <alignment horizontal="center"/>
    </xf>
    <xf numFmtId="0" fontId="12" fillId="0" borderId="20" xfId="0" applyFont="1" applyBorder="1"/>
    <xf numFmtId="0" fontId="12" fillId="0" borderId="2" xfId="12" applyFont="1" applyBorder="1" applyAlignment="1">
      <alignment horizontal="center"/>
    </xf>
    <xf numFmtId="2" fontId="12" fillId="0" borderId="0" xfId="0" applyNumberFormat="1" applyFont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20" xfId="0" applyFont="1" applyBorder="1" applyAlignment="1">
      <alignment horizontal="center"/>
    </xf>
    <xf numFmtId="43" fontId="12" fillId="0" borderId="0" xfId="0" applyNumberFormat="1" applyFont="1"/>
    <xf numFmtId="166" fontId="0" fillId="0" borderId="0" xfId="55" applyNumberFormat="1" applyFont="1"/>
    <xf numFmtId="0" fontId="0" fillId="0" borderId="11" xfId="0" applyBorder="1"/>
    <xf numFmtId="44" fontId="0" fillId="0" borderId="11" xfId="29" applyFont="1" applyBorder="1"/>
    <xf numFmtId="44" fontId="0" fillId="0" borderId="9" xfId="29" applyFont="1" applyBorder="1"/>
    <xf numFmtId="44" fontId="0" fillId="0" borderId="0" xfId="29" applyFont="1" applyBorder="1"/>
    <xf numFmtId="0" fontId="0" fillId="0" borderId="0" xfId="29" applyNumberFormat="1" applyFont="1" applyBorder="1"/>
    <xf numFmtId="44" fontId="0" fillId="3" borderId="0" xfId="29" applyFont="1" applyFill="1" applyBorder="1"/>
    <xf numFmtId="44" fontId="0" fillId="0" borderId="0" xfId="29" applyNumberFormat="1" applyFont="1" applyBorder="1"/>
    <xf numFmtId="44" fontId="0" fillId="0" borderId="0" xfId="29" applyNumberFormat="1" applyFont="1" applyFill="1" applyBorder="1"/>
    <xf numFmtId="44" fontId="0" fillId="9" borderId="0" xfId="29" applyNumberFormat="1" applyFont="1" applyFill="1" applyBorder="1" applyAlignment="1">
      <alignment horizontal="left"/>
    </xf>
    <xf numFmtId="44" fontId="0" fillId="9" borderId="0" xfId="29" applyNumberFormat="1" applyFont="1" applyFill="1" applyBorder="1"/>
    <xf numFmtId="44" fontId="0" fillId="0" borderId="11" xfId="0" applyNumberFormat="1" applyBorder="1"/>
    <xf numFmtId="0" fontId="4" fillId="0" borderId="0" xfId="0" applyFont="1"/>
    <xf numFmtId="164" fontId="4" fillId="0" borderId="0" xfId="0" applyNumberFormat="1" applyFont="1" applyAlignment="1">
      <alignment wrapText="1"/>
    </xf>
    <xf numFmtId="0" fontId="0" fillId="12" borderId="0" xfId="0" applyFont="1" applyFill="1"/>
    <xf numFmtId="0" fontId="0" fillId="0" borderId="0" xfId="0" applyFont="1"/>
    <xf numFmtId="0" fontId="0" fillId="9" borderId="0" xfId="0" applyFont="1" applyFill="1"/>
    <xf numFmtId="0" fontId="0" fillId="0" borderId="23" xfId="0" applyFont="1" applyBorder="1"/>
    <xf numFmtId="0" fontId="0" fillId="9" borderId="23" xfId="0" applyFont="1" applyFill="1" applyBorder="1"/>
    <xf numFmtId="0" fontId="0" fillId="0" borderId="0" xfId="0" applyFont="1" applyFill="1"/>
    <xf numFmtId="44" fontId="0" fillId="0" borderId="9" xfId="0" applyNumberFormat="1" applyBorder="1"/>
    <xf numFmtId="49" fontId="36" fillId="0" borderId="0" xfId="0" applyNumberFormat="1" applyFont="1"/>
    <xf numFmtId="0" fontId="0" fillId="12" borderId="23" xfId="0" applyFont="1" applyFill="1" applyBorder="1"/>
    <xf numFmtId="0" fontId="0" fillId="0" borderId="0" xfId="0" applyFont="1" applyBorder="1"/>
    <xf numFmtId="0" fontId="0" fillId="12" borderId="0" xfId="0" applyFont="1" applyFill="1" applyBorder="1"/>
    <xf numFmtId="44" fontId="4" fillId="0" borderId="0" xfId="29" applyFont="1" applyAlignment="1">
      <alignment wrapText="1"/>
    </xf>
    <xf numFmtId="44" fontId="4" fillId="0" borderId="11" xfId="29" applyFont="1" applyBorder="1" applyAlignment="1">
      <alignment wrapText="1"/>
    </xf>
    <xf numFmtId="0" fontId="0" fillId="9" borderId="0" xfId="0" applyFont="1" applyFill="1" applyBorder="1"/>
    <xf numFmtId="49" fontId="36" fillId="12" borderId="0" xfId="0" applyNumberFormat="1" applyFont="1" applyFill="1" applyBorder="1"/>
    <xf numFmtId="49" fontId="36" fillId="0" borderId="0" xfId="0" applyNumberFormat="1" applyFont="1" applyBorder="1"/>
    <xf numFmtId="0" fontId="4" fillId="12" borderId="0" xfId="0" applyFont="1" applyFill="1" applyBorder="1"/>
    <xf numFmtId="0" fontId="4" fillId="0" borderId="0" xfId="0" applyFont="1" applyBorder="1"/>
    <xf numFmtId="0" fontId="0" fillId="0" borderId="0" xfId="0" applyFill="1"/>
    <xf numFmtId="0" fontId="0" fillId="0" borderId="23" xfId="0" applyFont="1" applyFill="1" applyBorder="1"/>
    <xf numFmtId="166" fontId="0" fillId="0" borderId="0" xfId="55" applyNumberFormat="1" applyFont="1" applyFill="1"/>
    <xf numFmtId="0" fontId="2" fillId="8" borderId="0" xfId="29" applyNumberFormat="1" applyFont="1" applyFill="1" applyBorder="1"/>
    <xf numFmtId="0" fontId="0" fillId="3" borderId="0" xfId="0" applyFill="1" applyBorder="1"/>
    <xf numFmtId="0" fontId="2" fillId="3" borderId="0" xfId="0" applyFont="1" applyFill="1" applyBorder="1"/>
    <xf numFmtId="8" fontId="0" fillId="3" borderId="0" xfId="0" applyNumberFormat="1" applyFill="1" applyBorder="1"/>
    <xf numFmtId="10" fontId="0" fillId="0" borderId="0" xfId="0" applyNumberFormat="1" applyFill="1"/>
    <xf numFmtId="44" fontId="0" fillId="3" borderId="0" xfId="0" applyNumberFormat="1" applyFill="1"/>
    <xf numFmtId="43" fontId="24" fillId="0" borderId="0" xfId="0" applyNumberFormat="1" applyFont="1"/>
    <xf numFmtId="0" fontId="37" fillId="0" borderId="0" xfId="0" applyFont="1"/>
    <xf numFmtId="0" fontId="38" fillId="0" borderId="0" xfId="0" applyFont="1"/>
    <xf numFmtId="0" fontId="0" fillId="0" borderId="0" xfId="29" applyNumberFormat="1" applyFont="1" applyAlignment="1">
      <alignment horizontal="right"/>
    </xf>
    <xf numFmtId="0" fontId="14" fillId="0" borderId="0" xfId="0" applyNumberFormat="1" applyFont="1" applyAlignment="1">
      <alignment horizontal="right"/>
    </xf>
    <xf numFmtId="0" fontId="2" fillId="6" borderId="13" xfId="0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2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2" fontId="0" fillId="0" borderId="0" xfId="0" applyNumberFormat="1" applyFill="1" applyBorder="1" applyAlignment="1">
      <alignment horizontal="left"/>
    </xf>
    <xf numFmtId="10" fontId="21" fillId="0" borderId="0" xfId="52" applyNumberFormat="1" applyFont="1" applyBorder="1"/>
    <xf numFmtId="10" fontId="11" fillId="0" borderId="0" xfId="0" applyNumberFormat="1" applyFont="1" applyBorder="1" applyAlignment="1">
      <alignment horizontal="center"/>
    </xf>
    <xf numFmtId="10" fontId="0" fillId="0" borderId="0" xfId="0" applyNumberFormat="1" applyBorder="1"/>
    <xf numFmtId="0" fontId="0" fillId="0" borderId="0" xfId="0" applyBorder="1" applyAlignment="1">
      <alignment horizontal="right"/>
    </xf>
    <xf numFmtId="8" fontId="0" fillId="11" borderId="0" xfId="0" applyNumberFormat="1" applyFill="1"/>
    <xf numFmtId="164" fontId="0" fillId="0" borderId="0" xfId="28" applyNumberFormat="1" applyFont="1"/>
    <xf numFmtId="0" fontId="22" fillId="0" borderId="0" xfId="0" applyFont="1" applyAlignment="1">
      <alignment vertical="center"/>
    </xf>
    <xf numFmtId="44" fontId="0" fillId="0" borderId="0" xfId="29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6" borderId="22" xfId="0" applyFont="1" applyFill="1" applyBorder="1" applyAlignment="1">
      <alignment horizontal="center"/>
    </xf>
    <xf numFmtId="0" fontId="2" fillId="6" borderId="21" xfId="0" applyFont="1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0" xfId="0" applyAlignment="1">
      <alignment horizontal="left" wrapText="1"/>
    </xf>
  </cellXfs>
  <cellStyles count="58">
    <cellStyle name="Comma" xfId="28" builtinId="3"/>
    <cellStyle name="Comma [0] 2" xfId="18" xr:uid="{DE9A1FB4-AB21-4FC3-8630-B6685ACE80FA}"/>
    <cellStyle name="Comma 2" xfId="3" xr:uid="{9E728CA7-6ECD-43E4-B9C4-44C9DCC8C4A2}"/>
    <cellStyle name="Comma 2 2" xfId="20" xr:uid="{AD95547A-28E2-4473-8EE6-EEACEB98850C}"/>
    <cellStyle name="Comma 2 3" xfId="24" xr:uid="{F9155087-E8C1-46E2-B389-573E42CBBDD2}"/>
    <cellStyle name="Comma 2 4" xfId="30" xr:uid="{B671E170-739A-47FA-BC94-EE75B4CEDE3D}"/>
    <cellStyle name="Comma 2 5" xfId="54" xr:uid="{B4774847-1C1C-43D3-AD39-1A1DA23A7E28}"/>
    <cellStyle name="Comma 2 6" xfId="55" xr:uid="{5C4D1424-C0E4-4EA7-84A4-25178F5A0500}"/>
    <cellStyle name="Comma 26" xfId="10" xr:uid="{27933154-CDEE-48D3-9C8C-75F28DB27861}"/>
    <cellStyle name="Comma 3" xfId="6" xr:uid="{60A62E8E-18B7-4221-8492-4511698C316C}"/>
    <cellStyle name="Comma 3 2" xfId="31" xr:uid="{FC4F999E-B77C-4CAC-B217-C7679E07B008}"/>
    <cellStyle name="Comma 4" xfId="16" xr:uid="{061CF6E4-AF1B-42A0-B4DD-C2DBE5E1B476}"/>
    <cellStyle name="Comma 5" xfId="14" xr:uid="{6217690F-51C5-4A84-A458-5FFF846726A5}"/>
    <cellStyle name="Comma 6" xfId="26" xr:uid="{BF0A10F5-97BE-4BB0-8E5A-EAD95679EF19}"/>
    <cellStyle name="Comma 7" xfId="25" xr:uid="{E225E200-CC2A-475F-8C4F-7F24DC1E5A0B}"/>
    <cellStyle name="Comma 8" xfId="56" xr:uid="{5F8C1A9A-3E76-4094-AA87-52E4938F842D}"/>
    <cellStyle name="Currency" xfId="29" builtinId="4"/>
    <cellStyle name="Currency 2" xfId="11" xr:uid="{48905B10-507E-475E-AC38-869634C7BF16}"/>
    <cellStyle name="Currency 3" xfId="22" xr:uid="{DFE5732B-73D0-4C5B-B45E-B1763CCF8A7F}"/>
    <cellStyle name="NGHeader1" xfId="8" xr:uid="{793FEF86-CED2-48A2-B488-9501F3A3DEAB}"/>
    <cellStyle name="Normal" xfId="0" builtinId="0"/>
    <cellStyle name="Normal 10 6" xfId="53" xr:uid="{FB5F84AA-C626-4090-B4A9-A04797298645}"/>
    <cellStyle name="Normal 11" xfId="42" xr:uid="{700AAD6B-701E-4BE6-98E8-1C1827391DF6}"/>
    <cellStyle name="Normal 11 13" xfId="45" xr:uid="{30DAF93E-5A62-4974-9256-CA61EC42260E}"/>
    <cellStyle name="Normal 11 5" xfId="46" xr:uid="{159232C4-4E40-4148-866E-15852B933FAD}"/>
    <cellStyle name="Normal 12" xfId="50" xr:uid="{D5664080-2020-4415-8239-FD7F3502746E}"/>
    <cellStyle name="Normal 15" xfId="40" xr:uid="{20C11DF5-650B-4A53-92CD-4EF2F0DDF58B}"/>
    <cellStyle name="Normal 15 2" xfId="41" xr:uid="{37065CBC-F4C9-4EDA-8783-4900C6B8C4B8}"/>
    <cellStyle name="Normal 2" xfId="2" xr:uid="{D177FC80-4F25-4153-A74F-1DB335C81999}"/>
    <cellStyle name="Normal 2 2" xfId="12" xr:uid="{0C28C0D1-CAE9-4BE5-B40C-1CF5EF437BCB}"/>
    <cellStyle name="Normal 2 2 2" xfId="47" xr:uid="{86B95E6B-71F2-4668-BA9E-CF821B29D331}"/>
    <cellStyle name="Normal 2 3" xfId="19" xr:uid="{D79366CE-F326-45D4-975E-122D67A1A795}"/>
    <cellStyle name="Normal 2 3 2" xfId="32" xr:uid="{CBEF4FC3-29D8-48AB-B35D-E760B555AEC2}"/>
    <cellStyle name="Normal 2 3 3" xfId="33" xr:uid="{9783080D-C5F8-43D2-A420-D07F9D0252BE}"/>
    <cellStyle name="Normal 2 4" xfId="34" xr:uid="{DCF75991-3B17-4A04-A183-5F87E15A45DD}"/>
    <cellStyle name="Normal 2 5" xfId="43" xr:uid="{09110E58-EEA7-4138-81E9-CD2674926661}"/>
    <cellStyle name="Normal 2 6" xfId="57" xr:uid="{697209D7-444C-4ED8-9795-3D1294570E59}"/>
    <cellStyle name="Normal 3" xfId="4" xr:uid="{5800F87E-EEA5-4A00-8CD6-2DE28AD3BEE0}"/>
    <cellStyle name="Normal 3 2" xfId="35" xr:uid="{4FAA59A9-3CE0-4E75-8B53-AFCD1D863F64}"/>
    <cellStyle name="Normal 3 2 2" xfId="49" xr:uid="{A9C07A39-8B85-4B62-BF73-CF839E9B96C2}"/>
    <cellStyle name="Normal 4" xfId="5" xr:uid="{A8D116D3-54D7-4AA3-8411-B7873995CA53}"/>
    <cellStyle name="Normal 4 2" xfId="13" xr:uid="{8AEF88A8-E0CB-4DF2-A443-393AE79C5C1F}"/>
    <cellStyle name="Normal 4 3" xfId="36" xr:uid="{7648CB45-DFDC-4A12-9046-E59C94B94E08}"/>
    <cellStyle name="Normal 47" xfId="44" xr:uid="{26813566-A715-4F51-8ED3-807B4A3D3BBE}"/>
    <cellStyle name="Normal 5" xfId="15" xr:uid="{3533FDC2-614D-4906-BDAE-85C9442A6961}"/>
    <cellStyle name="Normal 6" xfId="1" xr:uid="{93320CA3-9A9E-4C1B-828F-04ACAB7FB4B7}"/>
    <cellStyle name="Normal 7" xfId="9" xr:uid="{37D3BA38-EA73-4192-BE14-CF012484DE41}"/>
    <cellStyle name="Normal 8" xfId="52" xr:uid="{A8DFDAF6-3051-4984-9B07-4A2E2370DF89}"/>
    <cellStyle name="Percent" xfId="27" builtinId="5"/>
    <cellStyle name="Percent 18" xfId="48" xr:uid="{6527B5D1-6B2D-43D9-864C-5508D38C921B}"/>
    <cellStyle name="Percent 2" xfId="7" xr:uid="{06AAC2BD-7A0C-4D0A-9803-3ABE666DA75E}"/>
    <cellStyle name="Percent 2 2" xfId="21" xr:uid="{8D7DF6EE-17CF-4076-8C99-6344FA25D810}"/>
    <cellStyle name="Percent 2 2 2" xfId="37" xr:uid="{028E92F1-9D8C-47AE-AB22-880A31ECBABD}"/>
    <cellStyle name="Percent 2 3" xfId="23" xr:uid="{279179C3-FC0A-48F9-955A-1C142E73ECB1}"/>
    <cellStyle name="Percent 2 3 2" xfId="38" xr:uid="{8C90247E-B71E-467D-8F85-11748C9A9DC4}"/>
    <cellStyle name="Percent 2 4" xfId="39" xr:uid="{B9B34081-2B5F-441D-B9A5-6D979AFF1E70}"/>
    <cellStyle name="Percent 2 5" xfId="51" xr:uid="{87B84E6D-5E92-4397-B0C1-0E392215ED77}"/>
    <cellStyle name="Percent 3" xfId="17" xr:uid="{8E55DF90-CF01-4105-890F-275927B46401}"/>
  </cellStyles>
  <dxfs count="20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</dxfs>
  <tableStyles count="1" defaultTableStyle="TableStyleMedium2" defaultPivotStyle="PivotStyleLight16">
    <tableStyle name="Distribution tab Grid Workpapers" table="0" count="0" xr9:uid="{D0159213-370C-4534-A843-2473EA22932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Primary Levelized $/kW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CECONY!$AC$5:$AC$69</c:f>
              <c:numCache>
                <c:formatCode>General</c:formatCode>
                <c:ptCount val="65"/>
                <c:pt idx="0">
                  <c:v>979.19999999999993</c:v>
                </c:pt>
                <c:pt idx="1">
                  <c:v>807.5</c:v>
                </c:pt>
                <c:pt idx="2">
                  <c:v>1923.55</c:v>
                </c:pt>
                <c:pt idx="3">
                  <c:v>1422.05</c:v>
                </c:pt>
                <c:pt idx="4">
                  <c:v>501.5</c:v>
                </c:pt>
                <c:pt idx="5">
                  <c:v>476</c:v>
                </c:pt>
                <c:pt idx="6">
                  <c:v>263.5</c:v>
                </c:pt>
                <c:pt idx="7">
                  <c:v>5299.75</c:v>
                </c:pt>
                <c:pt idx="8">
                  <c:v>741.19999999999993</c:v>
                </c:pt>
                <c:pt idx="9">
                  <c:v>1949.05</c:v>
                </c:pt>
                <c:pt idx="10">
                  <c:v>1725.5</c:v>
                </c:pt>
                <c:pt idx="11">
                  <c:v>1167</c:v>
                </c:pt>
                <c:pt idx="12">
                  <c:v>1503</c:v>
                </c:pt>
                <c:pt idx="13">
                  <c:v>1130</c:v>
                </c:pt>
                <c:pt idx="14">
                  <c:v>470</c:v>
                </c:pt>
                <c:pt idx="15">
                  <c:v>494.7</c:v>
                </c:pt>
                <c:pt idx="16">
                  <c:v>1866.6</c:v>
                </c:pt>
                <c:pt idx="17">
                  <c:v>2440</c:v>
                </c:pt>
                <c:pt idx="18">
                  <c:v>2752</c:v>
                </c:pt>
                <c:pt idx="19">
                  <c:v>214</c:v>
                </c:pt>
                <c:pt idx="20">
                  <c:v>313</c:v>
                </c:pt>
                <c:pt idx="21">
                  <c:v>400</c:v>
                </c:pt>
                <c:pt idx="22">
                  <c:v>1177.25</c:v>
                </c:pt>
                <c:pt idx="23">
                  <c:v>1057.3999999999999</c:v>
                </c:pt>
                <c:pt idx="24">
                  <c:v>1347.25</c:v>
                </c:pt>
                <c:pt idx="25">
                  <c:v>814.3</c:v>
                </c:pt>
                <c:pt idx="26">
                  <c:v>520.19999999999993</c:v>
                </c:pt>
                <c:pt idx="27">
                  <c:v>3388.1</c:v>
                </c:pt>
                <c:pt idx="28">
                  <c:v>117.3</c:v>
                </c:pt>
                <c:pt idx="29">
                  <c:v>1348.95</c:v>
                </c:pt>
                <c:pt idx="30">
                  <c:v>2520.25</c:v>
                </c:pt>
                <c:pt idx="31">
                  <c:v>739.5</c:v>
                </c:pt>
                <c:pt idx="32">
                  <c:v>5000</c:v>
                </c:pt>
                <c:pt idx="33">
                  <c:v>647.69999999999993</c:v>
                </c:pt>
                <c:pt idx="34">
                  <c:v>727.6</c:v>
                </c:pt>
                <c:pt idx="35">
                  <c:v>113.05</c:v>
                </c:pt>
                <c:pt idx="36">
                  <c:v>1955</c:v>
                </c:pt>
                <c:pt idx="37">
                  <c:v>2847.5</c:v>
                </c:pt>
                <c:pt idx="38">
                  <c:v>2425</c:v>
                </c:pt>
                <c:pt idx="39">
                  <c:v>636.65</c:v>
                </c:pt>
                <c:pt idx="40">
                  <c:v>526.15</c:v>
                </c:pt>
                <c:pt idx="41">
                  <c:v>1748</c:v>
                </c:pt>
                <c:pt idx="42">
                  <c:v>808</c:v>
                </c:pt>
                <c:pt idx="43">
                  <c:v>408</c:v>
                </c:pt>
                <c:pt idx="44">
                  <c:v>227.79999999999998</c:v>
                </c:pt>
                <c:pt idx="45">
                  <c:v>628.15</c:v>
                </c:pt>
                <c:pt idx="46">
                  <c:v>713</c:v>
                </c:pt>
                <c:pt idx="47">
                  <c:v>989</c:v>
                </c:pt>
                <c:pt idx="48">
                  <c:v>253</c:v>
                </c:pt>
                <c:pt idx="49">
                  <c:v>379</c:v>
                </c:pt>
                <c:pt idx="50">
                  <c:v>119</c:v>
                </c:pt>
                <c:pt idx="51">
                  <c:v>450</c:v>
                </c:pt>
                <c:pt idx="52">
                  <c:v>472.5</c:v>
                </c:pt>
                <c:pt idx="53">
                  <c:v>328</c:v>
                </c:pt>
                <c:pt idx="54">
                  <c:v>314</c:v>
                </c:pt>
                <c:pt idx="55">
                  <c:v>564</c:v>
                </c:pt>
                <c:pt idx="56">
                  <c:v>541</c:v>
                </c:pt>
                <c:pt idx="57">
                  <c:v>17</c:v>
                </c:pt>
                <c:pt idx="58">
                  <c:v>444</c:v>
                </c:pt>
                <c:pt idx="59">
                  <c:v>408</c:v>
                </c:pt>
                <c:pt idx="60">
                  <c:v>920</c:v>
                </c:pt>
                <c:pt idx="61">
                  <c:v>920</c:v>
                </c:pt>
                <c:pt idx="62">
                  <c:v>1216</c:v>
                </c:pt>
                <c:pt idx="63">
                  <c:v>359</c:v>
                </c:pt>
                <c:pt idx="64">
                  <c:v>694</c:v>
                </c:pt>
              </c:numCache>
            </c:numRef>
          </c:xVal>
          <c:yVal>
            <c:numRef>
              <c:f>CECONY!$BE$5:$BE$69</c:f>
              <c:numCache>
                <c:formatCode>"$"#,##0.00_);[Red]\("$"#,##0.00\)</c:formatCode>
                <c:ptCount val="65"/>
                <c:pt idx="0">
                  <c:v>6.9018489433535191</c:v>
                </c:pt>
                <c:pt idx="1">
                  <c:v>14.402869246910136</c:v>
                </c:pt>
                <c:pt idx="2">
                  <c:v>5.8923425657351016</c:v>
                </c:pt>
                <c:pt idx="3">
                  <c:v>10.981915313607093</c:v>
                </c:pt>
                <c:pt idx="4">
                  <c:v>50.025098416021663</c:v>
                </c:pt>
                <c:pt idx="5">
                  <c:v>2.5942318831267519</c:v>
                </c:pt>
                <c:pt idx="6">
                  <c:v>86.572444596384898</c:v>
                </c:pt>
                <c:pt idx="7">
                  <c:v>15.418304248583988</c:v>
                </c:pt>
                <c:pt idx="8">
                  <c:v>30.686852925193683</c:v>
                </c:pt>
                <c:pt idx="9">
                  <c:v>11.436671408736144</c:v>
                </c:pt>
                <c:pt idx="10">
                  <c:v>7.8278578597503774</c:v>
                </c:pt>
                <c:pt idx="11">
                  <c:v>10.355549889100496</c:v>
                </c:pt>
                <c:pt idx="12">
                  <c:v>24.456219591603144</c:v>
                </c:pt>
                <c:pt idx="13">
                  <c:v>19.152687331736608</c:v>
                </c:pt>
                <c:pt idx="14">
                  <c:v>1.9608168372749248</c:v>
                </c:pt>
                <c:pt idx="15">
                  <c:v>34.92291704638594</c:v>
                </c:pt>
                <c:pt idx="16">
                  <c:v>14.931817152167177</c:v>
                </c:pt>
                <c:pt idx="17">
                  <c:v>14.674127474015245</c:v>
                </c:pt>
                <c:pt idx="18">
                  <c:v>14.444170283801006</c:v>
                </c:pt>
                <c:pt idx="19">
                  <c:v>18.99504272190724</c:v>
                </c:pt>
                <c:pt idx="20">
                  <c:v>11.571141820053709</c:v>
                </c:pt>
                <c:pt idx="21">
                  <c:v>0.36331827513166809</c:v>
                </c:pt>
                <c:pt idx="22">
                  <c:v>75.271492326588586</c:v>
                </c:pt>
                <c:pt idx="23">
                  <c:v>19.674363944631789</c:v>
                </c:pt>
                <c:pt idx="24">
                  <c:v>19.083632655466133</c:v>
                </c:pt>
                <c:pt idx="25">
                  <c:v>14.774985448058358</c:v>
                </c:pt>
                <c:pt idx="26">
                  <c:v>19.442747377665206</c:v>
                </c:pt>
                <c:pt idx="27">
                  <c:v>6.7719311718856421</c:v>
                </c:pt>
                <c:pt idx="28">
                  <c:v>341.04548197877699</c:v>
                </c:pt>
                <c:pt idx="29">
                  <c:v>21.789659736219029</c:v>
                </c:pt>
                <c:pt idx="30">
                  <c:v>10.539711682737734</c:v>
                </c:pt>
                <c:pt idx="31">
                  <c:v>22.537918894111673</c:v>
                </c:pt>
                <c:pt idx="32">
                  <c:v>101.43429026424376</c:v>
                </c:pt>
                <c:pt idx="33">
                  <c:v>9.65275487583237</c:v>
                </c:pt>
                <c:pt idx="34">
                  <c:v>13.053402453858372</c:v>
                </c:pt>
                <c:pt idx="35">
                  <c:v>28.323717476312197</c:v>
                </c:pt>
                <c:pt idx="36">
                  <c:v>24.992423314708123</c:v>
                </c:pt>
                <c:pt idx="37">
                  <c:v>5.2582826440732875</c:v>
                </c:pt>
                <c:pt idx="38">
                  <c:v>34.647242952640319</c:v>
                </c:pt>
                <c:pt idx="39">
                  <c:v>38.869598478449419</c:v>
                </c:pt>
                <c:pt idx="40">
                  <c:v>1.9109342196837551</c:v>
                </c:pt>
                <c:pt idx="41">
                  <c:v>22.761152129055294</c:v>
                </c:pt>
                <c:pt idx="42">
                  <c:v>12.844234283152559</c:v>
                </c:pt>
                <c:pt idx="43">
                  <c:v>84.450477882555788</c:v>
                </c:pt>
                <c:pt idx="44">
                  <c:v>22.098781437444533</c:v>
                </c:pt>
                <c:pt idx="45">
                  <c:v>38.339722081931392</c:v>
                </c:pt>
                <c:pt idx="46">
                  <c:v>31.63511784354305</c:v>
                </c:pt>
                <c:pt idx="47">
                  <c:v>8.6542785321424436</c:v>
                </c:pt>
                <c:pt idx="48">
                  <c:v>8.8553802408991622</c:v>
                </c:pt>
                <c:pt idx="49">
                  <c:v>25.654219504154405</c:v>
                </c:pt>
                <c:pt idx="50">
                  <c:v>32.324306639179547</c:v>
                </c:pt>
                <c:pt idx="51">
                  <c:v>27.319985489130211</c:v>
                </c:pt>
                <c:pt idx="52">
                  <c:v>35.856696770109409</c:v>
                </c:pt>
                <c:pt idx="53">
                  <c:v>2.4410637221871343</c:v>
                </c:pt>
                <c:pt idx="54">
                  <c:v>9.0154996110962422</c:v>
                </c:pt>
                <c:pt idx="55">
                  <c:v>3.51735896196673</c:v>
                </c:pt>
                <c:pt idx="56">
                  <c:v>0.92785139611519463</c:v>
                </c:pt>
                <c:pt idx="57">
                  <c:v>211.07643603155688</c:v>
                </c:pt>
                <c:pt idx="58">
                  <c:v>0.49382182818633541</c:v>
                </c:pt>
                <c:pt idx="59">
                  <c:v>1.5866936055605045</c:v>
                </c:pt>
                <c:pt idx="60">
                  <c:v>4.8322660466852314</c:v>
                </c:pt>
                <c:pt idx="61">
                  <c:v>11.830215120720752</c:v>
                </c:pt>
                <c:pt idx="62">
                  <c:v>68.884967586666406</c:v>
                </c:pt>
                <c:pt idx="63">
                  <c:v>69.588871407458797</c:v>
                </c:pt>
                <c:pt idx="64">
                  <c:v>2.690347234717485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04-425E-AA37-7A7DC2430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5699615"/>
        <c:axId val="1135707295"/>
      </c:scatterChart>
      <c:valAx>
        <c:axId val="11356996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707295"/>
        <c:crosses val="autoZero"/>
        <c:crossBetween val="midCat"/>
      </c:valAx>
      <c:valAx>
        <c:axId val="1135707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_);[Red]\(&quot;$&quot;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69961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Transformer Levelized $/kW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CECONY!$AC$71:$AC$135</c:f>
              <c:numCache>
                <c:formatCode>General</c:formatCode>
                <c:ptCount val="65"/>
                <c:pt idx="0">
                  <c:v>979.19999999999993</c:v>
                </c:pt>
                <c:pt idx="1">
                  <c:v>807.5</c:v>
                </c:pt>
                <c:pt idx="2">
                  <c:v>1923.55</c:v>
                </c:pt>
                <c:pt idx="3">
                  <c:v>1422.05</c:v>
                </c:pt>
                <c:pt idx="4">
                  <c:v>501.5</c:v>
                </c:pt>
                <c:pt idx="5">
                  <c:v>476</c:v>
                </c:pt>
                <c:pt idx="6">
                  <c:v>263.5</c:v>
                </c:pt>
                <c:pt idx="7">
                  <c:v>5299.75</c:v>
                </c:pt>
                <c:pt idx="8">
                  <c:v>741.19999999999993</c:v>
                </c:pt>
                <c:pt idx="9">
                  <c:v>1949.05</c:v>
                </c:pt>
                <c:pt idx="10">
                  <c:v>1725.5</c:v>
                </c:pt>
                <c:pt idx="11">
                  <c:v>1167</c:v>
                </c:pt>
                <c:pt idx="12">
                  <c:v>1503</c:v>
                </c:pt>
                <c:pt idx="13">
                  <c:v>1130</c:v>
                </c:pt>
                <c:pt idx="14">
                  <c:v>67.149999999999991</c:v>
                </c:pt>
                <c:pt idx="15">
                  <c:v>229.5</c:v>
                </c:pt>
                <c:pt idx="16">
                  <c:v>264</c:v>
                </c:pt>
                <c:pt idx="17">
                  <c:v>494.7</c:v>
                </c:pt>
                <c:pt idx="18">
                  <c:v>1866.6</c:v>
                </c:pt>
                <c:pt idx="19">
                  <c:v>2440</c:v>
                </c:pt>
                <c:pt idx="20">
                  <c:v>2752</c:v>
                </c:pt>
                <c:pt idx="21">
                  <c:v>214</c:v>
                </c:pt>
                <c:pt idx="22">
                  <c:v>313</c:v>
                </c:pt>
                <c:pt idx="23">
                  <c:v>400</c:v>
                </c:pt>
                <c:pt idx="24">
                  <c:v>1177.25</c:v>
                </c:pt>
                <c:pt idx="25">
                  <c:v>1057.3999999999999</c:v>
                </c:pt>
                <c:pt idx="26">
                  <c:v>1347.25</c:v>
                </c:pt>
                <c:pt idx="27">
                  <c:v>814.3</c:v>
                </c:pt>
                <c:pt idx="28">
                  <c:v>520.19999999999993</c:v>
                </c:pt>
                <c:pt idx="29">
                  <c:v>3388.1</c:v>
                </c:pt>
                <c:pt idx="30">
                  <c:v>117.3</c:v>
                </c:pt>
                <c:pt idx="31">
                  <c:v>1348.95</c:v>
                </c:pt>
                <c:pt idx="32">
                  <c:v>2520.25</c:v>
                </c:pt>
                <c:pt idx="33">
                  <c:v>739.5</c:v>
                </c:pt>
                <c:pt idx="34">
                  <c:v>647.69999999999993</c:v>
                </c:pt>
                <c:pt idx="35">
                  <c:v>727.6</c:v>
                </c:pt>
                <c:pt idx="36">
                  <c:v>113.05</c:v>
                </c:pt>
                <c:pt idx="37">
                  <c:v>1955</c:v>
                </c:pt>
                <c:pt idx="38">
                  <c:v>2847.5</c:v>
                </c:pt>
                <c:pt idx="39">
                  <c:v>24.65</c:v>
                </c:pt>
                <c:pt idx="40">
                  <c:v>2425</c:v>
                </c:pt>
                <c:pt idx="41">
                  <c:v>636.65</c:v>
                </c:pt>
                <c:pt idx="42">
                  <c:v>526.15</c:v>
                </c:pt>
                <c:pt idx="43">
                  <c:v>1748</c:v>
                </c:pt>
                <c:pt idx="44">
                  <c:v>808</c:v>
                </c:pt>
                <c:pt idx="45">
                  <c:v>408</c:v>
                </c:pt>
                <c:pt idx="46">
                  <c:v>227.79999999999998</c:v>
                </c:pt>
                <c:pt idx="47">
                  <c:v>628.15</c:v>
                </c:pt>
                <c:pt idx="48">
                  <c:v>713</c:v>
                </c:pt>
                <c:pt idx="49">
                  <c:v>989</c:v>
                </c:pt>
                <c:pt idx="50">
                  <c:v>253</c:v>
                </c:pt>
                <c:pt idx="51">
                  <c:v>379</c:v>
                </c:pt>
                <c:pt idx="52">
                  <c:v>119</c:v>
                </c:pt>
                <c:pt idx="53">
                  <c:v>450</c:v>
                </c:pt>
                <c:pt idx="54">
                  <c:v>472.5</c:v>
                </c:pt>
                <c:pt idx="55">
                  <c:v>328</c:v>
                </c:pt>
                <c:pt idx="56">
                  <c:v>314</c:v>
                </c:pt>
                <c:pt idx="57">
                  <c:v>564</c:v>
                </c:pt>
                <c:pt idx="58">
                  <c:v>17</c:v>
                </c:pt>
                <c:pt idx="59">
                  <c:v>444</c:v>
                </c:pt>
                <c:pt idx="60">
                  <c:v>408</c:v>
                </c:pt>
                <c:pt idx="61">
                  <c:v>920</c:v>
                </c:pt>
                <c:pt idx="62">
                  <c:v>1216</c:v>
                </c:pt>
                <c:pt idx="63">
                  <c:v>359</c:v>
                </c:pt>
                <c:pt idx="64">
                  <c:v>694</c:v>
                </c:pt>
              </c:numCache>
            </c:numRef>
          </c:xVal>
          <c:yVal>
            <c:numRef>
              <c:f>CECONY!$BE$71:$BE$135</c:f>
              <c:numCache>
                <c:formatCode>"$"#,##0.00_);[Red]\("$"#,##0.00\)</c:formatCode>
                <c:ptCount val="65"/>
                <c:pt idx="0">
                  <c:v>3.1965738633528584</c:v>
                </c:pt>
                <c:pt idx="1">
                  <c:v>7.1495221374016946</c:v>
                </c:pt>
                <c:pt idx="2">
                  <c:v>9.4908791938881496</c:v>
                </c:pt>
                <c:pt idx="3">
                  <c:v>1.3263354851109874</c:v>
                </c:pt>
                <c:pt idx="4">
                  <c:v>3.5358684886450549</c:v>
                </c:pt>
                <c:pt idx="5">
                  <c:v>4.5880167594500518</c:v>
                </c:pt>
                <c:pt idx="6">
                  <c:v>11.838825795607869</c:v>
                </c:pt>
                <c:pt idx="7">
                  <c:v>16.449420256753161</c:v>
                </c:pt>
                <c:pt idx="8">
                  <c:v>3.8645785727563013</c:v>
                </c:pt>
                <c:pt idx="9">
                  <c:v>5.9753683491466223</c:v>
                </c:pt>
                <c:pt idx="10">
                  <c:v>9.079893538503768</c:v>
                </c:pt>
                <c:pt idx="11">
                  <c:v>1.6555175725625435</c:v>
                </c:pt>
                <c:pt idx="12">
                  <c:v>10.889219774996562</c:v>
                </c:pt>
                <c:pt idx="13">
                  <c:v>6.9337780384033838</c:v>
                </c:pt>
                <c:pt idx="14">
                  <c:v>16.596878434168747</c:v>
                </c:pt>
                <c:pt idx="15">
                  <c:v>3.6176385769312662</c:v>
                </c:pt>
                <c:pt idx="16">
                  <c:v>4.5073930037017336</c:v>
                </c:pt>
                <c:pt idx="17">
                  <c:v>3.2003763166228199</c:v>
                </c:pt>
                <c:pt idx="18">
                  <c:v>28.644340255186989</c:v>
                </c:pt>
                <c:pt idx="19">
                  <c:v>3.3699547331532207</c:v>
                </c:pt>
                <c:pt idx="20">
                  <c:v>1.1839362594216842</c:v>
                </c:pt>
                <c:pt idx="21">
                  <c:v>37.768406869633232</c:v>
                </c:pt>
                <c:pt idx="22">
                  <c:v>3.6503503557249077</c:v>
                </c:pt>
                <c:pt idx="23">
                  <c:v>1.0116294521654638</c:v>
                </c:pt>
                <c:pt idx="24">
                  <c:v>7.6770982126992848</c:v>
                </c:pt>
                <c:pt idx="25">
                  <c:v>23.762032130806396</c:v>
                </c:pt>
                <c:pt idx="26">
                  <c:v>11.843959382337452</c:v>
                </c:pt>
                <c:pt idx="27">
                  <c:v>6.4103349215777987</c:v>
                </c:pt>
                <c:pt idx="28">
                  <c:v>5.6626725215428033</c:v>
                </c:pt>
                <c:pt idx="29">
                  <c:v>33.269269702964948</c:v>
                </c:pt>
                <c:pt idx="30">
                  <c:v>198.48265978955871</c:v>
                </c:pt>
                <c:pt idx="31">
                  <c:v>26.896986348740526</c:v>
                </c:pt>
                <c:pt idx="32">
                  <c:v>2.8328758206627462</c:v>
                </c:pt>
                <c:pt idx="33">
                  <c:v>28.617269485794271</c:v>
                </c:pt>
                <c:pt idx="34">
                  <c:v>8.153546897092383</c:v>
                </c:pt>
                <c:pt idx="35">
                  <c:v>3.183903023456784</c:v>
                </c:pt>
                <c:pt idx="36">
                  <c:v>11.738753666316764</c:v>
                </c:pt>
                <c:pt idx="37">
                  <c:v>1.2404861265647518</c:v>
                </c:pt>
                <c:pt idx="38">
                  <c:v>0.62153695173354817</c:v>
                </c:pt>
                <c:pt idx="39">
                  <c:v>5.5012261718530331</c:v>
                </c:pt>
                <c:pt idx="40">
                  <c:v>9.7547357167045696</c:v>
                </c:pt>
                <c:pt idx="41">
                  <c:v>10.344334932610527</c:v>
                </c:pt>
                <c:pt idx="42">
                  <c:v>8.6800515891709651</c:v>
                </c:pt>
                <c:pt idx="43">
                  <c:v>2.4406991892871126</c:v>
                </c:pt>
                <c:pt idx="44">
                  <c:v>6.7453522298956319</c:v>
                </c:pt>
                <c:pt idx="45">
                  <c:v>3.8333755464721544</c:v>
                </c:pt>
                <c:pt idx="46">
                  <c:v>7.6039460349492218</c:v>
                </c:pt>
                <c:pt idx="47">
                  <c:v>4.4581326015798002</c:v>
                </c:pt>
                <c:pt idx="48">
                  <c:v>0.16130557953825389</c:v>
                </c:pt>
                <c:pt idx="49">
                  <c:v>0.60882701442252485</c:v>
                </c:pt>
                <c:pt idx="50">
                  <c:v>0.41606791591343517</c:v>
                </c:pt>
                <c:pt idx="51">
                  <c:v>5.3095001078342383</c:v>
                </c:pt>
                <c:pt idx="52">
                  <c:v>25.775351469866653</c:v>
                </c:pt>
                <c:pt idx="53">
                  <c:v>109.14879115186267</c:v>
                </c:pt>
                <c:pt idx="54">
                  <c:v>0.80272443454923093</c:v>
                </c:pt>
                <c:pt idx="55">
                  <c:v>5.8307427146988342</c:v>
                </c:pt>
                <c:pt idx="56">
                  <c:v>61.239145550684754</c:v>
                </c:pt>
                <c:pt idx="57">
                  <c:v>5.628256064257708</c:v>
                </c:pt>
                <c:pt idx="58">
                  <c:v>18.117313129053947</c:v>
                </c:pt>
                <c:pt idx="59">
                  <c:v>2.4774318146228853</c:v>
                </c:pt>
                <c:pt idx="60">
                  <c:v>35.554209765177092</c:v>
                </c:pt>
                <c:pt idx="61">
                  <c:v>0.67319894899262889</c:v>
                </c:pt>
                <c:pt idx="62">
                  <c:v>6.2985002847254608</c:v>
                </c:pt>
                <c:pt idx="63">
                  <c:v>4.935646219138822</c:v>
                </c:pt>
                <c:pt idx="64">
                  <c:v>1.515415369448704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FC-42E0-AD5F-269F9F62B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5710175"/>
        <c:axId val="1135713535"/>
      </c:scatterChart>
      <c:valAx>
        <c:axId val="11357101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713535"/>
        <c:crosses val="autoZero"/>
        <c:crossBetween val="midCat"/>
      </c:valAx>
      <c:valAx>
        <c:axId val="1135713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_);[Red]\(&quot;$&quot;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71017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Secondary Levelized $/kW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CECONY!$AC$137:$AC$242</c:f>
              <c:numCache>
                <c:formatCode>General</c:formatCode>
                <c:ptCount val="106"/>
                <c:pt idx="0">
                  <c:v>979.19999999999993</c:v>
                </c:pt>
                <c:pt idx="1">
                  <c:v>807.5</c:v>
                </c:pt>
                <c:pt idx="2">
                  <c:v>361.25</c:v>
                </c:pt>
                <c:pt idx="3">
                  <c:v>361.25</c:v>
                </c:pt>
                <c:pt idx="4">
                  <c:v>1923.55</c:v>
                </c:pt>
                <c:pt idx="5">
                  <c:v>549.1</c:v>
                </c:pt>
                <c:pt idx="6">
                  <c:v>1422.05</c:v>
                </c:pt>
                <c:pt idx="7">
                  <c:v>361.25</c:v>
                </c:pt>
                <c:pt idx="8">
                  <c:v>361.25</c:v>
                </c:pt>
                <c:pt idx="9">
                  <c:v>361.25</c:v>
                </c:pt>
                <c:pt idx="10">
                  <c:v>361.25</c:v>
                </c:pt>
                <c:pt idx="11">
                  <c:v>361.25</c:v>
                </c:pt>
                <c:pt idx="12">
                  <c:v>361.25</c:v>
                </c:pt>
                <c:pt idx="13">
                  <c:v>361.25</c:v>
                </c:pt>
                <c:pt idx="14">
                  <c:v>501.5</c:v>
                </c:pt>
                <c:pt idx="15">
                  <c:v>263.5</c:v>
                </c:pt>
                <c:pt idx="16">
                  <c:v>5299.75</c:v>
                </c:pt>
                <c:pt idx="17">
                  <c:v>361.25</c:v>
                </c:pt>
                <c:pt idx="18">
                  <c:v>361.25</c:v>
                </c:pt>
                <c:pt idx="19">
                  <c:v>361.25</c:v>
                </c:pt>
                <c:pt idx="20">
                  <c:v>361.25</c:v>
                </c:pt>
                <c:pt idx="21">
                  <c:v>361.25</c:v>
                </c:pt>
                <c:pt idx="22">
                  <c:v>361.25</c:v>
                </c:pt>
                <c:pt idx="23">
                  <c:v>361.25</c:v>
                </c:pt>
                <c:pt idx="24">
                  <c:v>741.19999999999993</c:v>
                </c:pt>
                <c:pt idx="25">
                  <c:v>1949.05</c:v>
                </c:pt>
                <c:pt idx="26">
                  <c:v>1725.5</c:v>
                </c:pt>
                <c:pt idx="27">
                  <c:v>361.25</c:v>
                </c:pt>
                <c:pt idx="28">
                  <c:v>1167</c:v>
                </c:pt>
                <c:pt idx="29">
                  <c:v>500</c:v>
                </c:pt>
                <c:pt idx="30">
                  <c:v>555</c:v>
                </c:pt>
                <c:pt idx="31">
                  <c:v>1503</c:v>
                </c:pt>
                <c:pt idx="32">
                  <c:v>574</c:v>
                </c:pt>
                <c:pt idx="33">
                  <c:v>599</c:v>
                </c:pt>
                <c:pt idx="34">
                  <c:v>565</c:v>
                </c:pt>
                <c:pt idx="35">
                  <c:v>500</c:v>
                </c:pt>
                <c:pt idx="36">
                  <c:v>491</c:v>
                </c:pt>
                <c:pt idx="37">
                  <c:v>1130</c:v>
                </c:pt>
                <c:pt idx="38">
                  <c:v>810</c:v>
                </c:pt>
                <c:pt idx="39">
                  <c:v>42</c:v>
                </c:pt>
                <c:pt idx="40">
                  <c:v>2230</c:v>
                </c:pt>
                <c:pt idx="41">
                  <c:v>264</c:v>
                </c:pt>
                <c:pt idx="42">
                  <c:v>494.7</c:v>
                </c:pt>
                <c:pt idx="43">
                  <c:v>1866.6</c:v>
                </c:pt>
                <c:pt idx="44">
                  <c:v>361.25</c:v>
                </c:pt>
                <c:pt idx="45">
                  <c:v>361.25</c:v>
                </c:pt>
                <c:pt idx="46">
                  <c:v>361.25</c:v>
                </c:pt>
                <c:pt idx="47">
                  <c:v>361.25</c:v>
                </c:pt>
                <c:pt idx="48">
                  <c:v>361.25</c:v>
                </c:pt>
                <c:pt idx="49">
                  <c:v>2440</c:v>
                </c:pt>
                <c:pt idx="50">
                  <c:v>2752</c:v>
                </c:pt>
                <c:pt idx="51">
                  <c:v>207</c:v>
                </c:pt>
                <c:pt idx="52">
                  <c:v>214</c:v>
                </c:pt>
                <c:pt idx="53">
                  <c:v>313</c:v>
                </c:pt>
                <c:pt idx="54">
                  <c:v>400</c:v>
                </c:pt>
                <c:pt idx="55">
                  <c:v>1177.25</c:v>
                </c:pt>
                <c:pt idx="56">
                  <c:v>1057.3999999999999</c:v>
                </c:pt>
                <c:pt idx="57">
                  <c:v>1347.25</c:v>
                </c:pt>
                <c:pt idx="58">
                  <c:v>814.3</c:v>
                </c:pt>
                <c:pt idx="59">
                  <c:v>520.19999999999993</c:v>
                </c:pt>
                <c:pt idx="60">
                  <c:v>361.25</c:v>
                </c:pt>
                <c:pt idx="61">
                  <c:v>361.25</c:v>
                </c:pt>
                <c:pt idx="62">
                  <c:v>3388.1</c:v>
                </c:pt>
                <c:pt idx="63">
                  <c:v>532.1</c:v>
                </c:pt>
                <c:pt idx="64">
                  <c:v>361.25</c:v>
                </c:pt>
                <c:pt idx="65">
                  <c:v>361.25</c:v>
                </c:pt>
                <c:pt idx="66">
                  <c:v>117.3</c:v>
                </c:pt>
                <c:pt idx="67">
                  <c:v>1348.95</c:v>
                </c:pt>
                <c:pt idx="68">
                  <c:v>739.5</c:v>
                </c:pt>
                <c:pt idx="69">
                  <c:v>727.6</c:v>
                </c:pt>
                <c:pt idx="70">
                  <c:v>113.05</c:v>
                </c:pt>
                <c:pt idx="71">
                  <c:v>2425</c:v>
                </c:pt>
                <c:pt idx="72">
                  <c:v>636.65</c:v>
                </c:pt>
                <c:pt idx="73">
                  <c:v>526.15</c:v>
                </c:pt>
                <c:pt idx="74">
                  <c:v>1748</c:v>
                </c:pt>
                <c:pt idx="75">
                  <c:v>808</c:v>
                </c:pt>
                <c:pt idx="76">
                  <c:v>408</c:v>
                </c:pt>
                <c:pt idx="77">
                  <c:v>227.79999999999998</c:v>
                </c:pt>
                <c:pt idx="78">
                  <c:v>628.15</c:v>
                </c:pt>
                <c:pt idx="79">
                  <c:v>361.25</c:v>
                </c:pt>
                <c:pt idx="80">
                  <c:v>361.25</c:v>
                </c:pt>
                <c:pt idx="81">
                  <c:v>361.25</c:v>
                </c:pt>
                <c:pt idx="82">
                  <c:v>361.25</c:v>
                </c:pt>
                <c:pt idx="83">
                  <c:v>361.25</c:v>
                </c:pt>
                <c:pt idx="84">
                  <c:v>361.25</c:v>
                </c:pt>
                <c:pt idx="85">
                  <c:v>361.25</c:v>
                </c:pt>
                <c:pt idx="86">
                  <c:v>361.25</c:v>
                </c:pt>
                <c:pt idx="87">
                  <c:v>361.25</c:v>
                </c:pt>
                <c:pt idx="88">
                  <c:v>361.25</c:v>
                </c:pt>
                <c:pt idx="89">
                  <c:v>361.25</c:v>
                </c:pt>
                <c:pt idx="90">
                  <c:v>124</c:v>
                </c:pt>
                <c:pt idx="91">
                  <c:v>989</c:v>
                </c:pt>
                <c:pt idx="92">
                  <c:v>379</c:v>
                </c:pt>
                <c:pt idx="93">
                  <c:v>119</c:v>
                </c:pt>
                <c:pt idx="94">
                  <c:v>328</c:v>
                </c:pt>
                <c:pt idx="95">
                  <c:v>314</c:v>
                </c:pt>
                <c:pt idx="96">
                  <c:v>564</c:v>
                </c:pt>
                <c:pt idx="97">
                  <c:v>541</c:v>
                </c:pt>
                <c:pt idx="98">
                  <c:v>444</c:v>
                </c:pt>
                <c:pt idx="99">
                  <c:v>408</c:v>
                </c:pt>
                <c:pt idx="100">
                  <c:v>128</c:v>
                </c:pt>
                <c:pt idx="101">
                  <c:v>920</c:v>
                </c:pt>
                <c:pt idx="102">
                  <c:v>779</c:v>
                </c:pt>
                <c:pt idx="103">
                  <c:v>1216</c:v>
                </c:pt>
                <c:pt idx="104">
                  <c:v>359</c:v>
                </c:pt>
                <c:pt idx="105">
                  <c:v>694</c:v>
                </c:pt>
              </c:numCache>
            </c:numRef>
          </c:xVal>
          <c:yVal>
            <c:numRef>
              <c:f>CECONY!$BE$137:$BE$242</c:f>
              <c:numCache>
                <c:formatCode>"$"#,##0.00_);[Red]\("$"#,##0.00\)</c:formatCode>
                <c:ptCount val="106"/>
                <c:pt idx="0">
                  <c:v>68.674791925165209</c:v>
                </c:pt>
                <c:pt idx="1">
                  <c:v>41.082466090905733</c:v>
                </c:pt>
                <c:pt idx="2">
                  <c:v>12.922258876058645</c:v>
                </c:pt>
                <c:pt idx="3">
                  <c:v>0.44710923448322371</c:v>
                </c:pt>
                <c:pt idx="4">
                  <c:v>30.304169961657777</c:v>
                </c:pt>
                <c:pt idx="5">
                  <c:v>70.285508133383601</c:v>
                </c:pt>
                <c:pt idx="6">
                  <c:v>21.000877471592215</c:v>
                </c:pt>
                <c:pt idx="7">
                  <c:v>31.373182045244469</c:v>
                </c:pt>
                <c:pt idx="8">
                  <c:v>53.434367710959066</c:v>
                </c:pt>
                <c:pt idx="9">
                  <c:v>43.182372362661638</c:v>
                </c:pt>
                <c:pt idx="10">
                  <c:v>13.546217406324022</c:v>
                </c:pt>
                <c:pt idx="11">
                  <c:v>10.113527979049209</c:v>
                </c:pt>
                <c:pt idx="12">
                  <c:v>50.796396177388381</c:v>
                </c:pt>
                <c:pt idx="13">
                  <c:v>26.21497279617985</c:v>
                </c:pt>
                <c:pt idx="14">
                  <c:v>72.250559190774496</c:v>
                </c:pt>
                <c:pt idx="15">
                  <c:v>164.05661824028741</c:v>
                </c:pt>
                <c:pt idx="16">
                  <c:v>5.1853327585603855E-2</c:v>
                </c:pt>
                <c:pt idx="17">
                  <c:v>41.510711522352906</c:v>
                </c:pt>
                <c:pt idx="18">
                  <c:v>41.86813864392338</c:v>
                </c:pt>
                <c:pt idx="19">
                  <c:v>41.743598430874627</c:v>
                </c:pt>
                <c:pt idx="20">
                  <c:v>53.749172616968963</c:v>
                </c:pt>
                <c:pt idx="21">
                  <c:v>56.395844053887323</c:v>
                </c:pt>
                <c:pt idx="22">
                  <c:v>17.994631515707056</c:v>
                </c:pt>
                <c:pt idx="23">
                  <c:v>47.176030095627262</c:v>
                </c:pt>
                <c:pt idx="24">
                  <c:v>93.484475413128877</c:v>
                </c:pt>
                <c:pt idx="25">
                  <c:v>26.330593396392512</c:v>
                </c:pt>
                <c:pt idx="26">
                  <c:v>40.763409380390904</c:v>
                </c:pt>
                <c:pt idx="27">
                  <c:v>0.76172771399281847</c:v>
                </c:pt>
                <c:pt idx="28">
                  <c:v>8.9536995847724192</c:v>
                </c:pt>
                <c:pt idx="29">
                  <c:v>31.237659501893926</c:v>
                </c:pt>
                <c:pt idx="30">
                  <c:v>67.911351759024441</c:v>
                </c:pt>
                <c:pt idx="31">
                  <c:v>16.745520328298475</c:v>
                </c:pt>
                <c:pt idx="32">
                  <c:v>40.233115237517076</c:v>
                </c:pt>
                <c:pt idx="33">
                  <c:v>30.030753875298998</c:v>
                </c:pt>
                <c:pt idx="34">
                  <c:v>5.9864571117907621</c:v>
                </c:pt>
                <c:pt idx="35">
                  <c:v>23.483628599520422</c:v>
                </c:pt>
                <c:pt idx="36">
                  <c:v>15.61130735844473</c:v>
                </c:pt>
                <c:pt idx="37">
                  <c:v>9.2772142506998261</c:v>
                </c:pt>
                <c:pt idx="38">
                  <c:v>59.195794035960724</c:v>
                </c:pt>
                <c:pt idx="39">
                  <c:v>201.93596448367052</c:v>
                </c:pt>
                <c:pt idx="40">
                  <c:v>4.3312806000458099</c:v>
                </c:pt>
                <c:pt idx="41">
                  <c:v>11.93117773773203</c:v>
                </c:pt>
                <c:pt idx="42">
                  <c:v>50.724688771004345</c:v>
                </c:pt>
                <c:pt idx="43">
                  <c:v>1.4144424487015803</c:v>
                </c:pt>
                <c:pt idx="44">
                  <c:v>2.7259867742453867</c:v>
                </c:pt>
                <c:pt idx="45">
                  <c:v>22.072513817174457</c:v>
                </c:pt>
                <c:pt idx="46">
                  <c:v>48.211391702434561</c:v>
                </c:pt>
                <c:pt idx="47">
                  <c:v>36.913763012705068</c:v>
                </c:pt>
                <c:pt idx="48">
                  <c:v>55.087714889178748</c:v>
                </c:pt>
                <c:pt idx="49">
                  <c:v>16.082784363773573</c:v>
                </c:pt>
                <c:pt idx="50">
                  <c:v>17.1172194823471</c:v>
                </c:pt>
                <c:pt idx="51">
                  <c:v>383.71326663434581</c:v>
                </c:pt>
                <c:pt idx="52">
                  <c:v>72.903720710869621</c:v>
                </c:pt>
                <c:pt idx="53">
                  <c:v>25.70044041730532</c:v>
                </c:pt>
                <c:pt idx="54">
                  <c:v>1.0472062007965253</c:v>
                </c:pt>
                <c:pt idx="55">
                  <c:v>14.938746942878147</c:v>
                </c:pt>
                <c:pt idx="56">
                  <c:v>45.312312142255827</c:v>
                </c:pt>
                <c:pt idx="57">
                  <c:v>34.59931860155428</c:v>
                </c:pt>
                <c:pt idx="58">
                  <c:v>20.006608968127761</c:v>
                </c:pt>
                <c:pt idx="59">
                  <c:v>19.940256150627391</c:v>
                </c:pt>
                <c:pt idx="60">
                  <c:v>64.662543390769983</c:v>
                </c:pt>
                <c:pt idx="61">
                  <c:v>56.17790781960597</c:v>
                </c:pt>
                <c:pt idx="62">
                  <c:v>0.61368001027574204</c:v>
                </c:pt>
                <c:pt idx="63">
                  <c:v>60.132153071602168</c:v>
                </c:pt>
                <c:pt idx="64">
                  <c:v>14.322252440360067</c:v>
                </c:pt>
                <c:pt idx="65">
                  <c:v>23.747621720028103</c:v>
                </c:pt>
                <c:pt idx="66">
                  <c:v>237.81310760718523</c:v>
                </c:pt>
                <c:pt idx="67">
                  <c:v>11.851546905676642</c:v>
                </c:pt>
                <c:pt idx="68">
                  <c:v>15.113948161756934</c:v>
                </c:pt>
                <c:pt idx="69">
                  <c:v>0.8810757423229344</c:v>
                </c:pt>
                <c:pt idx="70">
                  <c:v>20.726538533778523</c:v>
                </c:pt>
                <c:pt idx="71">
                  <c:v>17.680452444250069</c:v>
                </c:pt>
                <c:pt idx="72">
                  <c:v>37.663305303232498</c:v>
                </c:pt>
                <c:pt idx="73">
                  <c:v>4.8653175442396694</c:v>
                </c:pt>
                <c:pt idx="74">
                  <c:v>32.928694812045116</c:v>
                </c:pt>
                <c:pt idx="75">
                  <c:v>83.769076304391405</c:v>
                </c:pt>
                <c:pt idx="76">
                  <c:v>130.32246132349798</c:v>
                </c:pt>
                <c:pt idx="77">
                  <c:v>28.722863070459173</c:v>
                </c:pt>
                <c:pt idx="78">
                  <c:v>78.618279348001181</c:v>
                </c:pt>
                <c:pt idx="79">
                  <c:v>49.390521039773333</c:v>
                </c:pt>
                <c:pt idx="80">
                  <c:v>60.665888212113146</c:v>
                </c:pt>
                <c:pt idx="81">
                  <c:v>36.144150554375692</c:v>
                </c:pt>
                <c:pt idx="82">
                  <c:v>44.058723130971146</c:v>
                </c:pt>
                <c:pt idx="83">
                  <c:v>31.969352060699265</c:v>
                </c:pt>
                <c:pt idx="84">
                  <c:v>43.472137630885129</c:v>
                </c:pt>
                <c:pt idx="85">
                  <c:v>10.746822456016274</c:v>
                </c:pt>
                <c:pt idx="86">
                  <c:v>49.257134706513902</c:v>
                </c:pt>
                <c:pt idx="87">
                  <c:v>40.920763034418201</c:v>
                </c:pt>
                <c:pt idx="88">
                  <c:v>12.631462778951121</c:v>
                </c:pt>
                <c:pt idx="89">
                  <c:v>16.046083457382387</c:v>
                </c:pt>
                <c:pt idx="90">
                  <c:v>24.019894410494107</c:v>
                </c:pt>
                <c:pt idx="91">
                  <c:v>1.2456866222648177</c:v>
                </c:pt>
                <c:pt idx="92">
                  <c:v>17.019847311701032</c:v>
                </c:pt>
                <c:pt idx="93">
                  <c:v>75.356853888155442</c:v>
                </c:pt>
                <c:pt idx="94">
                  <c:v>8.7778576645826902</c:v>
                </c:pt>
                <c:pt idx="95">
                  <c:v>50.985039941172779</c:v>
                </c:pt>
                <c:pt idx="96">
                  <c:v>16.845947831435858</c:v>
                </c:pt>
                <c:pt idx="97">
                  <c:v>78.25951780032689</c:v>
                </c:pt>
                <c:pt idx="98">
                  <c:v>28.826983309612832</c:v>
                </c:pt>
                <c:pt idx="99">
                  <c:v>3.0549963057986527</c:v>
                </c:pt>
                <c:pt idx="100">
                  <c:v>169.02267014982147</c:v>
                </c:pt>
                <c:pt idx="101">
                  <c:v>2.1886172245819036</c:v>
                </c:pt>
                <c:pt idx="102">
                  <c:v>64.825213750874042</c:v>
                </c:pt>
                <c:pt idx="103">
                  <c:v>46.068421467491241</c:v>
                </c:pt>
                <c:pt idx="104">
                  <c:v>112.93579299748964</c:v>
                </c:pt>
                <c:pt idx="105">
                  <c:v>7.1129580611590963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F6-4998-ADD8-8D3A73B2B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5765855"/>
        <c:axId val="1135787935"/>
      </c:scatterChart>
      <c:valAx>
        <c:axId val="1135765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787935"/>
        <c:crosses val="autoZero"/>
        <c:crossBetween val="midCat"/>
      </c:valAx>
      <c:valAx>
        <c:axId val="1135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_);[Red]\(&quot;$&quot;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7658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Substation Levelized $/kW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CECONY!$AC$244:$AC$260</c:f>
              <c:numCache>
                <c:formatCode>General</c:formatCode>
                <c:ptCount val="17"/>
                <c:pt idx="0">
                  <c:v>116000</c:v>
                </c:pt>
                <c:pt idx="1">
                  <c:v>81000</c:v>
                </c:pt>
                <c:pt idx="2">
                  <c:v>358000</c:v>
                </c:pt>
                <c:pt idx="3">
                  <c:v>358000</c:v>
                </c:pt>
                <c:pt idx="4">
                  <c:v>85000</c:v>
                </c:pt>
                <c:pt idx="5">
                  <c:v>84000</c:v>
                </c:pt>
                <c:pt idx="6">
                  <c:v>127000</c:v>
                </c:pt>
                <c:pt idx="7">
                  <c:v>118000</c:v>
                </c:pt>
                <c:pt idx="8">
                  <c:v>76000</c:v>
                </c:pt>
                <c:pt idx="9">
                  <c:v>79000</c:v>
                </c:pt>
                <c:pt idx="10">
                  <c:v>85000</c:v>
                </c:pt>
                <c:pt idx="11">
                  <c:v>358000</c:v>
                </c:pt>
                <c:pt idx="12">
                  <c:v>82000</c:v>
                </c:pt>
                <c:pt idx="13">
                  <c:v>358000</c:v>
                </c:pt>
                <c:pt idx="14">
                  <c:v>32000</c:v>
                </c:pt>
                <c:pt idx="15">
                  <c:v>269000</c:v>
                </c:pt>
                <c:pt idx="16">
                  <c:v>358000</c:v>
                </c:pt>
              </c:numCache>
            </c:numRef>
          </c:xVal>
          <c:yVal>
            <c:numRef>
              <c:f>CECONY!$BE$244:$BE$260</c:f>
              <c:numCache>
                <c:formatCode>"$"#,##0.00_);[Red]\("$"#,##0.00\)</c:formatCode>
                <c:ptCount val="17"/>
                <c:pt idx="0">
                  <c:v>153.70346422395156</c:v>
                </c:pt>
                <c:pt idx="1">
                  <c:v>57.040683737379773</c:v>
                </c:pt>
                <c:pt idx="2">
                  <c:v>117.15584058361122</c:v>
                </c:pt>
                <c:pt idx="3">
                  <c:v>393.48213911283324</c:v>
                </c:pt>
                <c:pt idx="4">
                  <c:v>296.25949722554589</c:v>
                </c:pt>
                <c:pt idx="5">
                  <c:v>51.830655491070551</c:v>
                </c:pt>
                <c:pt idx="6">
                  <c:v>83.684591617598372</c:v>
                </c:pt>
                <c:pt idx="7">
                  <c:v>36.159539558789859</c:v>
                </c:pt>
                <c:pt idx="8">
                  <c:v>153.8452098079315</c:v>
                </c:pt>
                <c:pt idx="9">
                  <c:v>70.327798639962978</c:v>
                </c:pt>
                <c:pt idx="10">
                  <c:v>208.43670079928495</c:v>
                </c:pt>
                <c:pt idx="11">
                  <c:v>230.29029642617326</c:v>
                </c:pt>
                <c:pt idx="12">
                  <c:v>82.966867314449644</c:v>
                </c:pt>
                <c:pt idx="13">
                  <c:v>152.12653314902192</c:v>
                </c:pt>
                <c:pt idx="14">
                  <c:v>26.952673130118672</c:v>
                </c:pt>
                <c:pt idx="15">
                  <c:v>249.87130599553203</c:v>
                </c:pt>
                <c:pt idx="16">
                  <c:v>104.65766331662083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7C-49A8-A3EE-81B8EC3E4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221999"/>
        <c:axId val="945217679"/>
      </c:scatterChart>
      <c:valAx>
        <c:axId val="945221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217679"/>
        <c:crosses val="autoZero"/>
        <c:crossBetween val="midCat"/>
      </c:valAx>
      <c:valAx>
        <c:axId val="945217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_);[Red]\(&quot;$&quot;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2219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Transmission Levelized</a:t>
            </a:r>
            <a:r>
              <a:rPr lang="en-US" baseline="0"/>
              <a:t> $/kW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CECONY!$AC$262:$AC$266</c:f>
              <c:numCache>
                <c:formatCode>General</c:formatCode>
                <c:ptCount val="5"/>
                <c:pt idx="0">
                  <c:v>358000</c:v>
                </c:pt>
                <c:pt idx="1">
                  <c:v>358000</c:v>
                </c:pt>
                <c:pt idx="2">
                  <c:v>358000</c:v>
                </c:pt>
                <c:pt idx="3">
                  <c:v>358000</c:v>
                </c:pt>
                <c:pt idx="4">
                  <c:v>358000</c:v>
                </c:pt>
              </c:numCache>
            </c:numRef>
          </c:xVal>
          <c:yVal>
            <c:numRef>
              <c:f>CECONY!$BE$262:$BE$266</c:f>
              <c:numCache>
                <c:formatCode>"$"#,##0.00_);[Red]\("$"#,##0.00\)</c:formatCode>
                <c:ptCount val="5"/>
                <c:pt idx="0">
                  <c:v>96.55325953897443</c:v>
                </c:pt>
                <c:pt idx="1">
                  <c:v>96.55325953897443</c:v>
                </c:pt>
                <c:pt idx="2">
                  <c:v>99.698086734840331</c:v>
                </c:pt>
                <c:pt idx="3">
                  <c:v>99.698086734840331</c:v>
                </c:pt>
                <c:pt idx="4">
                  <c:v>99.698086734840331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A4-4A3F-B122-087F5FED9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4509391"/>
        <c:axId val="1844509871"/>
      </c:scatterChart>
      <c:valAx>
        <c:axId val="1844509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4509871"/>
        <c:crosses val="autoZero"/>
        <c:crossBetween val="midCat"/>
      </c:valAx>
      <c:valAx>
        <c:axId val="184450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_);[Red]\(&quot;$&quot;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450939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Primary,</a:t>
            </a:r>
            <a:r>
              <a:rPr lang="en-US" baseline="0"/>
              <a:t> Secondary, and Transformer Levelized $/kW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CECONY!$AC$5:$AC$242</c:f>
              <c:numCache>
                <c:formatCode>General</c:formatCode>
                <c:ptCount val="238"/>
                <c:pt idx="0">
                  <c:v>979.19999999999993</c:v>
                </c:pt>
                <c:pt idx="1">
                  <c:v>807.5</c:v>
                </c:pt>
                <c:pt idx="2">
                  <c:v>1923.55</c:v>
                </c:pt>
                <c:pt idx="3">
                  <c:v>1422.05</c:v>
                </c:pt>
                <c:pt idx="4">
                  <c:v>501.5</c:v>
                </c:pt>
                <c:pt idx="5">
                  <c:v>476</c:v>
                </c:pt>
                <c:pt idx="6">
                  <c:v>263.5</c:v>
                </c:pt>
                <c:pt idx="7">
                  <c:v>5299.75</c:v>
                </c:pt>
                <c:pt idx="8">
                  <c:v>741.19999999999993</c:v>
                </c:pt>
                <c:pt idx="9">
                  <c:v>1949.05</c:v>
                </c:pt>
                <c:pt idx="10">
                  <c:v>1725.5</c:v>
                </c:pt>
                <c:pt idx="11">
                  <c:v>1167</c:v>
                </c:pt>
                <c:pt idx="12">
                  <c:v>1503</c:v>
                </c:pt>
                <c:pt idx="13">
                  <c:v>1130</c:v>
                </c:pt>
                <c:pt idx="14">
                  <c:v>470</c:v>
                </c:pt>
                <c:pt idx="15">
                  <c:v>494.7</c:v>
                </c:pt>
                <c:pt idx="16">
                  <c:v>1866.6</c:v>
                </c:pt>
                <c:pt idx="17">
                  <c:v>2440</c:v>
                </c:pt>
                <c:pt idx="18">
                  <c:v>2752</c:v>
                </c:pt>
                <c:pt idx="19">
                  <c:v>214</c:v>
                </c:pt>
                <c:pt idx="20">
                  <c:v>313</c:v>
                </c:pt>
                <c:pt idx="21">
                  <c:v>400</c:v>
                </c:pt>
                <c:pt idx="22">
                  <c:v>1177.25</c:v>
                </c:pt>
                <c:pt idx="23">
                  <c:v>1057.3999999999999</c:v>
                </c:pt>
                <c:pt idx="24">
                  <c:v>1347.25</c:v>
                </c:pt>
                <c:pt idx="25">
                  <c:v>814.3</c:v>
                </c:pt>
                <c:pt idx="26">
                  <c:v>520.19999999999993</c:v>
                </c:pt>
                <c:pt idx="27">
                  <c:v>3388.1</c:v>
                </c:pt>
                <c:pt idx="28">
                  <c:v>117.3</c:v>
                </c:pt>
                <c:pt idx="29">
                  <c:v>1348.95</c:v>
                </c:pt>
                <c:pt idx="30">
                  <c:v>2520.25</c:v>
                </c:pt>
                <c:pt idx="31">
                  <c:v>739.5</c:v>
                </c:pt>
                <c:pt idx="32">
                  <c:v>5000</c:v>
                </c:pt>
                <c:pt idx="33">
                  <c:v>647.69999999999993</c:v>
                </c:pt>
                <c:pt idx="34">
                  <c:v>727.6</c:v>
                </c:pt>
                <c:pt idx="35">
                  <c:v>113.05</c:v>
                </c:pt>
                <c:pt idx="36">
                  <c:v>1955</c:v>
                </c:pt>
                <c:pt idx="37">
                  <c:v>2847.5</c:v>
                </c:pt>
                <c:pt idx="38">
                  <c:v>2425</c:v>
                </c:pt>
                <c:pt idx="39">
                  <c:v>636.65</c:v>
                </c:pt>
                <c:pt idx="40">
                  <c:v>526.15</c:v>
                </c:pt>
                <c:pt idx="41">
                  <c:v>1748</c:v>
                </c:pt>
                <c:pt idx="42">
                  <c:v>808</c:v>
                </c:pt>
                <c:pt idx="43">
                  <c:v>408</c:v>
                </c:pt>
                <c:pt idx="44">
                  <c:v>227.79999999999998</c:v>
                </c:pt>
                <c:pt idx="45">
                  <c:v>628.15</c:v>
                </c:pt>
                <c:pt idx="46">
                  <c:v>713</c:v>
                </c:pt>
                <c:pt idx="47">
                  <c:v>989</c:v>
                </c:pt>
                <c:pt idx="48">
                  <c:v>253</c:v>
                </c:pt>
                <c:pt idx="49">
                  <c:v>379</c:v>
                </c:pt>
                <c:pt idx="50">
                  <c:v>119</c:v>
                </c:pt>
                <c:pt idx="51">
                  <c:v>450</c:v>
                </c:pt>
                <c:pt idx="52">
                  <c:v>472.5</c:v>
                </c:pt>
                <c:pt idx="53">
                  <c:v>328</c:v>
                </c:pt>
                <c:pt idx="54">
                  <c:v>314</c:v>
                </c:pt>
                <c:pt idx="55">
                  <c:v>564</c:v>
                </c:pt>
                <c:pt idx="56">
                  <c:v>541</c:v>
                </c:pt>
                <c:pt idx="57">
                  <c:v>17</c:v>
                </c:pt>
                <c:pt idx="58">
                  <c:v>444</c:v>
                </c:pt>
                <c:pt idx="59">
                  <c:v>408</c:v>
                </c:pt>
                <c:pt idx="60">
                  <c:v>920</c:v>
                </c:pt>
                <c:pt idx="61">
                  <c:v>920</c:v>
                </c:pt>
                <c:pt idx="62">
                  <c:v>1216</c:v>
                </c:pt>
                <c:pt idx="63">
                  <c:v>359</c:v>
                </c:pt>
                <c:pt idx="64">
                  <c:v>694</c:v>
                </c:pt>
                <c:pt idx="66">
                  <c:v>979.19999999999993</c:v>
                </c:pt>
                <c:pt idx="67">
                  <c:v>807.5</c:v>
                </c:pt>
                <c:pt idx="68">
                  <c:v>1923.55</c:v>
                </c:pt>
                <c:pt idx="69">
                  <c:v>1422.05</c:v>
                </c:pt>
                <c:pt idx="70">
                  <c:v>501.5</c:v>
                </c:pt>
                <c:pt idx="71">
                  <c:v>476</c:v>
                </c:pt>
                <c:pt idx="72">
                  <c:v>263.5</c:v>
                </c:pt>
                <c:pt idx="73">
                  <c:v>5299.75</c:v>
                </c:pt>
                <c:pt idx="74">
                  <c:v>741.19999999999993</c:v>
                </c:pt>
                <c:pt idx="75">
                  <c:v>1949.05</c:v>
                </c:pt>
                <c:pt idx="76">
                  <c:v>1725.5</c:v>
                </c:pt>
                <c:pt idx="77">
                  <c:v>1167</c:v>
                </c:pt>
                <c:pt idx="78">
                  <c:v>1503</c:v>
                </c:pt>
                <c:pt idx="79">
                  <c:v>1130</c:v>
                </c:pt>
                <c:pt idx="80">
                  <c:v>67.149999999999991</c:v>
                </c:pt>
                <c:pt idx="81">
                  <c:v>229.5</c:v>
                </c:pt>
                <c:pt idx="82">
                  <c:v>264</c:v>
                </c:pt>
                <c:pt idx="83">
                  <c:v>494.7</c:v>
                </c:pt>
                <c:pt idx="84">
                  <c:v>1866.6</c:v>
                </c:pt>
                <c:pt idx="85">
                  <c:v>2440</c:v>
                </c:pt>
                <c:pt idx="86">
                  <c:v>2752</c:v>
                </c:pt>
                <c:pt idx="87">
                  <c:v>214</c:v>
                </c:pt>
                <c:pt idx="88">
                  <c:v>313</c:v>
                </c:pt>
                <c:pt idx="89">
                  <c:v>400</c:v>
                </c:pt>
                <c:pt idx="90">
                  <c:v>1177.25</c:v>
                </c:pt>
                <c:pt idx="91">
                  <c:v>1057.3999999999999</c:v>
                </c:pt>
                <c:pt idx="92">
                  <c:v>1347.25</c:v>
                </c:pt>
                <c:pt idx="93">
                  <c:v>814.3</c:v>
                </c:pt>
                <c:pt idx="94">
                  <c:v>520.19999999999993</c:v>
                </c:pt>
                <c:pt idx="95">
                  <c:v>3388.1</c:v>
                </c:pt>
                <c:pt idx="96">
                  <c:v>117.3</c:v>
                </c:pt>
                <c:pt idx="97">
                  <c:v>1348.95</c:v>
                </c:pt>
                <c:pt idx="98">
                  <c:v>2520.25</c:v>
                </c:pt>
                <c:pt idx="99">
                  <c:v>739.5</c:v>
                </c:pt>
                <c:pt idx="100">
                  <c:v>647.69999999999993</c:v>
                </c:pt>
                <c:pt idx="101">
                  <c:v>727.6</c:v>
                </c:pt>
                <c:pt idx="102">
                  <c:v>113.05</c:v>
                </c:pt>
                <c:pt idx="103">
                  <c:v>1955</c:v>
                </c:pt>
                <c:pt idx="104">
                  <c:v>2847.5</c:v>
                </c:pt>
                <c:pt idx="105">
                  <c:v>24.65</c:v>
                </c:pt>
                <c:pt idx="106">
                  <c:v>2425</c:v>
                </c:pt>
                <c:pt idx="107">
                  <c:v>636.65</c:v>
                </c:pt>
                <c:pt idx="108">
                  <c:v>526.15</c:v>
                </c:pt>
                <c:pt idx="109">
                  <c:v>1748</c:v>
                </c:pt>
                <c:pt idx="110">
                  <c:v>808</c:v>
                </c:pt>
                <c:pt idx="111">
                  <c:v>408</c:v>
                </c:pt>
                <c:pt idx="112">
                  <c:v>227.79999999999998</c:v>
                </c:pt>
                <c:pt idx="113">
                  <c:v>628.15</c:v>
                </c:pt>
                <c:pt idx="114">
                  <c:v>713</c:v>
                </c:pt>
                <c:pt idx="115">
                  <c:v>989</c:v>
                </c:pt>
                <c:pt idx="116">
                  <c:v>253</c:v>
                </c:pt>
                <c:pt idx="117">
                  <c:v>379</c:v>
                </c:pt>
                <c:pt idx="118">
                  <c:v>119</c:v>
                </c:pt>
                <c:pt idx="119">
                  <c:v>450</c:v>
                </c:pt>
                <c:pt idx="120">
                  <c:v>472.5</c:v>
                </c:pt>
                <c:pt idx="121">
                  <c:v>328</c:v>
                </c:pt>
                <c:pt idx="122">
                  <c:v>314</c:v>
                </c:pt>
                <c:pt idx="123">
                  <c:v>564</c:v>
                </c:pt>
                <c:pt idx="124">
                  <c:v>17</c:v>
                </c:pt>
                <c:pt idx="125">
                  <c:v>444</c:v>
                </c:pt>
                <c:pt idx="126">
                  <c:v>408</c:v>
                </c:pt>
                <c:pt idx="127">
                  <c:v>920</c:v>
                </c:pt>
                <c:pt idx="128">
                  <c:v>1216</c:v>
                </c:pt>
                <c:pt idx="129">
                  <c:v>359</c:v>
                </c:pt>
                <c:pt idx="130">
                  <c:v>694</c:v>
                </c:pt>
                <c:pt idx="132">
                  <c:v>979.19999999999993</c:v>
                </c:pt>
                <c:pt idx="133">
                  <c:v>807.5</c:v>
                </c:pt>
                <c:pt idx="134">
                  <c:v>361.25</c:v>
                </c:pt>
                <c:pt idx="135">
                  <c:v>361.25</c:v>
                </c:pt>
                <c:pt idx="136">
                  <c:v>1923.55</c:v>
                </c:pt>
                <c:pt idx="137">
                  <c:v>549.1</c:v>
                </c:pt>
                <c:pt idx="138">
                  <c:v>1422.05</c:v>
                </c:pt>
                <c:pt idx="139">
                  <c:v>361.25</c:v>
                </c:pt>
                <c:pt idx="140">
                  <c:v>361.25</c:v>
                </c:pt>
                <c:pt idx="141">
                  <c:v>361.25</c:v>
                </c:pt>
                <c:pt idx="142">
                  <c:v>361.25</c:v>
                </c:pt>
                <c:pt idx="143">
                  <c:v>361.25</c:v>
                </c:pt>
                <c:pt idx="144">
                  <c:v>361.25</c:v>
                </c:pt>
                <c:pt idx="145">
                  <c:v>361.25</c:v>
                </c:pt>
                <c:pt idx="146">
                  <c:v>501.5</c:v>
                </c:pt>
                <c:pt idx="147">
                  <c:v>263.5</c:v>
                </c:pt>
                <c:pt idx="148">
                  <c:v>5299.75</c:v>
                </c:pt>
                <c:pt idx="149">
                  <c:v>361.25</c:v>
                </c:pt>
                <c:pt idx="150">
                  <c:v>361.25</c:v>
                </c:pt>
                <c:pt idx="151">
                  <c:v>361.25</c:v>
                </c:pt>
                <c:pt idx="152">
                  <c:v>361.25</c:v>
                </c:pt>
                <c:pt idx="153">
                  <c:v>361.25</c:v>
                </c:pt>
                <c:pt idx="154">
                  <c:v>361.25</c:v>
                </c:pt>
                <c:pt idx="155">
                  <c:v>361.25</c:v>
                </c:pt>
                <c:pt idx="156">
                  <c:v>741.19999999999993</c:v>
                </c:pt>
                <c:pt idx="157">
                  <c:v>1949.05</c:v>
                </c:pt>
                <c:pt idx="158">
                  <c:v>1725.5</c:v>
                </c:pt>
                <c:pt idx="159">
                  <c:v>361.25</c:v>
                </c:pt>
                <c:pt idx="160">
                  <c:v>1167</c:v>
                </c:pt>
                <c:pt idx="161">
                  <c:v>500</c:v>
                </c:pt>
                <c:pt idx="162">
                  <c:v>555</c:v>
                </c:pt>
                <c:pt idx="163">
                  <c:v>1503</c:v>
                </c:pt>
                <c:pt idx="164">
                  <c:v>574</c:v>
                </c:pt>
                <c:pt idx="165">
                  <c:v>599</c:v>
                </c:pt>
                <c:pt idx="166">
                  <c:v>565</c:v>
                </c:pt>
                <c:pt idx="167">
                  <c:v>500</c:v>
                </c:pt>
                <c:pt idx="168">
                  <c:v>491</c:v>
                </c:pt>
                <c:pt idx="169">
                  <c:v>1130</c:v>
                </c:pt>
                <c:pt idx="170">
                  <c:v>810</c:v>
                </c:pt>
                <c:pt idx="171">
                  <c:v>42</c:v>
                </c:pt>
                <c:pt idx="172">
                  <c:v>2230</c:v>
                </c:pt>
                <c:pt idx="173">
                  <c:v>264</c:v>
                </c:pt>
                <c:pt idx="174">
                  <c:v>494.7</c:v>
                </c:pt>
                <c:pt idx="175">
                  <c:v>1866.6</c:v>
                </c:pt>
                <c:pt idx="176">
                  <c:v>361.25</c:v>
                </c:pt>
                <c:pt idx="177">
                  <c:v>361.25</c:v>
                </c:pt>
                <c:pt idx="178">
                  <c:v>361.25</c:v>
                </c:pt>
                <c:pt idx="179">
                  <c:v>361.25</c:v>
                </c:pt>
                <c:pt idx="180">
                  <c:v>361.25</c:v>
                </c:pt>
                <c:pt idx="181">
                  <c:v>2440</c:v>
                </c:pt>
                <c:pt idx="182">
                  <c:v>2752</c:v>
                </c:pt>
                <c:pt idx="183">
                  <c:v>207</c:v>
                </c:pt>
                <c:pt idx="184">
                  <c:v>214</c:v>
                </c:pt>
                <c:pt idx="185">
                  <c:v>313</c:v>
                </c:pt>
                <c:pt idx="186">
                  <c:v>400</c:v>
                </c:pt>
                <c:pt idx="187">
                  <c:v>1177.25</c:v>
                </c:pt>
                <c:pt idx="188">
                  <c:v>1057.3999999999999</c:v>
                </c:pt>
                <c:pt idx="189">
                  <c:v>1347.25</c:v>
                </c:pt>
                <c:pt idx="190">
                  <c:v>814.3</c:v>
                </c:pt>
                <c:pt idx="191">
                  <c:v>520.19999999999993</c:v>
                </c:pt>
                <c:pt idx="192">
                  <c:v>361.25</c:v>
                </c:pt>
                <c:pt idx="193">
                  <c:v>361.25</c:v>
                </c:pt>
                <c:pt idx="194">
                  <c:v>3388.1</c:v>
                </c:pt>
                <c:pt idx="195">
                  <c:v>532.1</c:v>
                </c:pt>
                <c:pt idx="196">
                  <c:v>361.25</c:v>
                </c:pt>
                <c:pt idx="197">
                  <c:v>361.25</c:v>
                </c:pt>
                <c:pt idx="198">
                  <c:v>117.3</c:v>
                </c:pt>
                <c:pt idx="199">
                  <c:v>1348.95</c:v>
                </c:pt>
                <c:pt idx="200">
                  <c:v>739.5</c:v>
                </c:pt>
                <c:pt idx="201">
                  <c:v>727.6</c:v>
                </c:pt>
                <c:pt idx="202">
                  <c:v>113.05</c:v>
                </c:pt>
                <c:pt idx="203">
                  <c:v>2425</c:v>
                </c:pt>
                <c:pt idx="204">
                  <c:v>636.65</c:v>
                </c:pt>
                <c:pt idx="205">
                  <c:v>526.15</c:v>
                </c:pt>
                <c:pt idx="206">
                  <c:v>1748</c:v>
                </c:pt>
                <c:pt idx="207">
                  <c:v>808</c:v>
                </c:pt>
                <c:pt idx="208">
                  <c:v>408</c:v>
                </c:pt>
                <c:pt idx="209">
                  <c:v>227.79999999999998</c:v>
                </c:pt>
                <c:pt idx="210">
                  <c:v>628.15</c:v>
                </c:pt>
                <c:pt idx="211">
                  <c:v>361.25</c:v>
                </c:pt>
                <c:pt idx="212">
                  <c:v>361.25</c:v>
                </c:pt>
                <c:pt idx="213">
                  <c:v>361.25</c:v>
                </c:pt>
                <c:pt idx="214">
                  <c:v>361.25</c:v>
                </c:pt>
                <c:pt idx="215">
                  <c:v>361.25</c:v>
                </c:pt>
                <c:pt idx="216">
                  <c:v>361.25</c:v>
                </c:pt>
                <c:pt idx="217">
                  <c:v>361.25</c:v>
                </c:pt>
                <c:pt idx="218">
                  <c:v>361.25</c:v>
                </c:pt>
                <c:pt idx="219">
                  <c:v>361.25</c:v>
                </c:pt>
                <c:pt idx="220">
                  <c:v>361.25</c:v>
                </c:pt>
                <c:pt idx="221">
                  <c:v>361.25</c:v>
                </c:pt>
                <c:pt idx="222">
                  <c:v>124</c:v>
                </c:pt>
                <c:pt idx="223">
                  <c:v>989</c:v>
                </c:pt>
                <c:pt idx="224">
                  <c:v>379</c:v>
                </c:pt>
                <c:pt idx="225">
                  <c:v>119</c:v>
                </c:pt>
                <c:pt idx="226">
                  <c:v>328</c:v>
                </c:pt>
                <c:pt idx="227">
                  <c:v>314</c:v>
                </c:pt>
                <c:pt idx="228">
                  <c:v>564</c:v>
                </c:pt>
                <c:pt idx="229">
                  <c:v>541</c:v>
                </c:pt>
                <c:pt idx="230">
                  <c:v>444</c:v>
                </c:pt>
                <c:pt idx="231">
                  <c:v>408</c:v>
                </c:pt>
                <c:pt idx="232">
                  <c:v>128</c:v>
                </c:pt>
                <c:pt idx="233">
                  <c:v>920</c:v>
                </c:pt>
                <c:pt idx="234">
                  <c:v>779</c:v>
                </c:pt>
                <c:pt idx="235">
                  <c:v>1216</c:v>
                </c:pt>
                <c:pt idx="236">
                  <c:v>359</c:v>
                </c:pt>
                <c:pt idx="237">
                  <c:v>694</c:v>
                </c:pt>
              </c:numCache>
            </c:numRef>
          </c:xVal>
          <c:yVal>
            <c:numRef>
              <c:f>CECONY!$BE$5:$BE$242</c:f>
              <c:numCache>
                <c:formatCode>"$"#,##0.00_);[Red]\("$"#,##0.00\)</c:formatCode>
                <c:ptCount val="238"/>
                <c:pt idx="0">
                  <c:v>6.9018489433535191</c:v>
                </c:pt>
                <c:pt idx="1">
                  <c:v>14.402869246910136</c:v>
                </c:pt>
                <c:pt idx="2">
                  <c:v>5.8923425657351016</c:v>
                </c:pt>
                <c:pt idx="3">
                  <c:v>10.981915313607093</c:v>
                </c:pt>
                <c:pt idx="4">
                  <c:v>50.025098416021663</c:v>
                </c:pt>
                <c:pt idx="5">
                  <c:v>2.5942318831267519</c:v>
                </c:pt>
                <c:pt idx="6">
                  <c:v>86.572444596384898</c:v>
                </c:pt>
                <c:pt idx="7">
                  <c:v>15.418304248583988</c:v>
                </c:pt>
                <c:pt idx="8">
                  <c:v>30.686852925193683</c:v>
                </c:pt>
                <c:pt idx="9">
                  <c:v>11.436671408736144</c:v>
                </c:pt>
                <c:pt idx="10">
                  <c:v>7.8278578597503774</c:v>
                </c:pt>
                <c:pt idx="11">
                  <c:v>10.355549889100496</c:v>
                </c:pt>
                <c:pt idx="12">
                  <c:v>24.456219591603144</c:v>
                </c:pt>
                <c:pt idx="13">
                  <c:v>19.152687331736608</c:v>
                </c:pt>
                <c:pt idx="14">
                  <c:v>1.9608168372749248</c:v>
                </c:pt>
                <c:pt idx="15">
                  <c:v>34.92291704638594</c:v>
                </c:pt>
                <c:pt idx="16">
                  <c:v>14.931817152167177</c:v>
                </c:pt>
                <c:pt idx="17">
                  <c:v>14.674127474015245</c:v>
                </c:pt>
                <c:pt idx="18">
                  <c:v>14.444170283801006</c:v>
                </c:pt>
                <c:pt idx="19">
                  <c:v>18.99504272190724</c:v>
                </c:pt>
                <c:pt idx="20">
                  <c:v>11.571141820053709</c:v>
                </c:pt>
                <c:pt idx="21">
                  <c:v>0.36331827513166809</c:v>
                </c:pt>
                <c:pt idx="22">
                  <c:v>75.271492326588586</c:v>
                </c:pt>
                <c:pt idx="23">
                  <c:v>19.674363944631789</c:v>
                </c:pt>
                <c:pt idx="24">
                  <c:v>19.083632655466133</c:v>
                </c:pt>
                <c:pt idx="25">
                  <c:v>14.774985448058358</c:v>
                </c:pt>
                <c:pt idx="26">
                  <c:v>19.442747377665206</c:v>
                </c:pt>
                <c:pt idx="27">
                  <c:v>6.7719311718856421</c:v>
                </c:pt>
                <c:pt idx="28">
                  <c:v>341.04548197877699</c:v>
                </c:pt>
                <c:pt idx="29">
                  <c:v>21.789659736219029</c:v>
                </c:pt>
                <c:pt idx="30">
                  <c:v>10.539711682737734</c:v>
                </c:pt>
                <c:pt idx="31">
                  <c:v>22.537918894111673</c:v>
                </c:pt>
                <c:pt idx="32">
                  <c:v>101.43429026424376</c:v>
                </c:pt>
                <c:pt idx="33">
                  <c:v>9.65275487583237</c:v>
                </c:pt>
                <c:pt idx="34">
                  <c:v>13.053402453858372</c:v>
                </c:pt>
                <c:pt idx="35">
                  <c:v>28.323717476312197</c:v>
                </c:pt>
                <c:pt idx="36">
                  <c:v>24.992423314708123</c:v>
                </c:pt>
                <c:pt idx="37">
                  <c:v>5.2582826440732875</c:v>
                </c:pt>
                <c:pt idx="38">
                  <c:v>34.647242952640319</c:v>
                </c:pt>
                <c:pt idx="39">
                  <c:v>38.869598478449419</c:v>
                </c:pt>
                <c:pt idx="40">
                  <c:v>1.9109342196837551</c:v>
                </c:pt>
                <c:pt idx="41">
                  <c:v>22.761152129055294</c:v>
                </c:pt>
                <c:pt idx="42">
                  <c:v>12.844234283152559</c:v>
                </c:pt>
                <c:pt idx="43">
                  <c:v>84.450477882555788</c:v>
                </c:pt>
                <c:pt idx="44">
                  <c:v>22.098781437444533</c:v>
                </c:pt>
                <c:pt idx="45">
                  <c:v>38.339722081931392</c:v>
                </c:pt>
                <c:pt idx="46">
                  <c:v>31.63511784354305</c:v>
                </c:pt>
                <c:pt idx="47">
                  <c:v>8.6542785321424436</c:v>
                </c:pt>
                <c:pt idx="48">
                  <c:v>8.8553802408991622</c:v>
                </c:pt>
                <c:pt idx="49">
                  <c:v>25.654219504154405</c:v>
                </c:pt>
                <c:pt idx="50">
                  <c:v>32.324306639179547</c:v>
                </c:pt>
                <c:pt idx="51">
                  <c:v>27.319985489130211</c:v>
                </c:pt>
                <c:pt idx="52">
                  <c:v>35.856696770109409</c:v>
                </c:pt>
                <c:pt idx="53">
                  <c:v>2.4410637221871343</c:v>
                </c:pt>
                <c:pt idx="54">
                  <c:v>9.0154996110962422</c:v>
                </c:pt>
                <c:pt idx="55">
                  <c:v>3.51735896196673</c:v>
                </c:pt>
                <c:pt idx="56">
                  <c:v>0.92785139611519463</c:v>
                </c:pt>
                <c:pt idx="57">
                  <c:v>211.07643603155688</c:v>
                </c:pt>
                <c:pt idx="58">
                  <c:v>0.49382182818633541</c:v>
                </c:pt>
                <c:pt idx="59">
                  <c:v>1.5866936055605045</c:v>
                </c:pt>
                <c:pt idx="60">
                  <c:v>4.8322660466852314</c:v>
                </c:pt>
                <c:pt idx="61">
                  <c:v>11.830215120720752</c:v>
                </c:pt>
                <c:pt idx="62">
                  <c:v>68.884967586666406</c:v>
                </c:pt>
                <c:pt idx="63">
                  <c:v>69.588871407458797</c:v>
                </c:pt>
                <c:pt idx="64">
                  <c:v>2.690347234717485</c:v>
                </c:pt>
                <c:pt idx="66">
                  <c:v>3.1965738633528584</c:v>
                </c:pt>
                <c:pt idx="67">
                  <c:v>7.1495221374016946</c:v>
                </c:pt>
                <c:pt idx="68">
                  <c:v>9.4908791938881496</c:v>
                </c:pt>
                <c:pt idx="69">
                  <c:v>1.3263354851109874</c:v>
                </c:pt>
                <c:pt idx="70">
                  <c:v>3.5358684886450549</c:v>
                </c:pt>
                <c:pt idx="71">
                  <c:v>4.5880167594500518</c:v>
                </c:pt>
                <c:pt idx="72">
                  <c:v>11.838825795607869</c:v>
                </c:pt>
                <c:pt idx="73">
                  <c:v>16.449420256753161</c:v>
                </c:pt>
                <c:pt idx="74">
                  <c:v>3.8645785727563013</c:v>
                </c:pt>
                <c:pt idx="75">
                  <c:v>5.9753683491466223</c:v>
                </c:pt>
                <c:pt idx="76">
                  <c:v>9.079893538503768</c:v>
                </c:pt>
                <c:pt idx="77">
                  <c:v>1.6555175725625435</c:v>
                </c:pt>
                <c:pt idx="78">
                  <c:v>10.889219774996562</c:v>
                </c:pt>
                <c:pt idx="79">
                  <c:v>6.9337780384033838</c:v>
                </c:pt>
                <c:pt idx="80">
                  <c:v>16.596878434168747</c:v>
                </c:pt>
                <c:pt idx="81">
                  <c:v>3.6176385769312662</c:v>
                </c:pt>
                <c:pt idx="82">
                  <c:v>4.5073930037017336</c:v>
                </c:pt>
                <c:pt idx="83">
                  <c:v>3.2003763166228199</c:v>
                </c:pt>
                <c:pt idx="84">
                  <c:v>28.644340255186989</c:v>
                </c:pt>
                <c:pt idx="85">
                  <c:v>3.3699547331532207</c:v>
                </c:pt>
                <c:pt idx="86">
                  <c:v>1.1839362594216842</c:v>
                </c:pt>
                <c:pt idx="87">
                  <c:v>37.768406869633232</c:v>
                </c:pt>
                <c:pt idx="88">
                  <c:v>3.6503503557249077</c:v>
                </c:pt>
                <c:pt idx="89">
                  <c:v>1.0116294521654638</c:v>
                </c:pt>
                <c:pt idx="90">
                  <c:v>7.6770982126992848</c:v>
                </c:pt>
                <c:pt idx="91">
                  <c:v>23.762032130806396</c:v>
                </c:pt>
                <c:pt idx="92">
                  <c:v>11.843959382337452</c:v>
                </c:pt>
                <c:pt idx="93">
                  <c:v>6.4103349215777987</c:v>
                </c:pt>
                <c:pt idx="94">
                  <c:v>5.6626725215428033</c:v>
                </c:pt>
                <c:pt idx="95">
                  <c:v>33.269269702964948</c:v>
                </c:pt>
                <c:pt idx="96">
                  <c:v>198.48265978955871</c:v>
                </c:pt>
                <c:pt idx="97">
                  <c:v>26.896986348740526</c:v>
                </c:pt>
                <c:pt idx="98">
                  <c:v>2.8328758206627462</c:v>
                </c:pt>
                <c:pt idx="99">
                  <c:v>28.617269485794271</c:v>
                </c:pt>
                <c:pt idx="100">
                  <c:v>8.153546897092383</c:v>
                </c:pt>
                <c:pt idx="101">
                  <c:v>3.183903023456784</c:v>
                </c:pt>
                <c:pt idx="102">
                  <c:v>11.738753666316764</c:v>
                </c:pt>
                <c:pt idx="103">
                  <c:v>1.2404861265647518</c:v>
                </c:pt>
                <c:pt idx="104">
                  <c:v>0.62153695173354817</c:v>
                </c:pt>
                <c:pt idx="105">
                  <c:v>5.5012261718530331</c:v>
                </c:pt>
                <c:pt idx="106">
                  <c:v>9.7547357167045696</c:v>
                </c:pt>
                <c:pt idx="107">
                  <c:v>10.344334932610527</c:v>
                </c:pt>
                <c:pt idx="108">
                  <c:v>8.6800515891709651</c:v>
                </c:pt>
                <c:pt idx="109">
                  <c:v>2.4406991892871126</c:v>
                </c:pt>
                <c:pt idx="110">
                  <c:v>6.7453522298956319</c:v>
                </c:pt>
                <c:pt idx="111">
                  <c:v>3.8333755464721544</c:v>
                </c:pt>
                <c:pt idx="112">
                  <c:v>7.6039460349492218</c:v>
                </c:pt>
                <c:pt idx="113">
                  <c:v>4.4581326015798002</c:v>
                </c:pt>
                <c:pt idx="114">
                  <c:v>0.16130557953825389</c:v>
                </c:pt>
                <c:pt idx="115">
                  <c:v>0.60882701442252485</c:v>
                </c:pt>
                <c:pt idx="116">
                  <c:v>0.41606791591343517</c:v>
                </c:pt>
                <c:pt idx="117">
                  <c:v>5.3095001078342383</c:v>
                </c:pt>
                <c:pt idx="118">
                  <c:v>25.775351469866653</c:v>
                </c:pt>
                <c:pt idx="119">
                  <c:v>109.14879115186267</c:v>
                </c:pt>
                <c:pt idx="120">
                  <c:v>0.80272443454923093</c:v>
                </c:pt>
                <c:pt idx="121">
                  <c:v>5.8307427146988342</c:v>
                </c:pt>
                <c:pt idx="122">
                  <c:v>61.239145550684754</c:v>
                </c:pt>
                <c:pt idx="123">
                  <c:v>5.628256064257708</c:v>
                </c:pt>
                <c:pt idx="124">
                  <c:v>18.117313129053947</c:v>
                </c:pt>
                <c:pt idx="125">
                  <c:v>2.4774318146228853</c:v>
                </c:pt>
                <c:pt idx="126">
                  <c:v>35.554209765177092</c:v>
                </c:pt>
                <c:pt idx="127">
                  <c:v>0.67319894899262889</c:v>
                </c:pt>
                <c:pt idx="128">
                  <c:v>6.2985002847254608</c:v>
                </c:pt>
                <c:pt idx="129">
                  <c:v>4.935646219138822</c:v>
                </c:pt>
                <c:pt idx="130">
                  <c:v>1.515415369448704</c:v>
                </c:pt>
                <c:pt idx="132">
                  <c:v>68.674791925165209</c:v>
                </c:pt>
                <c:pt idx="133">
                  <c:v>41.082466090905733</c:v>
                </c:pt>
                <c:pt idx="134">
                  <c:v>12.922258876058645</c:v>
                </c:pt>
                <c:pt idx="135">
                  <c:v>0.44710923448322371</c:v>
                </c:pt>
                <c:pt idx="136">
                  <c:v>30.304169961657777</c:v>
                </c:pt>
                <c:pt idx="137">
                  <c:v>70.285508133383601</c:v>
                </c:pt>
                <c:pt idx="138">
                  <c:v>21.000877471592215</c:v>
                </c:pt>
                <c:pt idx="139">
                  <c:v>31.373182045244469</c:v>
                </c:pt>
                <c:pt idx="140">
                  <c:v>53.434367710959066</c:v>
                </c:pt>
                <c:pt idx="141">
                  <c:v>43.182372362661638</c:v>
                </c:pt>
                <c:pt idx="142">
                  <c:v>13.546217406324022</c:v>
                </c:pt>
                <c:pt idx="143">
                  <c:v>10.113527979049209</c:v>
                </c:pt>
                <c:pt idx="144">
                  <c:v>50.796396177388381</c:v>
                </c:pt>
                <c:pt idx="145">
                  <c:v>26.21497279617985</c:v>
                </c:pt>
                <c:pt idx="146">
                  <c:v>72.250559190774496</c:v>
                </c:pt>
                <c:pt idx="147">
                  <c:v>164.05661824028741</c:v>
                </c:pt>
                <c:pt idx="148">
                  <c:v>5.1853327585603855E-2</c:v>
                </c:pt>
                <c:pt idx="149">
                  <c:v>41.510711522352906</c:v>
                </c:pt>
                <c:pt idx="150">
                  <c:v>41.86813864392338</c:v>
                </c:pt>
                <c:pt idx="151">
                  <c:v>41.743598430874627</c:v>
                </c:pt>
                <c:pt idx="152">
                  <c:v>53.749172616968963</c:v>
                </c:pt>
                <c:pt idx="153">
                  <c:v>56.395844053887323</c:v>
                </c:pt>
                <c:pt idx="154">
                  <c:v>17.994631515707056</c:v>
                </c:pt>
                <c:pt idx="155">
                  <c:v>47.176030095627262</c:v>
                </c:pt>
                <c:pt idx="156">
                  <c:v>93.484475413128877</c:v>
                </c:pt>
                <c:pt idx="157">
                  <c:v>26.330593396392512</c:v>
                </c:pt>
                <c:pt idx="158">
                  <c:v>40.763409380390904</c:v>
                </c:pt>
                <c:pt idx="159">
                  <c:v>0.76172771399281847</c:v>
                </c:pt>
                <c:pt idx="160">
                  <c:v>8.9536995847724192</c:v>
                </c:pt>
                <c:pt idx="161">
                  <c:v>31.237659501893926</c:v>
                </c:pt>
                <c:pt idx="162">
                  <c:v>67.911351759024441</c:v>
                </c:pt>
                <c:pt idx="163">
                  <c:v>16.745520328298475</c:v>
                </c:pt>
                <c:pt idx="164">
                  <c:v>40.233115237517076</c:v>
                </c:pt>
                <c:pt idx="165">
                  <c:v>30.030753875298998</c:v>
                </c:pt>
                <c:pt idx="166">
                  <c:v>5.9864571117907621</c:v>
                </c:pt>
                <c:pt idx="167">
                  <c:v>23.483628599520422</c:v>
                </c:pt>
                <c:pt idx="168">
                  <c:v>15.61130735844473</c:v>
                </c:pt>
                <c:pt idx="169">
                  <c:v>9.2772142506998261</c:v>
                </c:pt>
                <c:pt idx="170">
                  <c:v>59.195794035960724</c:v>
                </c:pt>
                <c:pt idx="171">
                  <c:v>201.93596448367052</c:v>
                </c:pt>
                <c:pt idx="172">
                  <c:v>4.3312806000458099</c:v>
                </c:pt>
                <c:pt idx="173">
                  <c:v>11.93117773773203</c:v>
                </c:pt>
                <c:pt idx="174">
                  <c:v>50.724688771004345</c:v>
                </c:pt>
                <c:pt idx="175">
                  <c:v>1.4144424487015803</c:v>
                </c:pt>
                <c:pt idx="176">
                  <c:v>2.7259867742453867</c:v>
                </c:pt>
                <c:pt idx="177">
                  <c:v>22.072513817174457</c:v>
                </c:pt>
                <c:pt idx="178">
                  <c:v>48.211391702434561</c:v>
                </c:pt>
                <c:pt idx="179">
                  <c:v>36.913763012705068</c:v>
                </c:pt>
                <c:pt idx="180">
                  <c:v>55.087714889178748</c:v>
                </c:pt>
                <c:pt idx="181">
                  <c:v>16.082784363773573</c:v>
                </c:pt>
                <c:pt idx="182">
                  <c:v>17.1172194823471</c:v>
                </c:pt>
                <c:pt idx="183">
                  <c:v>383.71326663434581</c:v>
                </c:pt>
                <c:pt idx="184">
                  <c:v>72.903720710869621</c:v>
                </c:pt>
                <c:pt idx="185">
                  <c:v>25.70044041730532</c:v>
                </c:pt>
                <c:pt idx="186">
                  <c:v>1.0472062007965253</c:v>
                </c:pt>
                <c:pt idx="187">
                  <c:v>14.938746942878147</c:v>
                </c:pt>
                <c:pt idx="188">
                  <c:v>45.312312142255827</c:v>
                </c:pt>
                <c:pt idx="189">
                  <c:v>34.59931860155428</c:v>
                </c:pt>
                <c:pt idx="190">
                  <c:v>20.006608968127761</c:v>
                </c:pt>
                <c:pt idx="191">
                  <c:v>19.940256150627391</c:v>
                </c:pt>
                <c:pt idx="192">
                  <c:v>64.662543390769983</c:v>
                </c:pt>
                <c:pt idx="193">
                  <c:v>56.17790781960597</c:v>
                </c:pt>
                <c:pt idx="194">
                  <c:v>0.61368001027574204</c:v>
                </c:pt>
                <c:pt idx="195">
                  <c:v>60.132153071602168</c:v>
                </c:pt>
                <c:pt idx="196">
                  <c:v>14.322252440360067</c:v>
                </c:pt>
                <c:pt idx="197">
                  <c:v>23.747621720028103</c:v>
                </c:pt>
                <c:pt idx="198">
                  <c:v>237.81310760718523</c:v>
                </c:pt>
                <c:pt idx="199">
                  <c:v>11.851546905676642</c:v>
                </c:pt>
                <c:pt idx="200">
                  <c:v>15.113948161756934</c:v>
                </c:pt>
                <c:pt idx="201">
                  <c:v>0.8810757423229344</c:v>
                </c:pt>
                <c:pt idx="202">
                  <c:v>20.726538533778523</c:v>
                </c:pt>
                <c:pt idx="203">
                  <c:v>17.680452444250069</c:v>
                </c:pt>
                <c:pt idx="204">
                  <c:v>37.663305303232498</c:v>
                </c:pt>
                <c:pt idx="205">
                  <c:v>4.8653175442396694</c:v>
                </c:pt>
                <c:pt idx="206">
                  <c:v>32.928694812045116</c:v>
                </c:pt>
                <c:pt idx="207">
                  <c:v>83.769076304391405</c:v>
                </c:pt>
                <c:pt idx="208">
                  <c:v>130.32246132349798</c:v>
                </c:pt>
                <c:pt idx="209">
                  <c:v>28.722863070459173</c:v>
                </c:pt>
                <c:pt idx="210">
                  <c:v>78.618279348001181</c:v>
                </c:pt>
                <c:pt idx="211">
                  <c:v>49.390521039773333</c:v>
                </c:pt>
                <c:pt idx="212">
                  <c:v>60.665888212113146</c:v>
                </c:pt>
                <c:pt idx="213">
                  <c:v>36.144150554375692</c:v>
                </c:pt>
                <c:pt idx="214">
                  <c:v>44.058723130971146</c:v>
                </c:pt>
                <c:pt idx="215">
                  <c:v>31.969352060699265</c:v>
                </c:pt>
                <c:pt idx="216">
                  <c:v>43.472137630885129</c:v>
                </c:pt>
                <c:pt idx="217">
                  <c:v>10.746822456016274</c:v>
                </c:pt>
                <c:pt idx="218">
                  <c:v>49.257134706513902</c:v>
                </c:pt>
                <c:pt idx="219">
                  <c:v>40.920763034418201</c:v>
                </c:pt>
                <c:pt idx="220">
                  <c:v>12.631462778951121</c:v>
                </c:pt>
                <c:pt idx="221">
                  <c:v>16.046083457382387</c:v>
                </c:pt>
                <c:pt idx="222">
                  <c:v>24.019894410494107</c:v>
                </c:pt>
                <c:pt idx="223">
                  <c:v>1.2456866222648177</c:v>
                </c:pt>
                <c:pt idx="224">
                  <c:v>17.019847311701032</c:v>
                </c:pt>
                <c:pt idx="225">
                  <c:v>75.356853888155442</c:v>
                </c:pt>
                <c:pt idx="226">
                  <c:v>8.7778576645826902</c:v>
                </c:pt>
                <c:pt idx="227">
                  <c:v>50.985039941172779</c:v>
                </c:pt>
                <c:pt idx="228">
                  <c:v>16.845947831435858</c:v>
                </c:pt>
                <c:pt idx="229">
                  <c:v>78.25951780032689</c:v>
                </c:pt>
                <c:pt idx="230">
                  <c:v>28.826983309612832</c:v>
                </c:pt>
                <c:pt idx="231">
                  <c:v>3.0549963057986527</c:v>
                </c:pt>
                <c:pt idx="232">
                  <c:v>169.02267014982147</c:v>
                </c:pt>
                <c:pt idx="233">
                  <c:v>2.1886172245819036</c:v>
                </c:pt>
                <c:pt idx="234">
                  <c:v>64.825213750874042</c:v>
                </c:pt>
                <c:pt idx="235">
                  <c:v>46.068421467491241</c:v>
                </c:pt>
                <c:pt idx="236">
                  <c:v>112.93579299748964</c:v>
                </c:pt>
                <c:pt idx="237">
                  <c:v>7.1129580611590963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BA-4BD3-90A7-AA454C47F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526751"/>
        <c:axId val="1170527231"/>
      </c:scatterChart>
      <c:valAx>
        <c:axId val="11705267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0527231"/>
        <c:crosses val="autoZero"/>
        <c:crossBetween val="midCat"/>
      </c:valAx>
      <c:valAx>
        <c:axId val="11705272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_);[Red]\(&quot;$&quot;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05267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76200</xdr:colOff>
      <xdr:row>19</xdr:row>
      <xdr:rowOff>42861</xdr:rowOff>
    </xdr:from>
    <xdr:to>
      <xdr:col>63</xdr:col>
      <xdr:colOff>508000</xdr:colOff>
      <xdr:row>33</xdr:row>
      <xdr:rowOff>139699</xdr:rowOff>
    </xdr:to>
    <xdr:graphicFrame macro="">
      <xdr:nvGraphicFramePr>
        <xdr:cNvPr id="13" name="Chart 1">
          <a:extLst>
            <a:ext uri="{FF2B5EF4-FFF2-40B4-BE49-F238E27FC236}">
              <a16:creationId xmlns:a16="http://schemas.microsoft.com/office/drawing/2014/main" id="{F47CB421-32E7-DCC6-6F08-C73D215782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33337</xdr:colOff>
      <xdr:row>70</xdr:row>
      <xdr:rowOff>14287</xdr:rowOff>
    </xdr:from>
    <xdr:to>
      <xdr:col>63</xdr:col>
      <xdr:colOff>438150</xdr:colOff>
      <xdr:row>83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165CDB-3ACB-E354-2D70-7EE7606E1A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52387</xdr:colOff>
      <xdr:row>135</xdr:row>
      <xdr:rowOff>185737</xdr:rowOff>
    </xdr:from>
    <xdr:to>
      <xdr:col>65</xdr:col>
      <xdr:colOff>0</xdr:colOff>
      <xdr:row>150</xdr:row>
      <xdr:rowOff>71437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9A5328-07EA-7B99-546C-6470589542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42862</xdr:colOff>
      <xdr:row>243</xdr:row>
      <xdr:rowOff>14287</xdr:rowOff>
    </xdr:from>
    <xdr:to>
      <xdr:col>65</xdr:col>
      <xdr:colOff>0</xdr:colOff>
      <xdr:row>257</xdr:row>
      <xdr:rowOff>90487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3F325A7-1D13-97A9-D968-2A12D5704A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33337</xdr:colOff>
      <xdr:row>260</xdr:row>
      <xdr:rowOff>185737</xdr:rowOff>
    </xdr:from>
    <xdr:to>
      <xdr:col>65</xdr:col>
      <xdr:colOff>0</xdr:colOff>
      <xdr:row>275</xdr:row>
      <xdr:rowOff>71437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A6662E7-2F26-546A-F8CE-BC49B4615C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57</xdr:col>
      <xdr:colOff>22225</xdr:colOff>
      <xdr:row>3</xdr:row>
      <xdr:rowOff>171450</xdr:rowOff>
    </xdr:from>
    <xdr:to>
      <xdr:col>63</xdr:col>
      <xdr:colOff>508000</xdr:colOff>
      <xdr:row>19</xdr:row>
      <xdr:rowOff>19050</xdr:rowOff>
    </xdr:to>
    <xdr:graphicFrame macro="">
      <xdr:nvGraphicFramePr>
        <xdr:cNvPr id="83" name="Chart 6">
          <a:extLst>
            <a:ext uri="{FF2B5EF4-FFF2-40B4-BE49-F238E27FC236}">
              <a16:creationId xmlns:a16="http://schemas.microsoft.com/office/drawing/2014/main" id="{4D41CFE9-B05F-7F9E-D40E-885A047844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196850</xdr:colOff>
      <xdr:row>37</xdr:row>
      <xdr:rowOff>12700</xdr:rowOff>
    </xdr:from>
    <xdr:to>
      <xdr:col>7</xdr:col>
      <xdr:colOff>531206</xdr:colOff>
      <xdr:row>49</xdr:row>
      <xdr:rowOff>149572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D6B72573-2820-404D-9798-7B9B2381B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850" y="7632700"/>
          <a:ext cx="7144731" cy="2422872"/>
        </a:xfrm>
        <a:prstGeom prst="rect">
          <a:avLst/>
        </a:prstGeom>
      </xdr:spPr>
    </xdr:pic>
    <xdr:clientData/>
  </xdr:twoCellAnchor>
  <xdr:twoCellAnchor editAs="oneCell">
    <xdr:from>
      <xdr:col>1</xdr:col>
      <xdr:colOff>901700</xdr:colOff>
      <xdr:row>16</xdr:row>
      <xdr:rowOff>69851</xdr:rowOff>
    </xdr:from>
    <xdr:to>
      <xdr:col>4</xdr:col>
      <xdr:colOff>3175</xdr:colOff>
      <xdr:row>29</xdr:row>
      <xdr:rowOff>55439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9C567FCD-8E16-4670-8F0E-7F8D202DF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1300" y="3689351"/>
          <a:ext cx="2349500" cy="246208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55</xdr:row>
      <xdr:rowOff>0</xdr:rowOff>
    </xdr:from>
    <xdr:to>
      <xdr:col>7</xdr:col>
      <xdr:colOff>495301</xdr:colOff>
      <xdr:row>78</xdr:row>
      <xdr:rowOff>16364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26462A02-178B-4EA4-99C3-470580B93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1049000"/>
          <a:ext cx="7305675" cy="439786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79</xdr:row>
      <xdr:rowOff>130382</xdr:rowOff>
    </xdr:from>
    <xdr:to>
      <xdr:col>7</xdr:col>
      <xdr:colOff>587375</xdr:colOff>
      <xdr:row>104</xdr:row>
      <xdr:rowOff>109979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63E7D443-2981-432C-9C04-448E63BE7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450" y="15751382"/>
          <a:ext cx="7226300" cy="47420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5</xdr:col>
      <xdr:colOff>247162</xdr:colOff>
      <xdr:row>124</xdr:row>
      <xdr:rowOff>92075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6A53F8F6-2491-4D3E-9BE0-2E1C9D2F7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21145500"/>
          <a:ext cx="5209687" cy="314007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127</xdr:row>
      <xdr:rowOff>44451</xdr:rowOff>
    </xdr:from>
    <xdr:to>
      <xdr:col>7</xdr:col>
      <xdr:colOff>187325</xdr:colOff>
      <xdr:row>146</xdr:row>
      <xdr:rowOff>16288</xdr:rowOff>
    </xdr:to>
    <xdr:pic>
      <xdr:nvPicPr>
        <xdr:cNvPr id="9" name="Picture 9">
          <a:extLst>
            <a:ext uri="{FF2B5EF4-FFF2-40B4-BE49-F238E27FC236}">
              <a16:creationId xmlns:a16="http://schemas.microsoft.com/office/drawing/2014/main" id="{B69DADBF-A7B6-48CD-8FA1-FA15173E4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1951" y="24809451"/>
          <a:ext cx="6635749" cy="3591337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148</xdr:row>
      <xdr:rowOff>88901</xdr:rowOff>
    </xdr:from>
    <xdr:to>
      <xdr:col>6</xdr:col>
      <xdr:colOff>206376</xdr:colOff>
      <xdr:row>168</xdr:row>
      <xdr:rowOff>142531</xdr:rowOff>
    </xdr:to>
    <xdr:pic>
      <xdr:nvPicPr>
        <xdr:cNvPr id="10" name="Picture 10">
          <a:extLst>
            <a:ext uri="{FF2B5EF4-FFF2-40B4-BE49-F238E27FC236}">
              <a16:creationId xmlns:a16="http://schemas.microsoft.com/office/drawing/2014/main" id="{75142F1C-C2A0-486B-B20D-EE1FCF046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6701" y="28854401"/>
          <a:ext cx="6140450" cy="38636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002nm\Downloads\National%20Grid%20MCOS%20Workpapers.xlsx" TargetMode="External"/><Relationship Id="rId1" Type="http://schemas.openxmlformats.org/officeDocument/2006/relationships/externalLinkPath" Target="file:///C:\Users\o002nm\Downloads\National%20Grid%20MCOS%20Workpape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jects"/>
      <sheetName val="ECCR=&gt;"/>
      <sheetName val="ECCR_Rates"/>
      <sheetName val="TransSta"/>
      <sheetName val="TransL"/>
      <sheetName val="DistSta"/>
      <sheetName val="DistL"/>
      <sheetName val="OM"/>
      <sheetName val="OthTax"/>
      <sheetName val="EndPrint"/>
      <sheetName val="FinalData"/>
    </sheetNames>
    <sheetDataSet>
      <sheetData sheetId="0"/>
      <sheetData sheetId="1"/>
      <sheetData sheetId="2">
        <row r="35">
          <cell r="D35">
            <v>1.0209999999999999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E1" t="str">
            <v>Asset Identifier (Substation or Network)</v>
          </cell>
          <cell r="F1" t="str">
            <v>InvestType</v>
          </cell>
          <cell r="I1" t="str">
            <v>FINAL Project System Capacity (MW)</v>
          </cell>
          <cell r="J1" t="str">
            <v>Prior to FY26 Capex Spend</v>
          </cell>
          <cell r="K1" t="str">
            <v>FY26 Capex Forecast</v>
          </cell>
          <cell r="L1" t="str">
            <v>FY27 Capex Forecast</v>
          </cell>
          <cell r="M1" t="str">
            <v>FY28 Capex Forecast</v>
          </cell>
          <cell r="N1" t="str">
            <v>FY29 Capex Forecast</v>
          </cell>
          <cell r="O1" t="str">
            <v>FY30 Capex Forecast</v>
          </cell>
          <cell r="P1" t="str">
            <v>FY31 Capex Forecast</v>
          </cell>
          <cell r="Q1" t="str">
            <v>FY32 Capex Forecast</v>
          </cell>
          <cell r="R1" t="str">
            <v>FY33 Capex Forecast</v>
          </cell>
          <cell r="S1" t="str">
            <v>FY34 Capex Forecast</v>
          </cell>
          <cell r="T1" t="str">
            <v>FY35 Capex Forecast</v>
          </cell>
          <cell r="U1" t="str">
            <v>FY36 Capex Forecast</v>
          </cell>
          <cell r="V1" t="str">
            <v>Sum</v>
          </cell>
          <cell r="W1" t="str">
            <v>rMaster
Master</v>
          </cell>
        </row>
        <row r="2">
          <cell r="F2" t="str">
            <v>D_Line</v>
          </cell>
          <cell r="J2">
            <v>110.45964000000001</v>
          </cell>
          <cell r="K2">
            <v>750.96</v>
          </cell>
          <cell r="L2">
            <v>2167.15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3028.5696400000002</v>
          </cell>
          <cell r="W2" t="str">
            <v>FN000507</v>
          </cell>
        </row>
        <row r="3">
          <cell r="F3" t="str">
            <v>D_Line</v>
          </cell>
          <cell r="J3">
            <v>121.2358</v>
          </cell>
          <cell r="K3">
            <v>0</v>
          </cell>
          <cell r="L3">
            <v>700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821.23580000000004</v>
          </cell>
          <cell r="W3" t="str">
            <v>FN010416</v>
          </cell>
        </row>
        <row r="4">
          <cell r="F4" t="str">
            <v>T_Station</v>
          </cell>
          <cell r="J4">
            <v>874.39548000000002</v>
          </cell>
          <cell r="K4">
            <v>101.92</v>
          </cell>
          <cell r="L4">
            <v>638.34600999999998</v>
          </cell>
          <cell r="M4">
            <v>76.927989999999994</v>
          </cell>
          <cell r="N4">
            <v>44.703719999999997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1736.2931999999998</v>
          </cell>
          <cell r="W4" t="str">
            <v>FN010073</v>
          </cell>
        </row>
        <row r="5">
          <cell r="F5" t="str">
            <v>T_Line</v>
          </cell>
          <cell r="J5">
            <v>5386.9529600000005</v>
          </cell>
          <cell r="K5">
            <v>12005.448490000001</v>
          </cell>
          <cell r="L5">
            <v>13140.8858</v>
          </cell>
          <cell r="M5">
            <v>21714.226009999998</v>
          </cell>
          <cell r="N5">
            <v>11048.45844</v>
          </cell>
          <cell r="O5">
            <v>487.16073999999998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63783.132440000001</v>
          </cell>
          <cell r="W5" t="str">
            <v>FN010073</v>
          </cell>
        </row>
        <row r="6">
          <cell r="F6" t="str">
            <v>D_Line</v>
          </cell>
          <cell r="J6">
            <v>0</v>
          </cell>
          <cell r="K6">
            <v>0</v>
          </cell>
          <cell r="L6">
            <v>0</v>
          </cell>
          <cell r="M6">
            <v>2922</v>
          </cell>
          <cell r="N6">
            <v>50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2972</v>
          </cell>
          <cell r="W6" t="str">
            <v>FN010097</v>
          </cell>
        </row>
        <row r="7">
          <cell r="F7" t="str">
            <v>D_Line</v>
          </cell>
          <cell r="J7">
            <v>41</v>
          </cell>
          <cell r="K7">
            <v>0</v>
          </cell>
          <cell r="L7">
            <v>270.54000000000002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311.54000000000002</v>
          </cell>
          <cell r="W7" t="str">
            <v>FN000138</v>
          </cell>
        </row>
        <row r="8">
          <cell r="F8" t="str">
            <v>D_Line</v>
          </cell>
          <cell r="J8">
            <v>132.58804000000001</v>
          </cell>
          <cell r="K8">
            <v>0</v>
          </cell>
          <cell r="L8">
            <v>1071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1203.5880400000001</v>
          </cell>
          <cell r="W8" t="str">
            <v>FN002420</v>
          </cell>
        </row>
        <row r="9">
          <cell r="F9" t="str">
            <v>D_Station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109.148</v>
          </cell>
          <cell r="Q9">
            <v>1295.2909999999999</v>
          </cell>
          <cell r="R9">
            <v>8601.7180000000008</v>
          </cell>
          <cell r="S9">
            <v>8601.7180000000008</v>
          </cell>
          <cell r="T9">
            <v>5255.2040000000006</v>
          </cell>
          <cell r="U9">
            <v>1560.8090000000002</v>
          </cell>
          <cell r="V9">
            <v>25423.888000000003</v>
          </cell>
          <cell r="W9" t="str">
            <v>FN014043</v>
          </cell>
        </row>
        <row r="10">
          <cell r="F10" t="str">
            <v>D_Line</v>
          </cell>
          <cell r="J10">
            <v>44.75412</v>
          </cell>
          <cell r="K10">
            <v>305.58472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350.33884</v>
          </cell>
          <cell r="W10" t="str">
            <v>FN000570</v>
          </cell>
        </row>
        <row r="11">
          <cell r="F11" t="str">
            <v>T_Station</v>
          </cell>
          <cell r="J11">
            <v>5</v>
          </cell>
          <cell r="K11">
            <v>0</v>
          </cell>
          <cell r="L11">
            <v>3342.0829800000001</v>
          </cell>
          <cell r="M11">
            <v>1052.2500399999999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4399.33302</v>
          </cell>
          <cell r="W11" t="str">
            <v>FN011214</v>
          </cell>
        </row>
        <row r="12">
          <cell r="F12" t="str">
            <v>T_Station</v>
          </cell>
          <cell r="J12">
            <v>0</v>
          </cell>
          <cell r="K12">
            <v>0</v>
          </cell>
          <cell r="L12">
            <v>0</v>
          </cell>
          <cell r="M12">
            <v>15.44492</v>
          </cell>
          <cell r="N12">
            <v>6517.7209999999995</v>
          </cell>
          <cell r="O12">
            <v>298.86057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6832.0264899999993</v>
          </cell>
          <cell r="W12" t="str">
            <v>FN010083</v>
          </cell>
        </row>
        <row r="13"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</row>
        <row r="14"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</row>
        <row r="15"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</row>
        <row r="16"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</row>
        <row r="17">
          <cell r="F17" t="str">
            <v>D_Station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99.999960000000002</v>
          </cell>
          <cell r="O17">
            <v>3900</v>
          </cell>
          <cell r="P17">
            <v>4439.04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8439.0399600000001</v>
          </cell>
          <cell r="W17" t="str">
            <v>FN014243</v>
          </cell>
        </row>
        <row r="18"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</row>
        <row r="19">
          <cell r="F19" t="str">
            <v>D_Station</v>
          </cell>
          <cell r="J19">
            <v>21</v>
          </cell>
          <cell r="K19">
            <v>101.5</v>
          </cell>
          <cell r="L19">
            <v>0.1</v>
          </cell>
          <cell r="M19">
            <v>1.4</v>
          </cell>
          <cell r="N19">
            <v>2010</v>
          </cell>
          <cell r="O19">
            <v>6257.3855299999996</v>
          </cell>
          <cell r="P19">
            <v>4986.4805399999996</v>
          </cell>
          <cell r="Q19">
            <v>4708.7072200000002</v>
          </cell>
          <cell r="R19">
            <v>52.540790000000001</v>
          </cell>
          <cell r="S19">
            <v>0</v>
          </cell>
          <cell r="T19">
            <v>0</v>
          </cell>
          <cell r="U19">
            <v>0</v>
          </cell>
          <cell r="V19">
            <v>18139.114079999999</v>
          </cell>
          <cell r="W19" t="str">
            <v>FN011042</v>
          </cell>
        </row>
        <row r="20"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</row>
        <row r="21">
          <cell r="F21" t="str">
            <v>D_Line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1890.9</v>
          </cell>
          <cell r="O21">
            <v>1217.7</v>
          </cell>
          <cell r="P21">
            <v>693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3801.6000000000004</v>
          </cell>
          <cell r="W21" t="str">
            <v>FN011558</v>
          </cell>
        </row>
        <row r="22">
          <cell r="F22" t="str">
            <v>D_Line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250</v>
          </cell>
          <cell r="Q22">
            <v>1300</v>
          </cell>
          <cell r="R22">
            <v>2610</v>
          </cell>
          <cell r="S22">
            <v>950</v>
          </cell>
          <cell r="T22">
            <v>0</v>
          </cell>
          <cell r="U22">
            <v>0</v>
          </cell>
          <cell r="V22">
            <v>5110</v>
          </cell>
          <cell r="W22" t="str">
            <v>FN011559</v>
          </cell>
        </row>
        <row r="23">
          <cell r="F23" t="str">
            <v>D_Line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752.45600000000002</v>
          </cell>
          <cell r="U23">
            <v>2894.0630000000001</v>
          </cell>
          <cell r="V23">
            <v>3646.5190000000002</v>
          </cell>
          <cell r="W23" t="str">
            <v>FN011978</v>
          </cell>
        </row>
        <row r="24">
          <cell r="F24" t="str">
            <v>T_Station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105</v>
          </cell>
          <cell r="S24">
            <v>1397</v>
          </cell>
          <cell r="T24">
            <v>504</v>
          </cell>
          <cell r="U24">
            <v>1409</v>
          </cell>
          <cell r="V24">
            <v>3415</v>
          </cell>
          <cell r="W24" t="str">
            <v>FN011978</v>
          </cell>
        </row>
        <row r="25"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</row>
        <row r="26"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</row>
        <row r="27"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</row>
        <row r="28">
          <cell r="F28" t="str">
            <v>D_Station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</v>
          </cell>
          <cell r="O28">
            <v>12</v>
          </cell>
          <cell r="P28">
            <v>52</v>
          </cell>
          <cell r="Q28">
            <v>60</v>
          </cell>
          <cell r="R28">
            <v>250</v>
          </cell>
          <cell r="S28">
            <v>0</v>
          </cell>
          <cell r="T28">
            <v>0</v>
          </cell>
          <cell r="U28">
            <v>0</v>
          </cell>
          <cell r="V28">
            <v>378</v>
          </cell>
          <cell r="W28" t="str">
            <v>FN014323</v>
          </cell>
        </row>
        <row r="29"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</row>
        <row r="30">
          <cell r="F30" t="str">
            <v>D_Line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126.72</v>
          </cell>
          <cell r="Q30">
            <v>1048.4100000000001</v>
          </cell>
          <cell r="R30">
            <v>606.87</v>
          </cell>
          <cell r="S30">
            <v>906</v>
          </cell>
          <cell r="T30">
            <v>0</v>
          </cell>
          <cell r="U30">
            <v>0</v>
          </cell>
          <cell r="V30">
            <v>2688</v>
          </cell>
          <cell r="W30" t="str">
            <v>FN012619</v>
          </cell>
        </row>
        <row r="31"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</row>
        <row r="32">
          <cell r="F32" t="str">
            <v>D_Line</v>
          </cell>
          <cell r="J32">
            <v>114.06476000000001</v>
          </cell>
          <cell r="K32">
            <v>397.72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511.78476000000001</v>
          </cell>
          <cell r="W32" t="str">
            <v>FN002393</v>
          </cell>
        </row>
        <row r="33">
          <cell r="F33" t="str">
            <v>D_Line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172</v>
          </cell>
          <cell r="O33">
            <v>662</v>
          </cell>
          <cell r="P33">
            <v>769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1603</v>
          </cell>
          <cell r="W33" t="str">
            <v>FN012008</v>
          </cell>
        </row>
        <row r="34">
          <cell r="F34" t="str">
            <v>T_Station</v>
          </cell>
          <cell r="J34">
            <v>0</v>
          </cell>
          <cell r="K34">
            <v>0</v>
          </cell>
          <cell r="L34">
            <v>220.04512</v>
          </cell>
          <cell r="M34">
            <v>260.24556000000001</v>
          </cell>
          <cell r="N34">
            <v>480.29068000000001</v>
          </cell>
          <cell r="O34">
            <v>1116.1367600000001</v>
          </cell>
          <cell r="P34">
            <v>7855.4492399999999</v>
          </cell>
          <cell r="Q34">
            <v>3584.7071999999998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13516.87456</v>
          </cell>
          <cell r="W34" t="str">
            <v>FN008736</v>
          </cell>
        </row>
        <row r="35">
          <cell r="F35" t="str">
            <v>D_Line</v>
          </cell>
          <cell r="J35">
            <v>93</v>
          </cell>
          <cell r="K35">
            <v>0</v>
          </cell>
          <cell r="L35">
            <v>405.54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498.54</v>
          </cell>
          <cell r="W35" t="str">
            <v>FN011227</v>
          </cell>
        </row>
        <row r="36">
          <cell r="F36" t="str">
            <v>D_Line</v>
          </cell>
          <cell r="J36">
            <v>0</v>
          </cell>
          <cell r="K36">
            <v>0</v>
          </cell>
          <cell r="L36">
            <v>20</v>
          </cell>
          <cell r="M36">
            <v>1055.21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1075.21</v>
          </cell>
          <cell r="W36" t="str">
            <v>FN011227</v>
          </cell>
        </row>
        <row r="37">
          <cell r="F37" t="str">
            <v>D_Station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110.25</v>
          </cell>
          <cell r="Q37">
            <v>915.07500000000005</v>
          </cell>
          <cell r="R37">
            <v>529.20000000000005</v>
          </cell>
          <cell r="S37">
            <v>838.13099999999997</v>
          </cell>
          <cell r="T37">
            <v>5990.3649999999998</v>
          </cell>
          <cell r="U37">
            <v>0</v>
          </cell>
          <cell r="V37">
            <v>8383.0210000000006</v>
          </cell>
          <cell r="W37" t="str">
            <v>FN012140</v>
          </cell>
        </row>
        <row r="38"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</row>
        <row r="39">
          <cell r="F39" t="str">
            <v>D_Line</v>
          </cell>
          <cell r="J39">
            <v>0</v>
          </cell>
          <cell r="K39">
            <v>0</v>
          </cell>
          <cell r="L39">
            <v>0</v>
          </cell>
          <cell r="M39">
            <v>184</v>
          </cell>
          <cell r="N39">
            <v>735</v>
          </cell>
          <cell r="O39">
            <v>735</v>
          </cell>
          <cell r="P39">
            <v>734.69388000000004</v>
          </cell>
          <cell r="Q39">
            <v>0</v>
          </cell>
          <cell r="R39">
            <v>0</v>
          </cell>
          <cell r="S39">
            <v>612.245</v>
          </cell>
          <cell r="T39">
            <v>0</v>
          </cell>
          <cell r="U39">
            <v>0</v>
          </cell>
          <cell r="V39">
            <v>3000.9388799999997</v>
          </cell>
          <cell r="W39" t="str">
            <v>FN011964</v>
          </cell>
        </row>
        <row r="40">
          <cell r="F40" t="str">
            <v>D_Station</v>
          </cell>
          <cell r="J40">
            <v>0</v>
          </cell>
          <cell r="K40">
            <v>0</v>
          </cell>
          <cell r="L40">
            <v>0</v>
          </cell>
          <cell r="M40">
            <v>191</v>
          </cell>
          <cell r="N40">
            <v>766</v>
          </cell>
          <cell r="O40">
            <v>766</v>
          </cell>
          <cell r="P40">
            <v>765.8</v>
          </cell>
          <cell r="Q40">
            <v>0</v>
          </cell>
          <cell r="R40">
            <v>0</v>
          </cell>
          <cell r="S40">
            <v>765.8</v>
          </cell>
          <cell r="T40">
            <v>574.35</v>
          </cell>
          <cell r="U40">
            <v>0</v>
          </cell>
          <cell r="V40">
            <v>3828.9500000000003</v>
          </cell>
          <cell r="W40" t="str">
            <v>FN011964</v>
          </cell>
        </row>
        <row r="41">
          <cell r="F41" t="str">
            <v>D_Station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105</v>
          </cell>
          <cell r="O41">
            <v>872</v>
          </cell>
          <cell r="P41">
            <v>504</v>
          </cell>
          <cell r="Q41">
            <v>3699</v>
          </cell>
          <cell r="R41">
            <v>2804</v>
          </cell>
          <cell r="S41">
            <v>291.10399999999998</v>
          </cell>
          <cell r="T41">
            <v>0</v>
          </cell>
          <cell r="U41">
            <v>0</v>
          </cell>
          <cell r="V41">
            <v>8275.1039999999994</v>
          </cell>
          <cell r="W41" t="str">
            <v>FN012140</v>
          </cell>
        </row>
        <row r="42"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</row>
        <row r="43">
          <cell r="F43" t="str">
            <v>T_Line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20</v>
          </cell>
          <cell r="O43">
            <v>120</v>
          </cell>
          <cell r="P43">
            <v>120</v>
          </cell>
          <cell r="Q43">
            <v>420</v>
          </cell>
          <cell r="R43">
            <v>3857</v>
          </cell>
          <cell r="S43">
            <v>35000</v>
          </cell>
          <cell r="T43">
            <v>35000</v>
          </cell>
          <cell r="U43">
            <v>38447.000000000007</v>
          </cell>
          <cell r="V43">
            <v>112984</v>
          </cell>
          <cell r="W43" t="str">
            <v>FN008276</v>
          </cell>
        </row>
        <row r="44">
          <cell r="F44" t="str">
            <v>D_Line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495</v>
          </cell>
          <cell r="O44">
            <v>1980</v>
          </cell>
          <cell r="P44">
            <v>1980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4455</v>
          </cell>
          <cell r="W44" t="str">
            <v>FN011975</v>
          </cell>
        </row>
        <row r="45">
          <cell r="F45" t="str">
            <v>D_Station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121.551</v>
          </cell>
          <cell r="O45">
            <v>1616.623</v>
          </cell>
          <cell r="P45">
            <v>583.44299999999998</v>
          </cell>
          <cell r="Q45">
            <v>1442.4839999999999</v>
          </cell>
          <cell r="R45">
            <v>9579.1859999999997</v>
          </cell>
          <cell r="S45">
            <v>9579.1859999999997</v>
          </cell>
          <cell r="T45">
            <v>5793.8620000000001</v>
          </cell>
          <cell r="U45">
            <v>0</v>
          </cell>
          <cell r="V45">
            <v>28716.334999999999</v>
          </cell>
          <cell r="W45" t="str">
            <v>FN011975</v>
          </cell>
        </row>
        <row r="46">
          <cell r="F46" t="str">
            <v>D_Station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128</v>
          </cell>
          <cell r="P46">
            <v>1059</v>
          </cell>
          <cell r="Q46">
            <v>1520</v>
          </cell>
          <cell r="R46">
            <v>3526</v>
          </cell>
          <cell r="S46">
            <v>3409</v>
          </cell>
          <cell r="T46">
            <v>354</v>
          </cell>
          <cell r="U46">
            <v>0</v>
          </cell>
          <cell r="V46">
            <v>9996</v>
          </cell>
          <cell r="W46" t="str">
            <v>FN011363</v>
          </cell>
        </row>
        <row r="47">
          <cell r="F47" t="str">
            <v>D_Line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126.72</v>
          </cell>
          <cell r="Q47">
            <v>1048.4100000000001</v>
          </cell>
          <cell r="R47">
            <v>606.86964</v>
          </cell>
          <cell r="S47">
            <v>960.3</v>
          </cell>
          <cell r="T47">
            <v>0</v>
          </cell>
          <cell r="U47">
            <v>0</v>
          </cell>
          <cell r="V47">
            <v>2742.2996400000002</v>
          </cell>
          <cell r="W47" t="str">
            <v>FN012610</v>
          </cell>
        </row>
        <row r="48">
          <cell r="F48" t="str">
            <v>D_Station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127.628</v>
          </cell>
          <cell r="T48">
            <v>1697.454</v>
          </cell>
          <cell r="U48">
            <v>612.61500000000001</v>
          </cell>
          <cell r="V48">
            <v>2437.6970000000001</v>
          </cell>
          <cell r="W48" t="str">
            <v>FN011439</v>
          </cell>
        </row>
        <row r="49">
          <cell r="F49" t="str">
            <v>T_Line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20</v>
          </cell>
          <cell r="S49">
            <v>120</v>
          </cell>
          <cell r="T49">
            <v>120</v>
          </cell>
          <cell r="U49">
            <v>420</v>
          </cell>
          <cell r="V49">
            <v>680</v>
          </cell>
          <cell r="W49" t="str">
            <v>FN008276</v>
          </cell>
        </row>
        <row r="50">
          <cell r="F50" t="str">
            <v>D_Station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120.78</v>
          </cell>
          <cell r="Q50">
            <v>1428.059</v>
          </cell>
          <cell r="R50">
            <v>6483.3940000000002</v>
          </cell>
          <cell r="S50">
            <v>9483.2100000000009</v>
          </cell>
          <cell r="T50">
            <v>8793.862000000001</v>
          </cell>
          <cell r="U50">
            <v>0</v>
          </cell>
          <cell r="V50">
            <v>26309.305</v>
          </cell>
          <cell r="W50" t="str">
            <v>FN011352</v>
          </cell>
        </row>
        <row r="51">
          <cell r="F51" t="str">
            <v>D_Line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49.5</v>
          </cell>
          <cell r="Q51">
            <v>2027.52</v>
          </cell>
          <cell r="R51">
            <v>3836.2499699999998</v>
          </cell>
          <cell r="S51">
            <v>3815.46</v>
          </cell>
          <cell r="T51">
            <v>2970</v>
          </cell>
          <cell r="U51">
            <v>2970</v>
          </cell>
          <cell r="V51">
            <v>15668.72997</v>
          </cell>
          <cell r="W51" t="str">
            <v>FN011997</v>
          </cell>
        </row>
        <row r="52">
          <cell r="F52" t="str">
            <v>D_Station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49.5</v>
          </cell>
          <cell r="Q52">
            <v>103.95</v>
          </cell>
          <cell r="R52">
            <v>1383.03</v>
          </cell>
          <cell r="S52">
            <v>2098.96</v>
          </cell>
          <cell r="T52">
            <v>6233.54</v>
          </cell>
          <cell r="U52">
            <v>1592.4310000000005</v>
          </cell>
          <cell r="V52">
            <v>11461.411</v>
          </cell>
          <cell r="W52" t="str">
            <v>FN011997</v>
          </cell>
        </row>
        <row r="53"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</row>
        <row r="54">
          <cell r="F54" t="str">
            <v>D_Station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171</v>
          </cell>
          <cell r="T54">
            <v>1420</v>
          </cell>
          <cell r="U54">
            <v>820.99999999999977</v>
          </cell>
          <cell r="V54">
            <v>2412</v>
          </cell>
          <cell r="W54" t="str">
            <v>FN011369</v>
          </cell>
        </row>
        <row r="55">
          <cell r="F55" t="str">
            <v>D_Line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466</v>
          </cell>
          <cell r="U55">
            <v>1977.9999999999995</v>
          </cell>
          <cell r="V55">
            <v>2443.9999999999995</v>
          </cell>
          <cell r="W55" t="str">
            <v>FN011369</v>
          </cell>
        </row>
        <row r="56">
          <cell r="F56" t="str">
            <v>D_Line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3841.3840000000005</v>
          </cell>
          <cell r="U56">
            <v>4432.3660000000009</v>
          </cell>
          <cell r="V56">
            <v>8273.7500000000018</v>
          </cell>
          <cell r="W56" t="str">
            <v>FN012851</v>
          </cell>
        </row>
        <row r="57">
          <cell r="F57" t="str">
            <v>D_Station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127.628</v>
          </cell>
          <cell r="R57">
            <v>1697.4540000000004</v>
          </cell>
          <cell r="S57">
            <v>612.6149999999999</v>
          </cell>
          <cell r="T57">
            <v>1514.6079999999997</v>
          </cell>
          <cell r="U57">
            <v>10058.15</v>
          </cell>
          <cell r="V57">
            <v>14010.455</v>
          </cell>
          <cell r="W57" t="str">
            <v>FN012851A</v>
          </cell>
        </row>
        <row r="58">
          <cell r="F58" t="str">
            <v>D_Line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417.166</v>
          </cell>
          <cell r="R58">
            <v>2951.0659999999998</v>
          </cell>
          <cell r="S58">
            <v>4432.3660000000009</v>
          </cell>
          <cell r="T58">
            <v>4095.168000000001</v>
          </cell>
          <cell r="U58">
            <v>4938.3689999999997</v>
          </cell>
          <cell r="V58">
            <v>16834.135000000002</v>
          </cell>
          <cell r="W58" t="str">
            <v>FN012817</v>
          </cell>
        </row>
        <row r="59">
          <cell r="F59" t="str">
            <v>D_Line</v>
          </cell>
          <cell r="J59">
            <v>4437.1117599999998</v>
          </cell>
          <cell r="K59">
            <v>658.86915999999997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5095.98092</v>
          </cell>
          <cell r="W59" t="str">
            <v>FN005875</v>
          </cell>
        </row>
        <row r="60">
          <cell r="F60" t="str">
            <v>D_Station</v>
          </cell>
          <cell r="J60">
            <v>16666.251840000001</v>
          </cell>
          <cell r="K60">
            <v>739.86738000000003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17406.11922</v>
          </cell>
          <cell r="W60" t="str">
            <v>FN005875</v>
          </cell>
        </row>
        <row r="61">
          <cell r="F61" t="str">
            <v>D_Line</v>
          </cell>
          <cell r="J61">
            <v>0</v>
          </cell>
          <cell r="K61">
            <v>10</v>
          </cell>
          <cell r="L61">
            <v>10</v>
          </cell>
          <cell r="M61">
            <v>40</v>
          </cell>
          <cell r="N61">
            <v>130</v>
          </cell>
          <cell r="O61">
            <v>150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340</v>
          </cell>
          <cell r="W61" t="str">
            <v>FN005840</v>
          </cell>
        </row>
        <row r="62">
          <cell r="F62" t="str">
            <v>D_Line</v>
          </cell>
          <cell r="J62">
            <v>0</v>
          </cell>
          <cell r="K62">
            <v>20</v>
          </cell>
          <cell r="L62">
            <v>20</v>
          </cell>
          <cell r="M62">
            <v>123</v>
          </cell>
          <cell r="N62">
            <v>46.015920000000001</v>
          </cell>
          <cell r="O62">
            <v>1681.7106000000001</v>
          </cell>
          <cell r="P62">
            <v>600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2490.7265200000002</v>
          </cell>
          <cell r="W62" t="str">
            <v>FN005840</v>
          </cell>
        </row>
        <row r="63">
          <cell r="F63" t="str">
            <v>D_Station</v>
          </cell>
          <cell r="J63">
            <v>0</v>
          </cell>
          <cell r="K63">
            <v>120</v>
          </cell>
          <cell r="L63">
            <v>120</v>
          </cell>
          <cell r="M63">
            <v>570</v>
          </cell>
          <cell r="N63">
            <v>600</v>
          </cell>
          <cell r="O63">
            <v>600</v>
          </cell>
          <cell r="P63">
            <v>600</v>
          </cell>
          <cell r="Q63">
            <v>2440</v>
          </cell>
          <cell r="R63">
            <v>7950</v>
          </cell>
          <cell r="S63">
            <v>2890</v>
          </cell>
          <cell r="T63">
            <v>0</v>
          </cell>
          <cell r="U63">
            <v>0</v>
          </cell>
          <cell r="V63">
            <v>15890</v>
          </cell>
          <cell r="W63" t="str">
            <v>FN005840</v>
          </cell>
        </row>
        <row r="64">
          <cell r="F64" t="str">
            <v>D_Line</v>
          </cell>
          <cell r="J64">
            <v>32.100320000000004</v>
          </cell>
          <cell r="K64">
            <v>5.9917999999999996</v>
          </cell>
          <cell r="L64">
            <v>9.1395599999999995</v>
          </cell>
          <cell r="M64">
            <v>244.38677000000001</v>
          </cell>
          <cell r="N64">
            <v>57.120690000000003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348.73914000000002</v>
          </cell>
          <cell r="W64" t="str">
            <v>FN005818</v>
          </cell>
        </row>
        <row r="65">
          <cell r="F65" t="str">
            <v>D_Line</v>
          </cell>
          <cell r="J65">
            <v>42.230040000000002</v>
          </cell>
          <cell r="K65">
            <v>51.226329999999997</v>
          </cell>
          <cell r="L65">
            <v>368.35331000000002</v>
          </cell>
          <cell r="M65">
            <v>78.303560000000004</v>
          </cell>
          <cell r="N65">
            <v>46.297699999999999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586.41093999999998</v>
          </cell>
          <cell r="W65" t="str">
            <v>FN005818</v>
          </cell>
        </row>
        <row r="66">
          <cell r="F66" t="str">
            <v>D_Station</v>
          </cell>
          <cell r="J66">
            <v>6816.4575599999998</v>
          </cell>
          <cell r="K66">
            <v>308.15928000000002</v>
          </cell>
          <cell r="L66">
            <v>1889.39328</v>
          </cell>
          <cell r="M66">
            <v>4032.2507599999999</v>
          </cell>
          <cell r="N66">
            <v>7458.5022900000004</v>
          </cell>
          <cell r="O66">
            <v>6118.6821300000001</v>
          </cell>
          <cell r="P66">
            <v>524.19281000000001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27147.63811</v>
          </cell>
          <cell r="W66" t="str">
            <v>FN005818</v>
          </cell>
        </row>
        <row r="67">
          <cell r="F67" t="str">
            <v>D_Line</v>
          </cell>
          <cell r="J67">
            <v>34.823799999999999</v>
          </cell>
          <cell r="K67">
            <v>1.07752</v>
          </cell>
          <cell r="L67">
            <v>284.35559000000001</v>
          </cell>
          <cell r="M67">
            <v>269.99623000000003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590.25314000000003</v>
          </cell>
          <cell r="W67" t="str">
            <v>FN005832</v>
          </cell>
        </row>
        <row r="68">
          <cell r="F68" t="str">
            <v>D_Line</v>
          </cell>
          <cell r="J68">
            <v>679.17283999999995</v>
          </cell>
          <cell r="K68">
            <v>890.93095000000005</v>
          </cell>
          <cell r="L68">
            <v>306.42892000000001</v>
          </cell>
          <cell r="M68">
            <v>115.58540000000001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1992.1181100000001</v>
          </cell>
          <cell r="W68" t="str">
            <v>FN005832</v>
          </cell>
        </row>
        <row r="69">
          <cell r="F69" t="str">
            <v>D_Station</v>
          </cell>
          <cell r="J69">
            <v>10027.06064</v>
          </cell>
          <cell r="K69">
            <v>4693.8744500000003</v>
          </cell>
          <cell r="L69">
            <v>7585.3435399999998</v>
          </cell>
          <cell r="M69">
            <v>4306.9788900000003</v>
          </cell>
          <cell r="N69">
            <v>456.69373999999999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27069.951259999998</v>
          </cell>
          <cell r="W69" t="str">
            <v>FN005832</v>
          </cell>
        </row>
        <row r="70">
          <cell r="F70" t="str">
            <v>D_Line</v>
          </cell>
          <cell r="J70">
            <v>467.92327999999998</v>
          </cell>
          <cell r="K70">
            <v>230.56236000000001</v>
          </cell>
          <cell r="L70">
            <v>95.273229999999998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793.75887</v>
          </cell>
          <cell r="W70" t="str">
            <v>FN005771</v>
          </cell>
        </row>
        <row r="71">
          <cell r="F71" t="str">
            <v>D_Line</v>
          </cell>
          <cell r="J71">
            <v>6839.6095999999998</v>
          </cell>
          <cell r="K71">
            <v>420.68561999999997</v>
          </cell>
          <cell r="L71">
            <v>67.00018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7327.2954</v>
          </cell>
          <cell r="W71" t="str">
            <v>FN005771</v>
          </cell>
        </row>
        <row r="72">
          <cell r="F72" t="str">
            <v>D_Station</v>
          </cell>
          <cell r="J72">
            <v>29499.272400000002</v>
          </cell>
          <cell r="K72">
            <v>2626.9404500000001</v>
          </cell>
          <cell r="L72">
            <v>645.84970999999996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32772.062560000006</v>
          </cell>
          <cell r="W72" t="str">
            <v>FN005771</v>
          </cell>
        </row>
        <row r="73">
          <cell r="F73" t="str">
            <v>D_Line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40</v>
          </cell>
          <cell r="O73">
            <v>150</v>
          </cell>
          <cell r="P73">
            <v>150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340</v>
          </cell>
          <cell r="W73" t="str">
            <v>FN005819</v>
          </cell>
        </row>
        <row r="74">
          <cell r="F74" t="str">
            <v>D_Line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50</v>
          </cell>
          <cell r="O74">
            <v>50</v>
          </cell>
          <cell r="P74">
            <v>1700</v>
          </cell>
          <cell r="Q74">
            <v>600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2400</v>
          </cell>
          <cell r="W74" t="str">
            <v>FN005819</v>
          </cell>
        </row>
        <row r="75">
          <cell r="F75" t="str">
            <v>D_Station</v>
          </cell>
          <cell r="J75">
            <v>0</v>
          </cell>
          <cell r="K75">
            <v>0</v>
          </cell>
          <cell r="L75">
            <v>51</v>
          </cell>
          <cell r="M75">
            <v>250</v>
          </cell>
          <cell r="N75">
            <v>10</v>
          </cell>
          <cell r="O75">
            <v>2164</v>
          </cell>
          <cell r="P75">
            <v>1814</v>
          </cell>
          <cell r="Q75">
            <v>4274</v>
          </cell>
          <cell r="R75">
            <v>3834</v>
          </cell>
          <cell r="S75">
            <v>63</v>
          </cell>
          <cell r="T75">
            <v>0</v>
          </cell>
          <cell r="U75">
            <v>0</v>
          </cell>
          <cell r="V75">
            <v>12460</v>
          </cell>
          <cell r="W75" t="str">
            <v>FN005819</v>
          </cell>
        </row>
        <row r="76">
          <cell r="F76" t="str">
            <v>D_Line</v>
          </cell>
          <cell r="J76">
            <v>0</v>
          </cell>
          <cell r="K76">
            <v>10</v>
          </cell>
          <cell r="L76">
            <v>10</v>
          </cell>
          <cell r="M76">
            <v>221</v>
          </cell>
          <cell r="N76">
            <v>359</v>
          </cell>
          <cell r="O76">
            <v>150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750</v>
          </cell>
          <cell r="W76" t="str">
            <v>FN005842</v>
          </cell>
        </row>
        <row r="77">
          <cell r="F77" t="str">
            <v>D_Line</v>
          </cell>
          <cell r="J77">
            <v>0</v>
          </cell>
          <cell r="K77">
            <v>20</v>
          </cell>
          <cell r="L77">
            <v>20</v>
          </cell>
          <cell r="M77">
            <v>50</v>
          </cell>
          <cell r="N77">
            <v>50</v>
          </cell>
          <cell r="O77">
            <v>1680</v>
          </cell>
          <cell r="P77">
            <v>600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2420</v>
          </cell>
          <cell r="W77" t="str">
            <v>FN005842</v>
          </cell>
        </row>
        <row r="78">
          <cell r="F78" t="str">
            <v>D_Station</v>
          </cell>
          <cell r="J78">
            <v>0</v>
          </cell>
          <cell r="K78">
            <v>120</v>
          </cell>
          <cell r="L78">
            <v>480</v>
          </cell>
          <cell r="M78">
            <v>1790</v>
          </cell>
          <cell r="N78">
            <v>600</v>
          </cell>
          <cell r="O78">
            <v>600</v>
          </cell>
          <cell r="P78">
            <v>6980</v>
          </cell>
          <cell r="Q78">
            <v>8850</v>
          </cell>
          <cell r="R78">
            <v>580</v>
          </cell>
          <cell r="S78">
            <v>0</v>
          </cell>
          <cell r="T78">
            <v>0</v>
          </cell>
          <cell r="U78">
            <v>0</v>
          </cell>
          <cell r="V78">
            <v>20000</v>
          </cell>
          <cell r="W78" t="str">
            <v>FN005842</v>
          </cell>
        </row>
        <row r="79">
          <cell r="F79" t="str">
            <v>D_Line</v>
          </cell>
          <cell r="J79">
            <v>14784.81408</v>
          </cell>
          <cell r="K79">
            <v>532.90121999999997</v>
          </cell>
          <cell r="L79">
            <v>399.13598000000002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15716.851279999999</v>
          </cell>
          <cell r="W79" t="str">
            <v>FN005791</v>
          </cell>
        </row>
        <row r="80">
          <cell r="F80" t="str">
            <v>D_Station</v>
          </cell>
          <cell r="J80">
            <v>15529.21112</v>
          </cell>
          <cell r="K80">
            <v>4711.8928500000002</v>
          </cell>
          <cell r="L80">
            <v>4895.8450899999998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25136.949059999999</v>
          </cell>
          <cell r="W80" t="str">
            <v>FN005791</v>
          </cell>
        </row>
        <row r="81">
          <cell r="F81" t="str">
            <v>D_Line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40</v>
          </cell>
          <cell r="O81">
            <v>150</v>
          </cell>
          <cell r="P81">
            <v>150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340</v>
          </cell>
          <cell r="W81" t="str">
            <v>FN005820</v>
          </cell>
        </row>
        <row r="82">
          <cell r="F82" t="str">
            <v>D_Line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50</v>
          </cell>
          <cell r="O82">
            <v>50</v>
          </cell>
          <cell r="P82">
            <v>1700</v>
          </cell>
          <cell r="Q82">
            <v>600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2400</v>
          </cell>
          <cell r="W82" t="str">
            <v>FN005820</v>
          </cell>
        </row>
        <row r="83">
          <cell r="F83" t="str">
            <v>D_Station</v>
          </cell>
          <cell r="J83">
            <v>0</v>
          </cell>
          <cell r="K83">
            <v>0</v>
          </cell>
          <cell r="L83">
            <v>51</v>
          </cell>
          <cell r="M83">
            <v>250</v>
          </cell>
          <cell r="N83">
            <v>10</v>
          </cell>
          <cell r="O83">
            <v>2164</v>
          </cell>
          <cell r="P83">
            <v>1814</v>
          </cell>
          <cell r="Q83">
            <v>4274</v>
          </cell>
          <cell r="R83">
            <v>3834</v>
          </cell>
          <cell r="S83">
            <v>63</v>
          </cell>
          <cell r="T83">
            <v>0</v>
          </cell>
          <cell r="U83">
            <v>0</v>
          </cell>
          <cell r="V83">
            <v>12460</v>
          </cell>
          <cell r="W83" t="str">
            <v>FN005820</v>
          </cell>
        </row>
        <row r="84">
          <cell r="F84" t="str">
            <v>D_Line</v>
          </cell>
          <cell r="J84">
            <v>49.210599999999999</v>
          </cell>
          <cell r="K84">
            <v>6.4291</v>
          </cell>
          <cell r="L84">
            <v>8.3855699999999995</v>
          </cell>
          <cell r="M84">
            <v>1006.79071</v>
          </cell>
          <cell r="N84">
            <v>204.82919999999999</v>
          </cell>
          <cell r="O84">
            <v>172.02332999999999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1447.66851</v>
          </cell>
          <cell r="W84" t="str">
            <v>FN010096</v>
          </cell>
        </row>
        <row r="85">
          <cell r="F85" t="str">
            <v>D_Station</v>
          </cell>
          <cell r="J85">
            <v>10896.473</v>
          </cell>
          <cell r="K85">
            <v>248.3852</v>
          </cell>
          <cell r="L85">
            <v>1668.66183</v>
          </cell>
          <cell r="M85">
            <v>1698.9524699999999</v>
          </cell>
          <cell r="N85">
            <v>8133.99478</v>
          </cell>
          <cell r="O85">
            <v>5717.5947900000001</v>
          </cell>
          <cell r="P85">
            <v>1496.51846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29860.580529999999</v>
          </cell>
          <cell r="W85" t="str">
            <v>FN010096</v>
          </cell>
        </row>
        <row r="86">
          <cell r="F86" t="str">
            <v>D_Line</v>
          </cell>
          <cell r="J86">
            <v>29.43544</v>
          </cell>
          <cell r="K86">
            <v>5.48794</v>
          </cell>
          <cell r="L86">
            <v>5.8129400000000002</v>
          </cell>
          <cell r="M86">
            <v>3.7702399999999998</v>
          </cell>
          <cell r="N86">
            <v>255.86105000000001</v>
          </cell>
          <cell r="O86">
            <v>75.956729999999993</v>
          </cell>
          <cell r="P86">
            <v>8.0950000000000006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384.41934000000003</v>
          </cell>
          <cell r="W86" t="str">
            <v>FN010096</v>
          </cell>
        </row>
        <row r="87">
          <cell r="F87" t="str">
            <v>D_Line</v>
          </cell>
          <cell r="J87">
            <v>19.79644</v>
          </cell>
          <cell r="K87">
            <v>5.8238000000000003</v>
          </cell>
          <cell r="L87">
            <v>6.1748000000000003</v>
          </cell>
          <cell r="M87">
            <v>6.5258000000000003</v>
          </cell>
          <cell r="N87">
            <v>6.7458</v>
          </cell>
          <cell r="O87">
            <v>5.4588000000000001</v>
          </cell>
          <cell r="P87">
            <v>314.16950000000003</v>
          </cell>
          <cell r="Q87">
            <v>125.99120000000001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490.68614000000002</v>
          </cell>
          <cell r="W87" t="str">
            <v>FN005821</v>
          </cell>
        </row>
        <row r="88">
          <cell r="F88" t="str">
            <v>D_Line</v>
          </cell>
          <cell r="J88">
            <v>36.417919999999995</v>
          </cell>
          <cell r="K88">
            <v>7.51572</v>
          </cell>
          <cell r="L88">
            <v>7.9477200000000003</v>
          </cell>
          <cell r="M88">
            <v>8.3797200000000007</v>
          </cell>
          <cell r="N88">
            <v>8.6597200000000001</v>
          </cell>
          <cell r="O88">
            <v>722.38818000000003</v>
          </cell>
          <cell r="P88">
            <v>202.93644</v>
          </cell>
          <cell r="Q88">
            <v>163.21190000000001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1157.45732</v>
          </cell>
          <cell r="W88" t="str">
            <v>FN005821</v>
          </cell>
        </row>
        <row r="89">
          <cell r="F89" t="str">
            <v>D_Station</v>
          </cell>
          <cell r="J89">
            <v>10817.155440000002</v>
          </cell>
          <cell r="K89">
            <v>158.02956</v>
          </cell>
          <cell r="L89">
            <v>292.17642999999998</v>
          </cell>
          <cell r="M89">
            <v>336.89055999999999</v>
          </cell>
          <cell r="N89">
            <v>2616.1070100000002</v>
          </cell>
          <cell r="O89">
            <v>3437.0792700000002</v>
          </cell>
          <cell r="P89">
            <v>8520.7401599999994</v>
          </cell>
          <cell r="Q89">
            <v>5646.0123599999997</v>
          </cell>
          <cell r="R89">
            <v>71.725239999999999</v>
          </cell>
          <cell r="S89">
            <v>0</v>
          </cell>
          <cell r="T89">
            <v>0</v>
          </cell>
          <cell r="U89">
            <v>0</v>
          </cell>
          <cell r="V89">
            <v>31895.91603</v>
          </cell>
          <cell r="W89" t="str">
            <v>FN005821</v>
          </cell>
        </row>
        <row r="90"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</row>
        <row r="91"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</row>
        <row r="92">
          <cell r="F92" t="str">
            <v>D_Line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39</v>
          </cell>
          <cell r="O92">
            <v>150</v>
          </cell>
          <cell r="P92">
            <v>150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339</v>
          </cell>
          <cell r="W92" t="str">
            <v>FN005822</v>
          </cell>
        </row>
        <row r="93">
          <cell r="F93" t="str">
            <v>D_Line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50</v>
          </cell>
          <cell r="O93">
            <v>50</v>
          </cell>
          <cell r="P93">
            <v>1700</v>
          </cell>
          <cell r="Q93">
            <v>600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2400</v>
          </cell>
          <cell r="W93" t="str">
            <v>FN005822</v>
          </cell>
        </row>
        <row r="94">
          <cell r="F94" t="str">
            <v>D_Station</v>
          </cell>
          <cell r="J94">
            <v>0</v>
          </cell>
          <cell r="K94">
            <v>0</v>
          </cell>
          <cell r="L94">
            <v>0</v>
          </cell>
          <cell r="M94">
            <v>51</v>
          </cell>
          <cell r="N94">
            <v>250</v>
          </cell>
          <cell r="O94">
            <v>2174</v>
          </cell>
          <cell r="P94">
            <v>1814</v>
          </cell>
          <cell r="Q94">
            <v>4274</v>
          </cell>
          <cell r="R94">
            <v>3834</v>
          </cell>
          <cell r="S94">
            <v>63</v>
          </cell>
          <cell r="T94">
            <v>0</v>
          </cell>
          <cell r="U94">
            <v>0</v>
          </cell>
          <cell r="V94">
            <v>12460</v>
          </cell>
          <cell r="W94" t="str">
            <v>FN005822</v>
          </cell>
        </row>
        <row r="95">
          <cell r="F95" t="str">
            <v>D_Line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202</v>
          </cell>
          <cell r="S95">
            <v>500</v>
          </cell>
          <cell r="T95">
            <v>1500</v>
          </cell>
          <cell r="U95">
            <v>1776</v>
          </cell>
          <cell r="V95">
            <v>3978</v>
          </cell>
          <cell r="W95" t="str">
            <v>FN011290</v>
          </cell>
        </row>
        <row r="96">
          <cell r="F96" t="str">
            <v>D_Station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2000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2000</v>
          </cell>
          <cell r="W96" t="str">
            <v>FN011290</v>
          </cell>
        </row>
        <row r="97">
          <cell r="F97" t="str">
            <v>D_Station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134</v>
          </cell>
          <cell r="R97">
            <v>1782</v>
          </cell>
          <cell r="S97">
            <v>2441</v>
          </cell>
          <cell r="T97">
            <v>13054</v>
          </cell>
          <cell r="U97">
            <v>13054</v>
          </cell>
          <cell r="V97">
            <v>30465</v>
          </cell>
          <cell r="W97" t="str">
            <v>FN011290</v>
          </cell>
        </row>
        <row r="98"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</row>
        <row r="99"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</row>
        <row r="100"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</row>
        <row r="101"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</row>
        <row r="102"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</row>
        <row r="103"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</row>
        <row r="104"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</row>
        <row r="105">
          <cell r="F105" t="str">
            <v>D_Station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111</v>
          </cell>
          <cell r="R105">
            <v>1466</v>
          </cell>
          <cell r="S105">
            <v>529</v>
          </cell>
          <cell r="T105">
            <v>1479</v>
          </cell>
          <cell r="U105">
            <v>10739.000000000002</v>
          </cell>
          <cell r="V105">
            <v>14324.000000000002</v>
          </cell>
          <cell r="W105" t="str">
            <v>FN014248</v>
          </cell>
        </row>
        <row r="106">
          <cell r="F106" t="str">
            <v>D_Line</v>
          </cell>
          <cell r="J106">
            <v>41.700200000000009</v>
          </cell>
          <cell r="K106">
            <v>15</v>
          </cell>
          <cell r="L106">
            <v>616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672.7002</v>
          </cell>
          <cell r="W106" t="str">
            <v>FN014222</v>
          </cell>
        </row>
        <row r="107">
          <cell r="F107" t="str">
            <v>D_Station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110.25</v>
          </cell>
          <cell r="O107">
            <v>1466.325</v>
          </cell>
          <cell r="P107">
            <v>529.20000000000005</v>
          </cell>
          <cell r="Q107">
            <v>1479.2629999999999</v>
          </cell>
          <cell r="R107">
            <v>10739.254000000001</v>
          </cell>
          <cell r="S107">
            <v>10739.254000000001</v>
          </cell>
          <cell r="T107">
            <v>6495.516999999998</v>
          </cell>
          <cell r="U107">
            <v>0</v>
          </cell>
          <cell r="V107">
            <v>31559.063000000002</v>
          </cell>
          <cell r="W107" t="str">
            <v>FN011414</v>
          </cell>
        </row>
        <row r="108">
          <cell r="F108" t="str">
            <v>D_Line</v>
          </cell>
          <cell r="J108">
            <v>55.26444</v>
          </cell>
          <cell r="K108">
            <v>568.50001999999995</v>
          </cell>
          <cell r="L108">
            <v>4510.3450400000002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5134.1095000000005</v>
          </cell>
          <cell r="W108" t="str">
            <v>FN012964</v>
          </cell>
        </row>
        <row r="109">
          <cell r="F109" t="str">
            <v>D_Line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165.917</v>
          </cell>
          <cell r="P109">
            <v>638.14099999999996</v>
          </cell>
          <cell r="Q109">
            <v>2543.1190000000001</v>
          </cell>
          <cell r="R109">
            <v>162.59800000000001</v>
          </cell>
          <cell r="S109">
            <v>0</v>
          </cell>
          <cell r="T109">
            <v>0</v>
          </cell>
          <cell r="U109">
            <v>0</v>
          </cell>
          <cell r="V109">
            <v>3509.7750000000001</v>
          </cell>
          <cell r="W109" t="str">
            <v>FN012964</v>
          </cell>
        </row>
        <row r="110">
          <cell r="F110" t="str">
            <v>D_Station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514.524</v>
          </cell>
          <cell r="S110">
            <v>0</v>
          </cell>
          <cell r="T110">
            <v>0</v>
          </cell>
          <cell r="U110">
            <v>0</v>
          </cell>
          <cell r="V110">
            <v>514.524</v>
          </cell>
          <cell r="W110" t="str">
            <v>FN012964</v>
          </cell>
        </row>
        <row r="111">
          <cell r="F111" t="str">
            <v>D_Line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201.673</v>
          </cell>
          <cell r="T111">
            <v>775.66411000000005</v>
          </cell>
          <cell r="U111">
            <v>3091.1766000000002</v>
          </cell>
          <cell r="V111">
            <v>4068.5137100000002</v>
          </cell>
          <cell r="W111" t="str">
            <v>FN012964</v>
          </cell>
        </row>
        <row r="112"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</row>
        <row r="113">
          <cell r="F113" t="str">
            <v>D_Station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110.25</v>
          </cell>
          <cell r="O113">
            <v>1466.325</v>
          </cell>
          <cell r="P113">
            <v>529.20000000000005</v>
          </cell>
          <cell r="Q113">
            <v>1308.375</v>
          </cell>
          <cell r="R113">
            <v>8688.6039999999994</v>
          </cell>
          <cell r="S113">
            <v>8688.6039999999994</v>
          </cell>
          <cell r="T113">
            <v>5255.2040000000006</v>
          </cell>
          <cell r="U113">
            <v>0</v>
          </cell>
          <cell r="V113">
            <v>26046.562000000002</v>
          </cell>
          <cell r="W113" t="str">
            <v>FN011413</v>
          </cell>
        </row>
        <row r="114">
          <cell r="F114" t="str">
            <v>D_Line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139.59</v>
          </cell>
          <cell r="S114">
            <v>1156.3290500000001</v>
          </cell>
          <cell r="T114">
            <v>757.99999999999977</v>
          </cell>
          <cell r="U114">
            <v>390</v>
          </cell>
          <cell r="V114">
            <v>2443.9190499999995</v>
          </cell>
          <cell r="W114" t="str">
            <v>FN012612</v>
          </cell>
        </row>
        <row r="115"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</row>
        <row r="116">
          <cell r="F116" t="str">
            <v>T_Line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1000</v>
          </cell>
          <cell r="V116">
            <v>1000</v>
          </cell>
          <cell r="W116" t="str">
            <v>FN011526</v>
          </cell>
        </row>
        <row r="117"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</row>
        <row r="118">
          <cell r="F118" t="str">
            <v>D_Station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121.551</v>
          </cell>
          <cell r="U118">
            <v>1616.623</v>
          </cell>
          <cell r="V118">
            <v>1738.174</v>
          </cell>
          <cell r="W118" t="str">
            <v>FN011415</v>
          </cell>
        </row>
        <row r="119"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</row>
        <row r="120"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</row>
        <row r="121"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</row>
        <row r="122"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</row>
        <row r="123">
          <cell r="F123" t="str">
            <v>D_Station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200</v>
          </cell>
          <cell r="R123">
            <v>200</v>
          </cell>
          <cell r="S123">
            <v>0</v>
          </cell>
          <cell r="T123">
            <v>0</v>
          </cell>
          <cell r="U123">
            <v>0</v>
          </cell>
          <cell r="V123">
            <v>400</v>
          </cell>
          <cell r="W123" t="str">
            <v>FN012138</v>
          </cell>
        </row>
        <row r="124">
          <cell r="F124" t="str">
            <v>D_Line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71.662999999999997</v>
          </cell>
          <cell r="Q124">
            <v>275.625</v>
          </cell>
          <cell r="R124">
            <v>320.51</v>
          </cell>
          <cell r="S124">
            <v>0</v>
          </cell>
          <cell r="T124">
            <v>0</v>
          </cell>
          <cell r="U124">
            <v>0</v>
          </cell>
          <cell r="V124">
            <v>667.798</v>
          </cell>
          <cell r="W124" t="str">
            <v>FN012138</v>
          </cell>
        </row>
        <row r="125">
          <cell r="F125" t="str">
            <v>D_Line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18.59</v>
          </cell>
          <cell r="Q125">
            <v>71.63</v>
          </cell>
          <cell r="R125">
            <v>2314</v>
          </cell>
          <cell r="S125">
            <v>179.79</v>
          </cell>
          <cell r="T125">
            <v>0</v>
          </cell>
          <cell r="U125">
            <v>0</v>
          </cell>
          <cell r="V125">
            <v>2584.0099999999998</v>
          </cell>
          <cell r="W125" t="str">
            <v>FN012138</v>
          </cell>
        </row>
        <row r="126">
          <cell r="F126" t="str">
            <v>D_Line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1728.623</v>
          </cell>
          <cell r="S126">
            <v>6648.549</v>
          </cell>
          <cell r="T126">
            <v>16656.001999999997</v>
          </cell>
          <cell r="U126">
            <v>0</v>
          </cell>
          <cell r="V126">
            <v>25033.173999999999</v>
          </cell>
          <cell r="W126" t="str">
            <v>FN012138</v>
          </cell>
        </row>
        <row r="127">
          <cell r="F127" t="str">
            <v>D_Line</v>
          </cell>
          <cell r="J127">
            <v>55.995320000000007</v>
          </cell>
          <cell r="K127">
            <v>0</v>
          </cell>
          <cell r="L127">
            <v>42.953629999999997</v>
          </cell>
          <cell r="M127">
            <v>103.64569</v>
          </cell>
          <cell r="N127">
            <v>2560.4735099999998</v>
          </cell>
          <cell r="O127">
            <v>8950.7709400000003</v>
          </cell>
          <cell r="P127">
            <v>2389.65236</v>
          </cell>
          <cell r="Q127">
            <v>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14106.49145</v>
          </cell>
          <cell r="W127" t="str">
            <v>FN011946</v>
          </cell>
        </row>
        <row r="128">
          <cell r="F128" t="str">
            <v>D_Station</v>
          </cell>
          <cell r="J128">
            <v>0</v>
          </cell>
          <cell r="K128">
            <v>0</v>
          </cell>
          <cell r="L128">
            <v>910.20887000000005</v>
          </cell>
          <cell r="M128">
            <v>920.20887000000005</v>
          </cell>
          <cell r="N128">
            <v>1319.46514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3149.8828800000001</v>
          </cell>
          <cell r="W128" t="str">
            <v>FN011946</v>
          </cell>
        </row>
        <row r="129">
          <cell r="F129" t="str">
            <v>D_Station</v>
          </cell>
          <cell r="J129">
            <v>2960.5587599999999</v>
          </cell>
          <cell r="K129">
            <v>1024.1930400000001</v>
          </cell>
          <cell r="L129">
            <v>1839.7106699999999</v>
          </cell>
          <cell r="M129">
            <v>2902.0350100000001</v>
          </cell>
          <cell r="N129">
            <v>16834.70348</v>
          </cell>
          <cell r="O129">
            <v>6477.2666099999997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32038.467570000001</v>
          </cell>
          <cell r="W129" t="str">
            <v>FN011946</v>
          </cell>
        </row>
        <row r="130"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</row>
        <row r="131">
          <cell r="F131" t="str">
            <v>D_Line</v>
          </cell>
          <cell r="J131">
            <v>0</v>
          </cell>
          <cell r="K131">
            <v>0</v>
          </cell>
          <cell r="L131">
            <v>433</v>
          </cell>
          <cell r="M131">
            <v>3645</v>
          </cell>
          <cell r="N131">
            <v>4653.9999900000003</v>
          </cell>
          <cell r="O131">
            <v>1425</v>
          </cell>
          <cell r="P131">
            <v>429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10585.99999</v>
          </cell>
          <cell r="W131" t="str">
            <v>FN014417</v>
          </cell>
        </row>
        <row r="132"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</row>
        <row r="133"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</row>
        <row r="134"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</row>
        <row r="135"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</row>
        <row r="136">
          <cell r="F136" t="str">
            <v>D_Line</v>
          </cell>
          <cell r="J136">
            <v>737.37907999999993</v>
          </cell>
          <cell r="K136">
            <v>1071.56313</v>
          </cell>
          <cell r="L136">
            <v>875.14034000000004</v>
          </cell>
          <cell r="M136">
            <v>505.81258000000008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3189.8951300000003</v>
          </cell>
          <cell r="W136" t="str">
            <v>FN011920</v>
          </cell>
        </row>
        <row r="137">
          <cell r="F137" t="str">
            <v>D_Station</v>
          </cell>
          <cell r="J137">
            <v>1183.2639200000001</v>
          </cell>
          <cell r="K137">
            <v>766.76334000000008</v>
          </cell>
          <cell r="L137">
            <v>1246.1692800000001</v>
          </cell>
          <cell r="M137">
            <v>526.53431999999998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3722.7308600000006</v>
          </cell>
          <cell r="W137" t="str">
            <v>FN011920</v>
          </cell>
        </row>
        <row r="138">
          <cell r="F138" t="str">
            <v>T_Station</v>
          </cell>
          <cell r="J138">
            <v>1781.8290000000002</v>
          </cell>
          <cell r="K138">
            <v>3596.76001</v>
          </cell>
          <cell r="L138">
            <v>4818.1360999999997</v>
          </cell>
          <cell r="M138">
            <v>25</v>
          </cell>
          <cell r="N138">
            <v>26.447679999999998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10248.172789999999</v>
          </cell>
          <cell r="W138" t="str">
            <v>FN008276</v>
          </cell>
        </row>
        <row r="139">
          <cell r="F139" t="str">
            <v>T_Line</v>
          </cell>
          <cell r="J139">
            <v>1305.0347999999999</v>
          </cell>
          <cell r="K139">
            <v>3256.4366500000001</v>
          </cell>
          <cell r="L139">
            <v>8577.2770099999998</v>
          </cell>
          <cell r="M139">
            <v>629.45583999999997</v>
          </cell>
          <cell r="N139">
            <v>25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13793.204299999999</v>
          </cell>
          <cell r="W139" t="str">
            <v>FN008276</v>
          </cell>
        </row>
        <row r="140">
          <cell r="F140" t="str">
            <v>D_Line</v>
          </cell>
          <cell r="J140">
            <v>0</v>
          </cell>
          <cell r="K140">
            <v>0</v>
          </cell>
          <cell r="L140">
            <v>0</v>
          </cell>
          <cell r="M140">
            <v>240</v>
          </cell>
          <cell r="N140">
            <v>940</v>
          </cell>
          <cell r="O140">
            <v>1090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2270</v>
          </cell>
          <cell r="W140" t="str">
            <v>FN011848</v>
          </cell>
        </row>
        <row r="141">
          <cell r="F141" t="str">
            <v>T_Station</v>
          </cell>
          <cell r="J141">
            <v>31088.247559999996</v>
          </cell>
          <cell r="K141">
            <v>24584.334999999999</v>
          </cell>
          <cell r="L141">
            <v>19142.543000000001</v>
          </cell>
          <cell r="M141">
            <v>6501.90283</v>
          </cell>
          <cell r="N141">
            <v>105.79088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81422.819270000007</v>
          </cell>
          <cell r="W141" t="str">
            <v>FN008276</v>
          </cell>
        </row>
        <row r="142"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</row>
        <row r="143"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</row>
        <row r="144"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</row>
        <row r="145">
          <cell r="F145" t="str">
            <v>T_Line</v>
          </cell>
          <cell r="J145">
            <v>143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110</v>
          </cell>
          <cell r="P145">
            <v>330</v>
          </cell>
          <cell r="Q145">
            <v>480</v>
          </cell>
          <cell r="R145">
            <v>7121</v>
          </cell>
          <cell r="S145">
            <v>7859</v>
          </cell>
          <cell r="T145">
            <v>0</v>
          </cell>
          <cell r="U145">
            <v>0</v>
          </cell>
          <cell r="V145">
            <v>16043</v>
          </cell>
          <cell r="W145" t="str">
            <v>FN008017</v>
          </cell>
        </row>
        <row r="146">
          <cell r="F146" t="str">
            <v>D_Line</v>
          </cell>
          <cell r="J146">
            <v>192.33851999999999</v>
          </cell>
          <cell r="K146">
            <v>190.71915999999999</v>
          </cell>
          <cell r="L146">
            <v>190.71915999999999</v>
          </cell>
          <cell r="M146">
            <v>143.79170999999999</v>
          </cell>
          <cell r="N146">
            <v>3338.6907900000001</v>
          </cell>
          <cell r="O146">
            <v>493.82065999999998</v>
          </cell>
          <cell r="P146">
            <v>85.389020000000002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4635.4690199999995</v>
          </cell>
          <cell r="W146" t="str">
            <v>FN006634</v>
          </cell>
        </row>
        <row r="147">
          <cell r="F147" t="str">
            <v>D_Station</v>
          </cell>
          <cell r="J147">
            <v>519.33879999999999</v>
          </cell>
          <cell r="K147">
            <v>210.8092</v>
          </cell>
          <cell r="L147">
            <v>803.23541999999998</v>
          </cell>
          <cell r="M147">
            <v>913.95478000000003</v>
          </cell>
          <cell r="N147">
            <v>334.69596000000001</v>
          </cell>
          <cell r="O147">
            <v>7189.8461500000003</v>
          </cell>
          <cell r="P147">
            <v>493.64819999999997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10465.52851</v>
          </cell>
          <cell r="W147" t="str">
            <v>FN006637</v>
          </cell>
        </row>
        <row r="148">
          <cell r="F148" t="str">
            <v>D_Line</v>
          </cell>
          <cell r="J148">
            <v>0</v>
          </cell>
          <cell r="K148">
            <v>80</v>
          </cell>
          <cell r="L148">
            <v>280</v>
          </cell>
          <cell r="M148">
            <v>720</v>
          </cell>
          <cell r="N148">
            <v>1000</v>
          </cell>
          <cell r="O148">
            <v>960</v>
          </cell>
          <cell r="P148">
            <v>20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3060</v>
          </cell>
          <cell r="W148" t="str">
            <v>FN014417</v>
          </cell>
        </row>
        <row r="149"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</row>
        <row r="150">
          <cell r="F150" t="str">
            <v>D_Station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121.551</v>
          </cell>
          <cell r="O150">
            <v>1616.623</v>
          </cell>
          <cell r="P150">
            <v>583.44299999999998</v>
          </cell>
          <cell r="Q150">
            <v>1442.4839999999999</v>
          </cell>
          <cell r="R150">
            <v>9579.1859999999997</v>
          </cell>
          <cell r="S150">
            <v>9579.1859999999997</v>
          </cell>
          <cell r="T150">
            <v>5793.8620000000001</v>
          </cell>
          <cell r="U150">
            <v>0</v>
          </cell>
          <cell r="V150">
            <v>28716.334999999999</v>
          </cell>
          <cell r="W150" t="str">
            <v>FN011440</v>
          </cell>
        </row>
        <row r="151"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</row>
        <row r="152"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</row>
        <row r="153"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</row>
        <row r="154"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</row>
        <row r="155"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</row>
        <row r="156">
          <cell r="F156" t="str">
            <v>D_Line</v>
          </cell>
          <cell r="J156">
            <v>13.808440000000001</v>
          </cell>
          <cell r="K156">
            <v>0</v>
          </cell>
          <cell r="L156">
            <v>191.75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205.55843999999999</v>
          </cell>
          <cell r="W156" t="str">
            <v>FN010312</v>
          </cell>
        </row>
        <row r="157"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</row>
        <row r="158"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</row>
        <row r="159">
          <cell r="F159" t="str">
            <v>D_Line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752.45600000000002</v>
          </cell>
          <cell r="O159">
            <v>2894.0630000000001</v>
          </cell>
          <cell r="P159">
            <v>3365.3589999999999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7011.8780000000006</v>
          </cell>
          <cell r="W159" t="str">
            <v>FN011976</v>
          </cell>
        </row>
        <row r="160">
          <cell r="F160" t="str">
            <v>D_Station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105</v>
          </cell>
          <cell r="O160">
            <v>1397</v>
          </cell>
          <cell r="P160">
            <v>504</v>
          </cell>
          <cell r="Q160">
            <v>1246</v>
          </cell>
          <cell r="R160">
            <v>577.5</v>
          </cell>
          <cell r="S160">
            <v>8275.0439999999999</v>
          </cell>
          <cell r="T160">
            <v>5004.9560000000001</v>
          </cell>
          <cell r="U160">
            <v>0</v>
          </cell>
          <cell r="V160">
            <v>17109.5</v>
          </cell>
          <cell r="W160" t="str">
            <v>FN011976</v>
          </cell>
        </row>
        <row r="161"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</row>
        <row r="162"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</row>
        <row r="163"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</row>
        <row r="164">
          <cell r="F164" t="str">
            <v>D_Line</v>
          </cell>
          <cell r="J164">
            <v>23.482839999999999</v>
          </cell>
          <cell r="K164">
            <v>164.3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187.78284000000002</v>
          </cell>
          <cell r="W164" t="str">
            <v>FN004729</v>
          </cell>
        </row>
        <row r="165">
          <cell r="F165" t="str">
            <v>D_Line</v>
          </cell>
          <cell r="J165">
            <v>38.409039999999997</v>
          </cell>
          <cell r="K165">
            <v>206.5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244.90904</v>
          </cell>
          <cell r="W165" t="str">
            <v>FN004723</v>
          </cell>
        </row>
        <row r="166">
          <cell r="F166" t="str">
            <v>D_Station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55</v>
          </cell>
          <cell r="P166">
            <v>1100</v>
          </cell>
          <cell r="Q166">
            <v>1100</v>
          </cell>
          <cell r="R166">
            <v>1600</v>
          </cell>
          <cell r="S166">
            <v>3400</v>
          </cell>
          <cell r="T166">
            <v>2049.9999999999995</v>
          </cell>
          <cell r="U166">
            <v>204.99999999999997</v>
          </cell>
          <cell r="V166">
            <v>9510</v>
          </cell>
          <cell r="W166" t="str">
            <v>FN010831</v>
          </cell>
        </row>
        <row r="167">
          <cell r="F167" t="str">
            <v>D_Line</v>
          </cell>
          <cell r="J167">
            <v>0</v>
          </cell>
          <cell r="K167">
            <v>0</v>
          </cell>
          <cell r="L167">
            <v>0</v>
          </cell>
          <cell r="M167">
            <v>35</v>
          </cell>
          <cell r="N167">
            <v>1000</v>
          </cell>
          <cell r="O167">
            <v>1000</v>
          </cell>
          <cell r="P167">
            <v>1000</v>
          </cell>
          <cell r="Q167">
            <v>1000</v>
          </cell>
          <cell r="R167">
            <v>1000</v>
          </cell>
          <cell r="S167">
            <v>0</v>
          </cell>
          <cell r="T167">
            <v>0</v>
          </cell>
          <cell r="U167">
            <v>0</v>
          </cell>
          <cell r="V167">
            <v>5035</v>
          </cell>
          <cell r="W167" t="str">
            <v>FN011042</v>
          </cell>
        </row>
        <row r="168">
          <cell r="F168" t="str">
            <v>D_Line</v>
          </cell>
          <cell r="J168">
            <v>144.65820000000002</v>
          </cell>
          <cell r="K168">
            <v>411.38833</v>
          </cell>
          <cell r="L168">
            <v>369.28735999999998</v>
          </cell>
          <cell r="M168">
            <v>25.976279999999999</v>
          </cell>
          <cell r="N168">
            <v>12.41985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963.73002000000008</v>
          </cell>
          <cell r="W168" t="str">
            <v>FN011939</v>
          </cell>
        </row>
        <row r="169">
          <cell r="F169" t="str">
            <v>D_Line</v>
          </cell>
          <cell r="J169">
            <v>241.57120000000003</v>
          </cell>
          <cell r="K169">
            <v>1433.3684599999999</v>
          </cell>
          <cell r="L169">
            <v>2321.09267</v>
          </cell>
          <cell r="M169">
            <v>2716.8456099999999</v>
          </cell>
          <cell r="N169">
            <v>1452.0935500000001</v>
          </cell>
          <cell r="O169">
            <v>189.37504999999999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8354.3465400000005</v>
          </cell>
          <cell r="W169" t="str">
            <v>FN011939</v>
          </cell>
        </row>
        <row r="170"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</row>
        <row r="171">
          <cell r="F171" t="str">
            <v>T_Station</v>
          </cell>
          <cell r="J171">
            <v>83.391480000000001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83.391480000000001</v>
          </cell>
          <cell r="W171" t="str">
            <v>FN008359</v>
          </cell>
        </row>
        <row r="172">
          <cell r="F172" t="str">
            <v>D_Line</v>
          </cell>
          <cell r="J172">
            <v>0</v>
          </cell>
          <cell r="K172">
            <v>0</v>
          </cell>
          <cell r="L172">
            <v>410</v>
          </cell>
          <cell r="M172">
            <v>1575</v>
          </cell>
          <cell r="N172">
            <v>6277</v>
          </cell>
          <cell r="O172">
            <v>401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8663</v>
          </cell>
          <cell r="W172" t="str">
            <v>FN011387A</v>
          </cell>
        </row>
        <row r="173"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</row>
        <row r="174"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</row>
        <row r="175">
          <cell r="F175" t="str">
            <v>T_Line</v>
          </cell>
          <cell r="J175">
            <v>33388.302840000004</v>
          </cell>
          <cell r="K175">
            <v>19183.415290000001</v>
          </cell>
          <cell r="L175">
            <v>14899.195530000001</v>
          </cell>
          <cell r="M175">
            <v>4170.2809999999999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71641.194660000008</v>
          </cell>
          <cell r="W175" t="str">
            <v>FN008347</v>
          </cell>
        </row>
        <row r="176">
          <cell r="F176" t="str">
            <v>D_Line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49.5</v>
          </cell>
          <cell r="Q176">
            <v>1642.41</v>
          </cell>
          <cell r="R176">
            <v>6317.19</v>
          </cell>
          <cell r="S176">
            <v>7346.79</v>
          </cell>
          <cell r="T176">
            <v>0</v>
          </cell>
          <cell r="U176">
            <v>0</v>
          </cell>
          <cell r="V176">
            <v>15355.89</v>
          </cell>
          <cell r="W176" t="str">
            <v>FN011971</v>
          </cell>
        </row>
        <row r="177">
          <cell r="F177" t="str">
            <v>T_Line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450</v>
          </cell>
          <cell r="V177">
            <v>450</v>
          </cell>
          <cell r="W177" t="str">
            <v>FN008061</v>
          </cell>
        </row>
        <row r="178"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</row>
        <row r="179"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</row>
        <row r="180"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</row>
        <row r="181">
          <cell r="F181" t="str">
            <v>T_Station</v>
          </cell>
          <cell r="J181">
            <v>1405.1071600000002</v>
          </cell>
          <cell r="K181">
            <v>750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2155.1071600000005</v>
          </cell>
          <cell r="W181" t="str">
            <v>FN011214</v>
          </cell>
        </row>
        <row r="182">
          <cell r="F182" t="str">
            <v>T_Station</v>
          </cell>
          <cell r="J182">
            <v>588.27380000000005</v>
          </cell>
          <cell r="K182">
            <v>0</v>
          </cell>
          <cell r="L182">
            <v>0</v>
          </cell>
          <cell r="M182">
            <v>6393.1740399999999</v>
          </cell>
          <cell r="N182">
            <v>4183.7388799999999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11165.18672</v>
          </cell>
          <cell r="W182" t="str">
            <v>FN010083</v>
          </cell>
        </row>
        <row r="183">
          <cell r="F183" t="str">
            <v>T_Station</v>
          </cell>
          <cell r="J183">
            <v>2071.39284</v>
          </cell>
          <cell r="K183">
            <v>419</v>
          </cell>
          <cell r="L183">
            <v>466.82094999999998</v>
          </cell>
          <cell r="M183">
            <v>1154.23324</v>
          </cell>
          <cell r="N183">
            <v>172.48671999999999</v>
          </cell>
          <cell r="O183">
            <v>113.3592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4397.2929499999991</v>
          </cell>
          <cell r="W183" t="str">
            <v>FN008359</v>
          </cell>
        </row>
        <row r="184">
          <cell r="F184" t="str">
            <v>D_Line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425.7</v>
          </cell>
          <cell r="R184">
            <v>1633.5</v>
          </cell>
          <cell r="S184">
            <v>1900.8</v>
          </cell>
          <cell r="T184">
            <v>0</v>
          </cell>
          <cell r="U184">
            <v>0</v>
          </cell>
          <cell r="V184">
            <v>3960</v>
          </cell>
          <cell r="W184" t="str">
            <v>FN011545</v>
          </cell>
        </row>
        <row r="185">
          <cell r="F185" t="str">
            <v>D_Line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250</v>
          </cell>
          <cell r="Q185">
            <v>1830</v>
          </cell>
          <cell r="R185">
            <v>1850</v>
          </cell>
          <cell r="S185">
            <v>1020</v>
          </cell>
          <cell r="T185">
            <v>0</v>
          </cell>
          <cell r="U185">
            <v>0</v>
          </cell>
          <cell r="V185">
            <v>4950</v>
          </cell>
          <cell r="W185" t="str">
            <v>FN011544</v>
          </cell>
        </row>
        <row r="186">
          <cell r="F186" t="str">
            <v>D_Line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425.7</v>
          </cell>
          <cell r="R186">
            <v>1633.5</v>
          </cell>
          <cell r="S186">
            <v>1900.8</v>
          </cell>
          <cell r="T186">
            <v>0</v>
          </cell>
          <cell r="U186">
            <v>0</v>
          </cell>
          <cell r="V186">
            <v>3960</v>
          </cell>
          <cell r="W186" t="str">
            <v>FN011543</v>
          </cell>
        </row>
        <row r="187">
          <cell r="F187" t="str">
            <v>D_Station</v>
          </cell>
          <cell r="J187">
            <v>5.5566800000000001</v>
          </cell>
          <cell r="K187">
            <v>69.999589999999998</v>
          </cell>
          <cell r="L187">
            <v>179.99979999999999</v>
          </cell>
          <cell r="M187">
            <v>479.99952000000002</v>
          </cell>
          <cell r="N187">
            <v>2320</v>
          </cell>
          <cell r="O187">
            <v>7250</v>
          </cell>
          <cell r="P187">
            <v>360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10665.55559</v>
          </cell>
          <cell r="W187" t="str">
            <v>FN000216A</v>
          </cell>
        </row>
        <row r="188">
          <cell r="F188" t="str">
            <v>D_Station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120.33499999999999</v>
          </cell>
          <cell r="R188">
            <v>1428.059</v>
          </cell>
          <cell r="S188">
            <v>9483.3940000000002</v>
          </cell>
          <cell r="T188">
            <v>9483.3940000000002</v>
          </cell>
          <cell r="U188">
            <v>5793.8620000000001</v>
          </cell>
          <cell r="V188">
            <v>26309.044000000002</v>
          </cell>
          <cell r="W188" t="str">
            <v>FN011402</v>
          </cell>
        </row>
        <row r="189">
          <cell r="F189" t="str">
            <v>T_Station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98</v>
          </cell>
          <cell r="P189">
            <v>1960</v>
          </cell>
          <cell r="Q189">
            <v>6860</v>
          </cell>
          <cell r="R189">
            <v>882</v>
          </cell>
          <cell r="S189">
            <v>0</v>
          </cell>
          <cell r="T189">
            <v>0</v>
          </cell>
          <cell r="U189">
            <v>0</v>
          </cell>
          <cell r="V189">
            <v>9800</v>
          </cell>
          <cell r="W189" t="str">
            <v>FN013189</v>
          </cell>
        </row>
        <row r="190"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</row>
        <row r="191"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</row>
        <row r="192">
          <cell r="F192" t="str">
            <v>T_Line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98</v>
          </cell>
          <cell r="R192">
            <v>882</v>
          </cell>
          <cell r="S192">
            <v>0</v>
          </cell>
          <cell r="T192">
            <v>0</v>
          </cell>
          <cell r="U192">
            <v>0</v>
          </cell>
          <cell r="V192">
            <v>980</v>
          </cell>
          <cell r="W192" t="str">
            <v>FN013188</v>
          </cell>
        </row>
        <row r="193"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</row>
        <row r="194">
          <cell r="F194" t="str">
            <v>D_Station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4</v>
          </cell>
          <cell r="O194">
            <v>12</v>
          </cell>
          <cell r="P194">
            <v>52</v>
          </cell>
          <cell r="Q194">
            <v>60</v>
          </cell>
          <cell r="R194">
            <v>250</v>
          </cell>
          <cell r="S194">
            <v>0</v>
          </cell>
          <cell r="T194">
            <v>0</v>
          </cell>
          <cell r="U194">
            <v>0</v>
          </cell>
          <cell r="V194">
            <v>378</v>
          </cell>
          <cell r="W194" t="str">
            <v>FN014323</v>
          </cell>
        </row>
        <row r="195">
          <cell r="F195" t="str">
            <v>T_Station</v>
          </cell>
          <cell r="J195">
            <v>20101.922760000001</v>
          </cell>
          <cell r="K195">
            <v>1445.99126</v>
          </cell>
          <cell r="L195">
            <v>1037.7853399999999</v>
          </cell>
          <cell r="M195">
            <v>141.94909000000001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22727.648449999997</v>
          </cell>
          <cell r="W195" t="str">
            <v>FN008471</v>
          </cell>
        </row>
        <row r="196">
          <cell r="F196" t="str">
            <v>T_Line</v>
          </cell>
          <cell r="J196">
            <v>21736.820479999998</v>
          </cell>
          <cell r="K196">
            <v>8569</v>
          </cell>
          <cell r="L196">
            <v>17197.51643</v>
          </cell>
          <cell r="M196">
            <v>12683.073119999999</v>
          </cell>
          <cell r="N196">
            <v>14812.79385</v>
          </cell>
          <cell r="O196">
            <v>131.72131999999999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75130.925199999998</v>
          </cell>
          <cell r="W196" t="str">
            <v>FN008359</v>
          </cell>
        </row>
        <row r="197"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</row>
        <row r="198">
          <cell r="F198" t="str">
            <v>D_Line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100</v>
          </cell>
          <cell r="P198">
            <v>500</v>
          </cell>
          <cell r="Q198">
            <v>5000</v>
          </cell>
          <cell r="R198">
            <v>2000</v>
          </cell>
          <cell r="S198">
            <v>100</v>
          </cell>
          <cell r="T198">
            <v>0</v>
          </cell>
          <cell r="U198">
            <v>0</v>
          </cell>
          <cell r="V198">
            <v>7700</v>
          </cell>
          <cell r="W198" t="str">
            <v>FN010022</v>
          </cell>
        </row>
        <row r="199">
          <cell r="F199" t="str">
            <v>D_Station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104</v>
          </cell>
          <cell r="U199">
            <v>1397</v>
          </cell>
          <cell r="V199">
            <v>1501</v>
          </cell>
          <cell r="W199" t="str">
            <v>FN011526</v>
          </cell>
        </row>
        <row r="200">
          <cell r="F200" t="str">
            <v>D_Line</v>
          </cell>
          <cell r="J200">
            <v>92.631839999999997</v>
          </cell>
          <cell r="K200">
            <v>492.76350000000002</v>
          </cell>
          <cell r="L200">
            <v>729.31403</v>
          </cell>
          <cell r="M200">
            <v>19.939920000000001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1334.6492900000001</v>
          </cell>
          <cell r="W200" t="str">
            <v>FN011939</v>
          </cell>
        </row>
        <row r="201">
          <cell r="F201" t="str">
            <v>D_Station</v>
          </cell>
          <cell r="J201">
            <v>9873.140159999999</v>
          </cell>
          <cell r="K201">
            <v>6407.1243099999983</v>
          </cell>
          <cell r="L201">
            <v>2741.8984099999998</v>
          </cell>
          <cell r="M201">
            <v>120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19142.162879999996</v>
          </cell>
          <cell r="W201" t="str">
            <v>FN011939</v>
          </cell>
        </row>
        <row r="202">
          <cell r="F202" t="str">
            <v>T_Line</v>
          </cell>
          <cell r="J202">
            <v>21630.842639999999</v>
          </cell>
          <cell r="K202">
            <v>8644</v>
          </cell>
          <cell r="L202">
            <v>17065.75316</v>
          </cell>
          <cell r="M202">
            <v>35434.486969999998</v>
          </cell>
          <cell r="N202">
            <v>3840.76181</v>
          </cell>
          <cell r="O202">
            <v>33.83296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86649.67753999999</v>
          </cell>
          <cell r="W202" t="str">
            <v>FN008359</v>
          </cell>
        </row>
        <row r="203">
          <cell r="F203" t="str">
            <v>D_Line</v>
          </cell>
          <cell r="J203">
            <v>0</v>
          </cell>
          <cell r="K203">
            <v>125.00000000000003</v>
          </cell>
          <cell r="L203">
            <v>250</v>
          </cell>
          <cell r="M203">
            <v>870</v>
          </cell>
          <cell r="N203">
            <v>5120</v>
          </cell>
          <cell r="O203">
            <v>5160</v>
          </cell>
          <cell r="P203">
            <v>500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12025</v>
          </cell>
          <cell r="W203" t="str">
            <v>FN012052</v>
          </cell>
        </row>
        <row r="204">
          <cell r="F204" t="str">
            <v>D_Station</v>
          </cell>
          <cell r="J204">
            <v>0</v>
          </cell>
          <cell r="K204">
            <v>1200</v>
          </cell>
          <cell r="L204">
            <v>1100</v>
          </cell>
          <cell r="M204">
            <v>2700</v>
          </cell>
          <cell r="N204">
            <v>7600</v>
          </cell>
          <cell r="O204">
            <v>6900</v>
          </cell>
          <cell r="P204">
            <v>1000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20500</v>
          </cell>
          <cell r="W204" t="str">
            <v>FN012051</v>
          </cell>
        </row>
        <row r="205"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</row>
        <row r="206">
          <cell r="F206" t="str">
            <v>T_Line</v>
          </cell>
          <cell r="J206">
            <v>0</v>
          </cell>
          <cell r="K206">
            <v>120</v>
          </cell>
          <cell r="L206">
            <v>220</v>
          </cell>
          <cell r="M206">
            <v>830</v>
          </cell>
          <cell r="N206">
            <v>4570</v>
          </cell>
          <cell r="O206">
            <v>4650</v>
          </cell>
          <cell r="P206">
            <v>500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10890</v>
          </cell>
          <cell r="W206" t="str">
            <v>FN012042</v>
          </cell>
        </row>
        <row r="207">
          <cell r="F207" t="str">
            <v>D_Line</v>
          </cell>
          <cell r="J207">
            <v>0</v>
          </cell>
          <cell r="K207">
            <v>120</v>
          </cell>
          <cell r="L207">
            <v>220</v>
          </cell>
          <cell r="M207">
            <v>1070</v>
          </cell>
          <cell r="N207">
            <v>7450</v>
          </cell>
          <cell r="O207">
            <v>1990</v>
          </cell>
          <cell r="P207">
            <v>500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11350</v>
          </cell>
          <cell r="W207" t="str">
            <v>FN012062</v>
          </cell>
        </row>
        <row r="208">
          <cell r="F208" t="str">
            <v>D_Station</v>
          </cell>
          <cell r="J208">
            <v>0</v>
          </cell>
          <cell r="K208">
            <v>2300</v>
          </cell>
          <cell r="L208">
            <v>850</v>
          </cell>
          <cell r="M208">
            <v>5100</v>
          </cell>
          <cell r="N208">
            <v>8500</v>
          </cell>
          <cell r="O208">
            <v>5300</v>
          </cell>
          <cell r="P208">
            <v>1000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23050</v>
          </cell>
          <cell r="W208" t="str">
            <v>FN012061</v>
          </cell>
        </row>
        <row r="209">
          <cell r="F209" t="str">
            <v>T_Line</v>
          </cell>
          <cell r="J209">
            <v>0</v>
          </cell>
          <cell r="K209">
            <v>120</v>
          </cell>
          <cell r="L209">
            <v>220</v>
          </cell>
          <cell r="M209">
            <v>890</v>
          </cell>
          <cell r="N209">
            <v>5380</v>
          </cell>
          <cell r="O209">
            <v>1470</v>
          </cell>
          <cell r="P209">
            <v>500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8580</v>
          </cell>
          <cell r="W209" t="str">
            <v>FN012047</v>
          </cell>
        </row>
        <row r="210">
          <cell r="F210" t="str">
            <v>D_Line</v>
          </cell>
          <cell r="J210">
            <v>0</v>
          </cell>
          <cell r="K210">
            <v>120</v>
          </cell>
          <cell r="L210">
            <v>220</v>
          </cell>
          <cell r="M210">
            <v>1580</v>
          </cell>
          <cell r="N210">
            <v>7150</v>
          </cell>
          <cell r="O210">
            <v>3040</v>
          </cell>
          <cell r="P210">
            <v>500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12610</v>
          </cell>
          <cell r="W210" t="str">
            <v>FN012057</v>
          </cell>
        </row>
        <row r="211">
          <cell r="F211" t="str">
            <v>D_Station</v>
          </cell>
          <cell r="J211">
            <v>0</v>
          </cell>
          <cell r="K211">
            <v>2300</v>
          </cell>
          <cell r="L211">
            <v>850</v>
          </cell>
          <cell r="M211">
            <v>5100</v>
          </cell>
          <cell r="N211">
            <v>7100</v>
          </cell>
          <cell r="O211">
            <v>5850</v>
          </cell>
          <cell r="P211">
            <v>1000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22200</v>
          </cell>
          <cell r="W211" t="str">
            <v>FN012055</v>
          </cell>
        </row>
        <row r="212">
          <cell r="F212" t="str">
            <v>T_Line</v>
          </cell>
          <cell r="J212">
            <v>0</v>
          </cell>
          <cell r="K212">
            <v>120</v>
          </cell>
          <cell r="L212">
            <v>220</v>
          </cell>
          <cell r="M212">
            <v>1070</v>
          </cell>
          <cell r="N212">
            <v>3750</v>
          </cell>
          <cell r="O212">
            <v>4500</v>
          </cell>
          <cell r="P212">
            <v>750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10410</v>
          </cell>
          <cell r="W212" t="str">
            <v>FN012044</v>
          </cell>
        </row>
        <row r="213">
          <cell r="F213" t="str">
            <v>T_Line</v>
          </cell>
          <cell r="J213">
            <v>0</v>
          </cell>
          <cell r="K213">
            <v>120</v>
          </cell>
          <cell r="L213">
            <v>220</v>
          </cell>
          <cell r="M213">
            <v>740</v>
          </cell>
          <cell r="N213">
            <v>3580</v>
          </cell>
          <cell r="O213">
            <v>1020</v>
          </cell>
          <cell r="P213">
            <v>500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6180</v>
          </cell>
          <cell r="W213" t="str">
            <v>FN012050</v>
          </cell>
        </row>
        <row r="214">
          <cell r="F214" t="str">
            <v>D_Line</v>
          </cell>
          <cell r="J214">
            <v>0</v>
          </cell>
          <cell r="K214">
            <v>120</v>
          </cell>
          <cell r="L214">
            <v>275</v>
          </cell>
          <cell r="M214">
            <v>1190</v>
          </cell>
          <cell r="N214">
            <v>5700</v>
          </cell>
          <cell r="O214">
            <v>5750</v>
          </cell>
          <cell r="P214">
            <v>500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13535</v>
          </cell>
          <cell r="W214" t="str">
            <v>FN012048</v>
          </cell>
        </row>
        <row r="215">
          <cell r="F215" t="str">
            <v>D_Station</v>
          </cell>
          <cell r="J215">
            <v>0</v>
          </cell>
          <cell r="K215">
            <v>2300</v>
          </cell>
          <cell r="L215">
            <v>850</v>
          </cell>
          <cell r="M215">
            <v>5100</v>
          </cell>
          <cell r="N215">
            <v>7670</v>
          </cell>
          <cell r="O215">
            <v>5850</v>
          </cell>
          <cell r="P215">
            <v>1000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22770</v>
          </cell>
          <cell r="W215" t="str">
            <v>FN012041</v>
          </cell>
        </row>
        <row r="216">
          <cell r="F216" t="str">
            <v>T_Line</v>
          </cell>
          <cell r="J216">
            <v>0</v>
          </cell>
          <cell r="K216">
            <v>120</v>
          </cell>
          <cell r="L216">
            <v>175</v>
          </cell>
          <cell r="M216">
            <v>950</v>
          </cell>
          <cell r="N216">
            <v>2850</v>
          </cell>
          <cell r="O216">
            <v>2100</v>
          </cell>
          <cell r="P216">
            <v>500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6695</v>
          </cell>
          <cell r="W216" t="str">
            <v>FN012039</v>
          </cell>
        </row>
        <row r="217">
          <cell r="F217" t="str">
            <v>D_Station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110.25</v>
          </cell>
          <cell r="U217">
            <v>1466.325</v>
          </cell>
          <cell r="V217">
            <v>1576.575</v>
          </cell>
          <cell r="W217" t="str">
            <v>FN014033</v>
          </cell>
        </row>
        <row r="218">
          <cell r="F218" t="str">
            <v>D_Line</v>
          </cell>
          <cell r="J218">
            <v>212.81384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798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1010.81384</v>
          </cell>
          <cell r="W218" t="str">
            <v>FN013818</v>
          </cell>
        </row>
        <row r="219"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</row>
        <row r="220">
          <cell r="F220" t="str">
            <v>D_Line</v>
          </cell>
          <cell r="J220">
            <v>245.30828</v>
          </cell>
          <cell r="K220">
            <v>78.511439999999993</v>
          </cell>
          <cell r="L220">
            <v>2903.53773</v>
          </cell>
          <cell r="M220">
            <v>2792.8310900000001</v>
          </cell>
          <cell r="N220">
            <v>2968.61906</v>
          </cell>
          <cell r="O220">
            <v>956.12687000000005</v>
          </cell>
          <cell r="P220">
            <v>222.71655999999999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10167.651030000001</v>
          </cell>
          <cell r="W220" t="str">
            <v>FN005770</v>
          </cell>
        </row>
        <row r="221">
          <cell r="F221" t="str">
            <v>D_Station</v>
          </cell>
          <cell r="J221">
            <v>6299.0104799999999</v>
          </cell>
          <cell r="K221">
            <v>5431.9237400000002</v>
          </cell>
          <cell r="L221">
            <v>6446.3457900000003</v>
          </cell>
          <cell r="M221">
            <v>6862.6135299999996</v>
          </cell>
          <cell r="N221">
            <v>3802.4157999999998</v>
          </cell>
          <cell r="O221">
            <v>2441.1690699999999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31283.478409999996</v>
          </cell>
          <cell r="W221" t="str">
            <v>FN005770</v>
          </cell>
        </row>
        <row r="222">
          <cell r="F222" t="str">
            <v>D_Line</v>
          </cell>
          <cell r="J222">
            <v>158.74160000000001</v>
          </cell>
          <cell r="K222">
            <v>0</v>
          </cell>
          <cell r="L222">
            <v>0</v>
          </cell>
          <cell r="M222">
            <v>24</v>
          </cell>
          <cell r="N222">
            <v>1900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2082.7415999999998</v>
          </cell>
          <cell r="W222" t="str">
            <v>FN000459</v>
          </cell>
        </row>
        <row r="223">
          <cell r="F223" t="str">
            <v>D_Station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153.58199999999999</v>
          </cell>
          <cell r="T223">
            <v>2032.2400000000002</v>
          </cell>
          <cell r="U223">
            <v>1179.3340000000001</v>
          </cell>
          <cell r="V223">
            <v>3365.1559999999999</v>
          </cell>
          <cell r="W223" t="str">
            <v>FN011347</v>
          </cell>
        </row>
        <row r="224">
          <cell r="F224" t="str">
            <v>T_Line</v>
          </cell>
          <cell r="J224">
            <v>127.24636000000001</v>
          </cell>
          <cell r="K224">
            <v>231.38064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358.62700000000001</v>
          </cell>
          <cell r="W224" t="str">
            <v>FN008333</v>
          </cell>
        </row>
        <row r="225">
          <cell r="F225" t="str">
            <v>D_Line</v>
          </cell>
          <cell r="J225">
            <v>0</v>
          </cell>
          <cell r="K225">
            <v>0</v>
          </cell>
          <cell r="L225">
            <v>15</v>
          </cell>
          <cell r="M225">
            <v>338.46152000000001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353.46152000000001</v>
          </cell>
          <cell r="W225" t="str">
            <v>FN006171</v>
          </cell>
        </row>
        <row r="226">
          <cell r="J226"/>
          <cell r="K226"/>
          <cell r="L226"/>
          <cell r="M226"/>
          <cell r="N226"/>
          <cell r="O226"/>
          <cell r="P226"/>
          <cell r="Q226"/>
          <cell r="R226"/>
          <cell r="S226"/>
          <cell r="T226"/>
          <cell r="U226"/>
          <cell r="V226"/>
        </row>
        <row r="227"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</row>
        <row r="228">
          <cell r="F228" t="str">
            <v>T_Line</v>
          </cell>
          <cell r="J228">
            <v>1558.1163200000001</v>
          </cell>
          <cell r="K228">
            <v>954.58321000000001</v>
          </cell>
          <cell r="L228">
            <v>1239.44517</v>
          </cell>
          <cell r="M228">
            <v>146.65603999999999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3898.8007399999997</v>
          </cell>
          <cell r="W228" t="str">
            <v>FN010064</v>
          </cell>
        </row>
        <row r="229"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</row>
        <row r="230">
          <cell r="F230" t="str">
            <v>D_Line</v>
          </cell>
          <cell r="J230">
            <v>0</v>
          </cell>
          <cell r="K230">
            <v>0</v>
          </cell>
          <cell r="L230">
            <v>350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350</v>
          </cell>
          <cell r="W230" t="str">
            <v>FN014455</v>
          </cell>
        </row>
        <row r="231">
          <cell r="F231" t="str">
            <v>T_Line</v>
          </cell>
          <cell r="J231">
            <v>1296.20164</v>
          </cell>
          <cell r="K231">
            <v>250</v>
          </cell>
          <cell r="L231">
            <v>500</v>
          </cell>
          <cell r="M231">
            <v>500</v>
          </cell>
          <cell r="N231">
            <v>5000</v>
          </cell>
          <cell r="O231">
            <v>20000</v>
          </cell>
          <cell r="P231">
            <v>4295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31841.201639999999</v>
          </cell>
          <cell r="W231" t="str">
            <v>FN008052</v>
          </cell>
        </row>
        <row r="232">
          <cell r="F232" t="str">
            <v>D_Line</v>
          </cell>
          <cell r="J232">
            <v>96.616320000000002</v>
          </cell>
          <cell r="K232">
            <v>2175.8181199999999</v>
          </cell>
          <cell r="L232">
            <v>3632.90247</v>
          </cell>
          <cell r="M232">
            <v>1176.03755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7081.37446</v>
          </cell>
          <cell r="W232" t="str">
            <v>FN005770</v>
          </cell>
        </row>
        <row r="233">
          <cell r="F233" t="str">
            <v>D_Station</v>
          </cell>
          <cell r="J233">
            <v>4074.51208</v>
          </cell>
          <cell r="K233">
            <v>1374.04348</v>
          </cell>
          <cell r="L233">
            <v>2726.3483299999998</v>
          </cell>
          <cell r="M233">
            <v>1749.5206599999999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9924.4245499999997</v>
          </cell>
          <cell r="W233" t="str">
            <v>FN005770</v>
          </cell>
        </row>
        <row r="234">
          <cell r="F234" t="str">
            <v>T_Station</v>
          </cell>
          <cell r="J234">
            <v>9549.8041199999989</v>
          </cell>
          <cell r="K234">
            <v>1829.4416799999999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11379.245799999999</v>
          </cell>
          <cell r="W234" t="str">
            <v>FN010064</v>
          </cell>
        </row>
        <row r="235"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</row>
        <row r="236"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</row>
        <row r="237"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</row>
        <row r="238">
          <cell r="F238" t="str">
            <v>D_Line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323.34100000000001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323.34100000000001</v>
          </cell>
          <cell r="W238" t="str">
            <v>FN014033</v>
          </cell>
        </row>
        <row r="239">
          <cell r="F239" t="str">
            <v>D_Station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128</v>
          </cell>
          <cell r="R239">
            <v>1672</v>
          </cell>
          <cell r="S239">
            <v>970.00000000000023</v>
          </cell>
          <cell r="T239">
            <v>3526</v>
          </cell>
          <cell r="U239">
            <v>3409</v>
          </cell>
          <cell r="V239">
            <v>9705</v>
          </cell>
          <cell r="W239" t="str">
            <v>FN013397</v>
          </cell>
        </row>
        <row r="240">
          <cell r="F240" t="str">
            <v>D_Line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100</v>
          </cell>
          <cell r="R240">
            <v>3573.5879999999997</v>
          </cell>
          <cell r="S240">
            <v>3199.0130000000004</v>
          </cell>
          <cell r="T240">
            <v>3199.0130000000004</v>
          </cell>
          <cell r="U240">
            <v>3199.0130000000004</v>
          </cell>
          <cell r="V240">
            <v>13270.627000000002</v>
          </cell>
          <cell r="W240" t="str">
            <v>FN013415</v>
          </cell>
        </row>
        <row r="241"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</row>
        <row r="242"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</row>
        <row r="243"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</row>
        <row r="244">
          <cell r="F244" t="str">
            <v>D_Station</v>
          </cell>
          <cell r="J244">
            <v>905.82092</v>
          </cell>
          <cell r="K244">
            <v>238.01226</v>
          </cell>
          <cell r="L244">
            <v>661.80372</v>
          </cell>
          <cell r="M244">
            <v>774.36072000000001</v>
          </cell>
          <cell r="N244">
            <v>5342.7645000000002</v>
          </cell>
          <cell r="O244">
            <v>5745.6471899999997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13668.409309999999</v>
          </cell>
          <cell r="W244" t="str">
            <v>FN000195A</v>
          </cell>
        </row>
        <row r="245">
          <cell r="F245" t="str">
            <v>D_Station</v>
          </cell>
          <cell r="J245">
            <v>0</v>
          </cell>
          <cell r="K245">
            <v>0</v>
          </cell>
          <cell r="L245">
            <v>0</v>
          </cell>
          <cell r="M245">
            <v>136.5</v>
          </cell>
          <cell r="N245">
            <v>525</v>
          </cell>
          <cell r="O245">
            <v>2382.6080000000002</v>
          </cell>
          <cell r="P245">
            <v>2378.8609999999999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5422.9690000000001</v>
          </cell>
          <cell r="W245" t="str">
            <v>FN011476</v>
          </cell>
        </row>
        <row r="246">
          <cell r="F246" t="str">
            <v>T_Station</v>
          </cell>
          <cell r="J246">
            <v>15823.41676</v>
          </cell>
          <cell r="K246">
            <v>10420.627109999999</v>
          </cell>
          <cell r="L246">
            <v>9972.87255</v>
          </cell>
          <cell r="M246">
            <v>780.98818000000006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36997.904600000002</v>
          </cell>
          <cell r="W246" t="str">
            <v>FN010064</v>
          </cell>
        </row>
        <row r="247">
          <cell r="J247"/>
          <cell r="K247"/>
          <cell r="L247"/>
          <cell r="M247"/>
          <cell r="N247"/>
          <cell r="O247"/>
          <cell r="P247"/>
          <cell r="Q247"/>
          <cell r="R247"/>
          <cell r="S247"/>
          <cell r="T247"/>
          <cell r="U247"/>
          <cell r="V247"/>
        </row>
        <row r="248">
          <cell r="F248" t="str">
            <v>D_Station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105</v>
          </cell>
          <cell r="O248">
            <v>1396.5</v>
          </cell>
          <cell r="P248">
            <v>504</v>
          </cell>
          <cell r="Q248">
            <v>4408.8220000000001</v>
          </cell>
          <cell r="R248">
            <v>11227.861000000001</v>
          </cell>
          <cell r="S248">
            <v>11227.861000000001</v>
          </cell>
          <cell r="T248">
            <v>1186.2060000000001</v>
          </cell>
          <cell r="U248">
            <v>0</v>
          </cell>
          <cell r="V248">
            <v>30056.25</v>
          </cell>
          <cell r="W248" t="str">
            <v>FN011422</v>
          </cell>
        </row>
        <row r="249"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</row>
        <row r="250"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</row>
        <row r="251">
          <cell r="F251" t="str">
            <v>D_Line</v>
          </cell>
          <cell r="J251">
            <v>0</v>
          </cell>
          <cell r="K251">
            <v>0</v>
          </cell>
          <cell r="L251">
            <v>0</v>
          </cell>
          <cell r="M251">
            <v>128</v>
          </cell>
          <cell r="N251">
            <v>1059</v>
          </cell>
          <cell r="O251">
            <v>1583</v>
          </cell>
          <cell r="P251">
            <v>2834</v>
          </cell>
          <cell r="Q251">
            <v>3971</v>
          </cell>
          <cell r="R251">
            <v>100</v>
          </cell>
          <cell r="S251">
            <v>0</v>
          </cell>
          <cell r="T251">
            <v>0</v>
          </cell>
          <cell r="U251">
            <v>0</v>
          </cell>
          <cell r="V251">
            <v>9675</v>
          </cell>
          <cell r="W251" t="str">
            <v>FN011970</v>
          </cell>
        </row>
        <row r="252">
          <cell r="F252" t="str">
            <v>D_Station</v>
          </cell>
          <cell r="J252">
            <v>3862.6606000000002</v>
          </cell>
          <cell r="K252">
            <v>1060.0964300000001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288.59230000000002</v>
          </cell>
          <cell r="Q252">
            <v>3519.6129599999999</v>
          </cell>
          <cell r="R252">
            <v>1893.6632500000001</v>
          </cell>
          <cell r="S252">
            <v>0</v>
          </cell>
          <cell r="T252">
            <v>0</v>
          </cell>
          <cell r="U252">
            <v>0</v>
          </cell>
          <cell r="V252">
            <v>10624.625540000001</v>
          </cell>
          <cell r="W252" t="str">
            <v>FN002240</v>
          </cell>
        </row>
        <row r="253">
          <cell r="F253" t="str">
            <v>D_Station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116</v>
          </cell>
          <cell r="R253">
            <v>1540</v>
          </cell>
          <cell r="S253">
            <v>556</v>
          </cell>
          <cell r="T253">
            <v>1374</v>
          </cell>
          <cell r="U253">
            <v>9123</v>
          </cell>
          <cell r="V253">
            <v>12709</v>
          </cell>
          <cell r="W253" t="str">
            <v>FN011384</v>
          </cell>
        </row>
        <row r="254"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</row>
        <row r="255"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</row>
        <row r="256"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</row>
        <row r="257">
          <cell r="F257" t="str">
            <v>D_Line</v>
          </cell>
          <cell r="J257">
            <v>0</v>
          </cell>
          <cell r="K257">
            <v>15</v>
          </cell>
          <cell r="L257">
            <v>0</v>
          </cell>
          <cell r="M257">
            <v>2169.9280600000002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2184.9280600000002</v>
          </cell>
          <cell r="W257" t="str">
            <v>FN006457</v>
          </cell>
        </row>
        <row r="258"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</row>
        <row r="259"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</row>
        <row r="260">
          <cell r="F260" t="str">
            <v>D_Station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100</v>
          </cell>
          <cell r="S260">
            <v>1330</v>
          </cell>
          <cell r="T260">
            <v>480</v>
          </cell>
          <cell r="U260">
            <v>1341.7349999999999</v>
          </cell>
          <cell r="V260">
            <v>3251.7349999999997</v>
          </cell>
          <cell r="W260" t="str">
            <v>FN011442</v>
          </cell>
        </row>
        <row r="261">
          <cell r="F261" t="str">
            <v>D_Line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1009</v>
          </cell>
          <cell r="T261">
            <v>3878</v>
          </cell>
          <cell r="U261">
            <v>4510.0000000000009</v>
          </cell>
          <cell r="V261">
            <v>9397</v>
          </cell>
          <cell r="W261" t="str">
            <v>FN011527</v>
          </cell>
        </row>
        <row r="262">
          <cell r="F262" t="str">
            <v>D_Station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134</v>
          </cell>
          <cell r="Q262">
            <v>2425</v>
          </cell>
          <cell r="R262">
            <v>3798</v>
          </cell>
          <cell r="S262">
            <v>10054</v>
          </cell>
          <cell r="T262">
            <v>14054</v>
          </cell>
          <cell r="U262">
            <v>7895.0000000000018</v>
          </cell>
          <cell r="V262">
            <v>38360</v>
          </cell>
          <cell r="W262" t="str">
            <v>FN011527</v>
          </cell>
        </row>
        <row r="263"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</row>
        <row r="264">
          <cell r="F264" t="str">
            <v>T_Line</v>
          </cell>
          <cell r="J264">
            <v>981.36724000000004</v>
          </cell>
          <cell r="K264">
            <v>215.21187</v>
          </cell>
          <cell r="L264">
            <v>2486.2248599999998</v>
          </cell>
          <cell r="M264">
            <v>4192.1436400000002</v>
          </cell>
          <cell r="N264">
            <v>2367.4029999999998</v>
          </cell>
          <cell r="O264">
            <v>21.158200000000001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10263.508809999999</v>
          </cell>
          <cell r="W264" t="str">
            <v>FN008276</v>
          </cell>
        </row>
        <row r="265">
          <cell r="F265" t="str">
            <v>T_Station</v>
          </cell>
          <cell r="J265">
            <v>0.40960000000000008</v>
          </cell>
          <cell r="K265">
            <v>2112.9275400000001</v>
          </cell>
          <cell r="L265">
            <v>4225.8550800000003</v>
          </cell>
          <cell r="M265">
            <v>704.30898999999999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7043.5012100000004</v>
          </cell>
          <cell r="W265" t="str">
            <v>FN008276</v>
          </cell>
        </row>
        <row r="266">
          <cell r="F266" t="str">
            <v>T_Station</v>
          </cell>
          <cell r="J266">
            <v>32.797959999999996</v>
          </cell>
          <cell r="K266">
            <v>19.88</v>
          </cell>
          <cell r="L266">
            <v>238.19962000000001</v>
          </cell>
          <cell r="M266">
            <v>19.82</v>
          </cell>
          <cell r="N266">
            <v>19.820150000000002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330.51773000000003</v>
          </cell>
          <cell r="W266" t="str">
            <v>FN008276</v>
          </cell>
        </row>
        <row r="267">
          <cell r="F267" t="str">
            <v>T_Station</v>
          </cell>
          <cell r="J267">
            <v>11185.77104</v>
          </cell>
          <cell r="K267">
            <v>3803.04925</v>
          </cell>
          <cell r="L267">
            <v>16590.060160000001</v>
          </cell>
          <cell r="M267">
            <v>26338.96688</v>
          </cell>
          <cell r="N267">
            <v>21506.710200000001</v>
          </cell>
          <cell r="O267">
            <v>510.57907999999998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79935.136610000001</v>
          </cell>
          <cell r="W267" t="str">
            <v>FN008276</v>
          </cell>
        </row>
        <row r="268">
          <cell r="J268"/>
          <cell r="K268"/>
          <cell r="L268"/>
          <cell r="M268"/>
          <cell r="N268"/>
          <cell r="O268"/>
          <cell r="P268"/>
          <cell r="Q268"/>
          <cell r="R268"/>
          <cell r="S268"/>
          <cell r="T268"/>
          <cell r="U268"/>
          <cell r="V268"/>
        </row>
        <row r="269"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</row>
        <row r="270">
          <cell r="F270" t="str">
            <v>D_Line</v>
          </cell>
          <cell r="J270">
            <v>191.95903999999999</v>
          </cell>
          <cell r="K270">
            <v>733.96507999999994</v>
          </cell>
          <cell r="L270">
            <v>806.88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1732.8041199999998</v>
          </cell>
          <cell r="W270" t="str">
            <v>FN002374</v>
          </cell>
        </row>
        <row r="271">
          <cell r="F271" t="str">
            <v>D_Station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134.01</v>
          </cell>
          <cell r="Q271">
            <v>1782.327</v>
          </cell>
          <cell r="R271">
            <v>2233.2460000000001</v>
          </cell>
          <cell r="S271">
            <v>8561.0529999999999</v>
          </cell>
          <cell r="T271">
            <v>12561.053</v>
          </cell>
          <cell r="U271">
            <v>6387.7329999999984</v>
          </cell>
          <cell r="V271">
            <v>31659.421999999999</v>
          </cell>
          <cell r="W271" t="str">
            <v>FN011445</v>
          </cell>
        </row>
        <row r="272">
          <cell r="J272"/>
          <cell r="K272"/>
          <cell r="L272"/>
          <cell r="M272"/>
          <cell r="N272"/>
          <cell r="O272"/>
          <cell r="P272"/>
          <cell r="Q272"/>
          <cell r="R272"/>
          <cell r="S272"/>
          <cell r="T272"/>
          <cell r="U272"/>
          <cell r="V272"/>
        </row>
        <row r="273"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</row>
        <row r="274">
          <cell r="F274" t="str">
            <v>D_Station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139.303</v>
          </cell>
          <cell r="U274">
            <v>1852.73</v>
          </cell>
          <cell r="V274">
            <v>1992.0329999999999</v>
          </cell>
          <cell r="W274" t="str">
            <v>FN011353</v>
          </cell>
        </row>
        <row r="275">
          <cell r="F275" t="str">
            <v>T_Line</v>
          </cell>
          <cell r="J275">
            <v>2672.9128000000001</v>
          </cell>
          <cell r="K275">
            <v>7613.86265</v>
          </cell>
          <cell r="L275">
            <v>3446.41896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13733.19441</v>
          </cell>
          <cell r="W275" t="str">
            <v>FN010080</v>
          </cell>
        </row>
        <row r="276">
          <cell r="F276" t="str">
            <v>T_Station</v>
          </cell>
          <cell r="J276">
            <v>7470.9739200000004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250</v>
          </cell>
          <cell r="P276">
            <v>3506.0000399999999</v>
          </cell>
          <cell r="Q276">
            <v>5634</v>
          </cell>
          <cell r="R276">
            <v>4899.7020400000001</v>
          </cell>
          <cell r="S276">
            <v>0</v>
          </cell>
          <cell r="T276">
            <v>0</v>
          </cell>
          <cell r="U276">
            <v>0</v>
          </cell>
          <cell r="V276">
            <v>21760.675999999999</v>
          </cell>
          <cell r="W276" t="str">
            <v>FN011215</v>
          </cell>
        </row>
        <row r="277">
          <cell r="F277" t="str">
            <v>T_Station</v>
          </cell>
          <cell r="J277">
            <v>11533.273559999998</v>
          </cell>
          <cell r="K277">
            <v>6065.58385</v>
          </cell>
          <cell r="L277">
            <v>2241.0649400000002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19839.922349999997</v>
          </cell>
          <cell r="W277" t="str">
            <v>FN010078</v>
          </cell>
        </row>
        <row r="278">
          <cell r="F278" t="str">
            <v>D_Station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155.13300000000001</v>
          </cell>
          <cell r="T278">
            <v>2063.2670000000003</v>
          </cell>
          <cell r="U278">
            <v>744.63800000000015</v>
          </cell>
          <cell r="V278">
            <v>2963.0380000000005</v>
          </cell>
          <cell r="W278" t="str">
            <v>FN014119</v>
          </cell>
        </row>
        <row r="279">
          <cell r="F279" t="str">
            <v>T_Station</v>
          </cell>
          <cell r="J279">
            <v>11251.651</v>
          </cell>
          <cell r="K279">
            <v>1775.8586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13027.509599999999</v>
          </cell>
          <cell r="W279" t="str">
            <v>FN010080</v>
          </cell>
        </row>
        <row r="280"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</row>
        <row r="281">
          <cell r="F281" t="str">
            <v>D_Line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1660</v>
          </cell>
          <cell r="P281">
            <v>6381</v>
          </cell>
          <cell r="Q281">
            <v>9605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17646</v>
          </cell>
          <cell r="W281" t="str">
            <v>FN011417</v>
          </cell>
        </row>
        <row r="282">
          <cell r="F282" t="str">
            <v>D_Line</v>
          </cell>
          <cell r="J282">
            <v>77.757600000000011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706.0933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783.85090000000002</v>
          </cell>
          <cell r="W282" t="str">
            <v>FN010667</v>
          </cell>
        </row>
        <row r="283"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</row>
        <row r="284">
          <cell r="F284" t="str">
            <v>D_Line</v>
          </cell>
          <cell r="J284">
            <v>44.910240000000002</v>
          </cell>
          <cell r="K284">
            <v>126.21675</v>
          </cell>
          <cell r="L284">
            <v>0</v>
          </cell>
          <cell r="M284">
            <v>3310.6711700000001</v>
          </cell>
          <cell r="N284">
            <v>1621.10502</v>
          </cell>
          <cell r="O284">
            <v>842.07964000000004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5944.9828200000002</v>
          </cell>
          <cell r="W284" t="str">
            <v>FN011010</v>
          </cell>
        </row>
        <row r="285">
          <cell r="F285" t="str">
            <v>D_Station</v>
          </cell>
          <cell r="J285">
            <v>11.579000000000001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439.12700000000001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450.70600000000002</v>
          </cell>
          <cell r="W285" t="str">
            <v>FN011010</v>
          </cell>
        </row>
        <row r="286">
          <cell r="F286" t="str">
            <v>T_Station</v>
          </cell>
          <cell r="J286">
            <v>638.51328000000001</v>
          </cell>
          <cell r="K286">
            <v>1255.5733600000001</v>
          </cell>
          <cell r="L286">
            <v>3350.1012000000001</v>
          </cell>
          <cell r="M286">
            <v>3500</v>
          </cell>
          <cell r="N286">
            <v>5430.0049200000003</v>
          </cell>
          <cell r="O286">
            <v>5131.1112000000003</v>
          </cell>
          <cell r="P286">
            <v>14615.509840000001</v>
          </cell>
          <cell r="Q286">
            <v>22889</v>
          </cell>
          <cell r="R286">
            <v>21837</v>
          </cell>
          <cell r="S286">
            <v>17132</v>
          </cell>
          <cell r="T286">
            <v>17946</v>
          </cell>
          <cell r="U286">
            <v>0</v>
          </cell>
          <cell r="V286">
            <v>113724.8138</v>
          </cell>
          <cell r="W286" t="str">
            <v>FN010094</v>
          </cell>
        </row>
        <row r="287">
          <cell r="F287" t="str">
            <v>T_Line</v>
          </cell>
          <cell r="J287">
            <v>86.122039999999998</v>
          </cell>
          <cell r="K287">
            <v>528.95452</v>
          </cell>
          <cell r="L287">
            <v>250</v>
          </cell>
          <cell r="M287">
            <v>250</v>
          </cell>
          <cell r="N287">
            <v>3801</v>
          </cell>
          <cell r="O287">
            <v>5340</v>
          </cell>
          <cell r="P287">
            <v>5059</v>
          </cell>
          <cell r="Q287">
            <v>5497</v>
          </cell>
          <cell r="R287">
            <v>1924</v>
          </cell>
          <cell r="S287">
            <v>1924</v>
          </cell>
          <cell r="T287">
            <v>0</v>
          </cell>
          <cell r="U287">
            <v>0</v>
          </cell>
          <cell r="V287">
            <v>24660.076560000001</v>
          </cell>
          <cell r="W287" t="str">
            <v>FN010094</v>
          </cell>
        </row>
        <row r="288">
          <cell r="F288" t="str">
            <v>D_Line</v>
          </cell>
          <cell r="J288">
            <v>1418.4273599999999</v>
          </cell>
          <cell r="K288">
            <v>750</v>
          </cell>
          <cell r="L288">
            <v>749.42996000000005</v>
          </cell>
          <cell r="M288">
            <v>749.74728000000005</v>
          </cell>
          <cell r="N288">
            <v>14994.63744</v>
          </cell>
          <cell r="O288">
            <v>28990.2268</v>
          </cell>
          <cell r="P288">
            <v>21991.3338</v>
          </cell>
          <cell r="Q288">
            <v>25000</v>
          </cell>
          <cell r="R288">
            <v>30000</v>
          </cell>
          <cell r="S288">
            <v>30000</v>
          </cell>
          <cell r="T288">
            <v>10000</v>
          </cell>
          <cell r="U288">
            <v>0</v>
          </cell>
          <cell r="V288">
            <v>164643.80264000001</v>
          </cell>
          <cell r="W288" t="str">
            <v>FN010094</v>
          </cell>
        </row>
        <row r="289">
          <cell r="F289" t="str">
            <v>D_Station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10</v>
          </cell>
          <cell r="P289">
            <v>40</v>
          </cell>
          <cell r="Q289">
            <v>1050</v>
          </cell>
          <cell r="R289">
            <v>2300</v>
          </cell>
          <cell r="S289">
            <v>800</v>
          </cell>
          <cell r="T289">
            <v>0</v>
          </cell>
          <cell r="U289">
            <v>0</v>
          </cell>
          <cell r="V289">
            <v>4200</v>
          </cell>
          <cell r="W289" t="str">
            <v>FN011605</v>
          </cell>
        </row>
        <row r="290">
          <cell r="F290" t="str">
            <v>D_Line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50</v>
          </cell>
          <cell r="P290">
            <v>2000</v>
          </cell>
          <cell r="Q290">
            <v>2000</v>
          </cell>
          <cell r="R290">
            <v>2000</v>
          </cell>
          <cell r="S290">
            <v>2000</v>
          </cell>
          <cell r="T290">
            <v>1749.9999999999995</v>
          </cell>
          <cell r="U290">
            <v>0</v>
          </cell>
          <cell r="V290">
            <v>9800</v>
          </cell>
          <cell r="W290" t="str">
            <v>FN012138</v>
          </cell>
        </row>
        <row r="291">
          <cell r="F291" t="str">
            <v>D_Station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105</v>
          </cell>
          <cell r="P291">
            <v>1397</v>
          </cell>
          <cell r="Q291">
            <v>1750</v>
          </cell>
          <cell r="R291">
            <v>8274.8610000000008</v>
          </cell>
          <cell r="S291">
            <v>8274.9999999999982</v>
          </cell>
          <cell r="T291">
            <v>4999.9999999999991</v>
          </cell>
          <cell r="U291">
            <v>0</v>
          </cell>
          <cell r="V291">
            <v>24801.860999999997</v>
          </cell>
          <cell r="W291" t="str">
            <v>FN012138</v>
          </cell>
        </row>
        <row r="292"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</row>
        <row r="293">
          <cell r="F293" t="str">
            <v>D_Station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105</v>
          </cell>
          <cell r="O293">
            <v>1397</v>
          </cell>
          <cell r="P293">
            <v>504</v>
          </cell>
          <cell r="Q293">
            <v>3246</v>
          </cell>
          <cell r="R293">
            <v>8274.8610000000008</v>
          </cell>
          <cell r="S293">
            <v>6275</v>
          </cell>
          <cell r="T293">
            <v>5004.9560000000001</v>
          </cell>
          <cell r="U293">
            <v>0</v>
          </cell>
          <cell r="V293">
            <v>24806.817000000003</v>
          </cell>
          <cell r="W293" t="str">
            <v>FN012140</v>
          </cell>
        </row>
        <row r="294">
          <cell r="F294" t="str">
            <v>D_Station</v>
          </cell>
          <cell r="J294">
            <v>104.39336</v>
          </cell>
          <cell r="K294">
            <v>0</v>
          </cell>
          <cell r="L294">
            <v>292.54836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396.94172000000003</v>
          </cell>
          <cell r="W294" t="str">
            <v>FN005761</v>
          </cell>
        </row>
        <row r="295">
          <cell r="F295" t="str">
            <v>T_Station</v>
          </cell>
          <cell r="J295">
            <v>105355.44536</v>
          </cell>
          <cell r="K295">
            <v>25531.585620000002</v>
          </cell>
          <cell r="L295">
            <v>5911.5309299999999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136798.56190999999</v>
          </cell>
          <cell r="W295" t="str">
            <v>FN010080</v>
          </cell>
        </row>
        <row r="296">
          <cell r="F296" t="str">
            <v>T_Station</v>
          </cell>
          <cell r="J296">
            <v>24.46388</v>
          </cell>
          <cell r="K296">
            <v>993.88499999999999</v>
          </cell>
          <cell r="L296">
            <v>200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1218.34888</v>
          </cell>
          <cell r="W296" t="str">
            <v>FN010073</v>
          </cell>
        </row>
        <row r="297">
          <cell r="F297" t="str">
            <v>T_Station</v>
          </cell>
          <cell r="J297">
            <v>0</v>
          </cell>
          <cell r="K297">
            <v>50</v>
          </cell>
          <cell r="L297">
            <v>450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500</v>
          </cell>
          <cell r="W297" t="str">
            <v>FN008276</v>
          </cell>
        </row>
        <row r="298">
          <cell r="F298" t="str">
            <v>T_Line</v>
          </cell>
          <cell r="J298">
            <v>10644.75308</v>
          </cell>
          <cell r="K298">
            <v>817.80499886619077</v>
          </cell>
          <cell r="L298">
            <v>5227.5101699999996</v>
          </cell>
          <cell r="M298">
            <v>14916.362220000001</v>
          </cell>
          <cell r="N298">
            <v>78.356279999999998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31684.786748866194</v>
          </cell>
          <cell r="W298" t="str">
            <v>FN011642</v>
          </cell>
        </row>
        <row r="299">
          <cell r="F299" t="str">
            <v>T_Line</v>
          </cell>
          <cell r="J299">
            <v>66943.391080000001</v>
          </cell>
          <cell r="K299">
            <v>37008</v>
          </cell>
          <cell r="L299">
            <v>102304.7907</v>
          </cell>
          <cell r="M299">
            <v>81400.021099999998</v>
          </cell>
          <cell r="N299">
            <v>68716.90251</v>
          </cell>
          <cell r="O299">
            <v>27853.50159</v>
          </cell>
          <cell r="P299">
            <v>480.78494000000001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384707.39191999997</v>
          </cell>
          <cell r="W299" t="str">
            <v>FN011642</v>
          </cell>
        </row>
        <row r="300">
          <cell r="F300" t="str">
            <v>T_Line</v>
          </cell>
          <cell r="J300">
            <v>475.66052000000002</v>
          </cell>
          <cell r="K300">
            <v>1043.4000000000001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1519.06052</v>
          </cell>
          <cell r="W300" t="str">
            <v>FN011642</v>
          </cell>
        </row>
        <row r="301">
          <cell r="F301" t="str">
            <v>T_Line</v>
          </cell>
          <cell r="J301">
            <v>0</v>
          </cell>
          <cell r="K301">
            <v>2352.2241299999996</v>
          </cell>
          <cell r="L301">
            <v>4225.0698799999991</v>
          </cell>
          <cell r="M301">
            <v>4873.943400000001</v>
          </cell>
          <cell r="N301">
            <v>19.914850000000001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11471.152259999999</v>
          </cell>
          <cell r="W301" t="str">
            <v>FN011642</v>
          </cell>
        </row>
        <row r="302">
          <cell r="F302" t="str">
            <v>T_Station</v>
          </cell>
          <cell r="J302">
            <v>8830.9835600000006</v>
          </cell>
          <cell r="K302">
            <v>3149.9998999999998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11980.983459999999</v>
          </cell>
          <cell r="W302" t="str">
            <v>FN010094</v>
          </cell>
        </row>
        <row r="303"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</row>
        <row r="304">
          <cell r="F304" t="str">
            <v>T_Station</v>
          </cell>
          <cell r="J304">
            <v>13485.6338</v>
          </cell>
          <cell r="K304">
            <v>8277.6467699999994</v>
          </cell>
          <cell r="L304">
            <v>4147.7541600000004</v>
          </cell>
          <cell r="M304">
            <v>50.1</v>
          </cell>
          <cell r="N304">
            <v>205.79087999999999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26166.925609999998</v>
          </cell>
          <cell r="W304" t="str">
            <v>FN011642</v>
          </cell>
        </row>
        <row r="305">
          <cell r="F305" t="str">
            <v>D_Line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1504.913</v>
          </cell>
          <cell r="U305">
            <v>5788.125</v>
          </cell>
          <cell r="V305">
            <v>7293.0380000000005</v>
          </cell>
          <cell r="W305" t="str">
            <v>FN011371</v>
          </cell>
        </row>
        <row r="306">
          <cell r="F306" t="str">
            <v>T_Station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110</v>
          </cell>
          <cell r="R306">
            <v>1466</v>
          </cell>
          <cell r="S306">
            <v>529</v>
          </cell>
          <cell r="T306">
            <v>1479</v>
          </cell>
          <cell r="U306">
            <v>10739</v>
          </cell>
          <cell r="V306">
            <v>14323</v>
          </cell>
          <cell r="W306" t="str">
            <v>FN011630</v>
          </cell>
        </row>
        <row r="307">
          <cell r="F307" t="str">
            <v>D_Station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127.628</v>
          </cell>
          <cell r="P307">
            <v>1697.454</v>
          </cell>
          <cell r="Q307">
            <v>612.61500000000001</v>
          </cell>
          <cell r="R307">
            <v>1514.6079999999999</v>
          </cell>
          <cell r="S307">
            <v>10058.145</v>
          </cell>
          <cell r="T307">
            <v>10058.145</v>
          </cell>
          <cell r="U307">
            <v>6083.5559999999996</v>
          </cell>
          <cell r="V307">
            <v>30152.151000000002</v>
          </cell>
          <cell r="W307" t="str">
            <v>FN011411</v>
          </cell>
        </row>
        <row r="308"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</row>
        <row r="309"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</row>
        <row r="310">
          <cell r="F310" t="str">
            <v>D_Line</v>
          </cell>
          <cell r="J310">
            <v>614.80948000000001</v>
          </cell>
          <cell r="K310">
            <v>103.55835999999999</v>
          </cell>
          <cell r="L310">
            <v>664.78983000000005</v>
          </cell>
          <cell r="M310">
            <v>2153.5355500000001</v>
          </cell>
          <cell r="N310">
            <v>2656.2359499999998</v>
          </cell>
          <cell r="O310">
            <v>1769.8251399999999</v>
          </cell>
          <cell r="P310">
            <v>2361.52124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10324.275549999998</v>
          </cell>
          <cell r="W310" t="str">
            <v>FN011974</v>
          </cell>
        </row>
        <row r="311">
          <cell r="F311" t="str">
            <v>D_Station</v>
          </cell>
          <cell r="J311">
            <v>2726.81756</v>
          </cell>
          <cell r="K311">
            <v>407.91052999999999</v>
          </cell>
          <cell r="L311">
            <v>1494.3892499999999</v>
          </cell>
          <cell r="M311">
            <v>6423.6646099999998</v>
          </cell>
          <cell r="N311">
            <v>4314.6575599999996</v>
          </cell>
          <cell r="O311">
            <v>509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15876.43951</v>
          </cell>
          <cell r="W311" t="str">
            <v>FN011974</v>
          </cell>
        </row>
        <row r="312">
          <cell r="F312" t="str">
            <v>T_Station</v>
          </cell>
          <cell r="J312">
            <v>14803.970079999999</v>
          </cell>
          <cell r="K312">
            <v>2701.1514400000001</v>
          </cell>
          <cell r="L312">
            <v>766.98401999999999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18272.10554</v>
          </cell>
          <cell r="W312" t="str">
            <v>FN008276</v>
          </cell>
        </row>
        <row r="313">
          <cell r="F313" t="str">
            <v>T_Station</v>
          </cell>
          <cell r="J313">
            <v>33298.519440000004</v>
          </cell>
          <cell r="K313">
            <v>10043.070519999999</v>
          </cell>
          <cell r="L313">
            <v>6401.70633</v>
          </cell>
          <cell r="M313">
            <v>5.5197900000000004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49748.816080000004</v>
          </cell>
          <cell r="W313" t="str">
            <v>FN008276</v>
          </cell>
        </row>
        <row r="314">
          <cell r="F314" t="str">
            <v>T_Line</v>
          </cell>
          <cell r="J314">
            <v>822.40899999999999</v>
          </cell>
          <cell r="K314">
            <v>221.61109999999999</v>
          </cell>
          <cell r="L314">
            <v>21405.38724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22449.407340000002</v>
          </cell>
          <cell r="W314" t="str">
            <v>FN008276</v>
          </cell>
        </row>
        <row r="315">
          <cell r="F315" t="str">
            <v>T_Station</v>
          </cell>
          <cell r="J315">
            <v>18.615280000000002</v>
          </cell>
          <cell r="K315">
            <v>391.41503999999998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410.03031999999996</v>
          </cell>
          <cell r="W315" t="str">
            <v>FN011642</v>
          </cell>
        </row>
        <row r="316">
          <cell r="F316" t="str">
            <v>T_Station</v>
          </cell>
          <cell r="J316">
            <v>19.162520000000001</v>
          </cell>
          <cell r="K316">
            <v>353.73736000000008</v>
          </cell>
          <cell r="L316">
            <v>22.064019999999999</v>
          </cell>
          <cell r="M316">
            <v>23.422560000000001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418.38646000000006</v>
          </cell>
          <cell r="W316" t="str">
            <v>FN011642</v>
          </cell>
        </row>
        <row r="317"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</row>
        <row r="318"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</row>
        <row r="319">
          <cell r="F319" t="str">
            <v>D_Station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180</v>
          </cell>
          <cell r="R319">
            <v>1491</v>
          </cell>
          <cell r="S319">
            <v>862.00000000000023</v>
          </cell>
          <cell r="T319">
            <v>1365.2269999999999</v>
          </cell>
          <cell r="U319">
            <v>10255.56</v>
          </cell>
          <cell r="V319">
            <v>14153.787</v>
          </cell>
          <cell r="W319" t="str">
            <v>FN013411</v>
          </cell>
        </row>
        <row r="320">
          <cell r="F320" t="str">
            <v>D_Station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150</v>
          </cell>
          <cell r="S320">
            <v>2334.9999999999995</v>
          </cell>
          <cell r="T320">
            <v>2694</v>
          </cell>
          <cell r="U320">
            <v>4501.0000000000009</v>
          </cell>
          <cell r="V320">
            <v>9680</v>
          </cell>
          <cell r="W320" t="str">
            <v>FN013414</v>
          </cell>
        </row>
        <row r="321">
          <cell r="F321" t="str">
            <v>T_Line</v>
          </cell>
          <cell r="J321">
            <v>1352.29132</v>
          </cell>
          <cell r="K321">
            <v>249.65528</v>
          </cell>
          <cell r="L321">
            <v>250</v>
          </cell>
          <cell r="M321">
            <v>150</v>
          </cell>
          <cell r="N321">
            <v>150</v>
          </cell>
          <cell r="O321">
            <v>2322</v>
          </cell>
          <cell r="P321">
            <v>6820</v>
          </cell>
          <cell r="Q321">
            <v>13711</v>
          </cell>
          <cell r="R321">
            <v>16496</v>
          </cell>
          <cell r="S321">
            <v>150</v>
          </cell>
          <cell r="T321">
            <v>0</v>
          </cell>
          <cell r="U321">
            <v>0</v>
          </cell>
          <cell r="V321">
            <v>41650.946599999996</v>
          </cell>
          <cell r="W321" t="str">
            <v>FN010084</v>
          </cell>
        </row>
        <row r="322">
          <cell r="F322" t="str">
            <v>T_Station</v>
          </cell>
          <cell r="J322">
            <v>221.48439999999997</v>
          </cell>
          <cell r="K322">
            <v>24.999479999999998</v>
          </cell>
          <cell r="L322">
            <v>24.999479999999998</v>
          </cell>
          <cell r="M322">
            <v>24.999479999999998</v>
          </cell>
          <cell r="N322">
            <v>150</v>
          </cell>
          <cell r="O322">
            <v>450.00060000000002</v>
          </cell>
          <cell r="P322">
            <v>450.00067999999999</v>
          </cell>
          <cell r="Q322">
            <v>250.00028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1596.4844000000001</v>
          </cell>
          <cell r="W322" t="str">
            <v>FN010084</v>
          </cell>
        </row>
        <row r="323">
          <cell r="F323" t="str">
            <v>T_Station</v>
          </cell>
          <cell r="J323">
            <v>7.5803599999999998</v>
          </cell>
          <cell r="K323">
            <v>50</v>
          </cell>
          <cell r="L323">
            <v>50</v>
          </cell>
          <cell r="M323">
            <v>20</v>
          </cell>
          <cell r="N323">
            <v>20</v>
          </cell>
          <cell r="O323">
            <v>20</v>
          </cell>
          <cell r="P323">
            <v>180</v>
          </cell>
          <cell r="Q323">
            <v>2010</v>
          </cell>
          <cell r="R323">
            <v>150</v>
          </cell>
          <cell r="S323">
            <v>0</v>
          </cell>
          <cell r="T323">
            <v>0</v>
          </cell>
          <cell r="U323">
            <v>0</v>
          </cell>
          <cell r="V323">
            <v>2507.5803599999999</v>
          </cell>
          <cell r="W323" t="str">
            <v>FN010084</v>
          </cell>
        </row>
        <row r="324">
          <cell r="F324" t="str">
            <v>T_Line</v>
          </cell>
          <cell r="J324">
            <v>0</v>
          </cell>
          <cell r="K324">
            <v>0</v>
          </cell>
          <cell r="L324">
            <v>50</v>
          </cell>
          <cell r="M324">
            <v>470</v>
          </cell>
          <cell r="N324">
            <v>680</v>
          </cell>
          <cell r="O324">
            <v>6250</v>
          </cell>
          <cell r="P324">
            <v>15000</v>
          </cell>
          <cell r="Q324">
            <v>39250</v>
          </cell>
          <cell r="R324">
            <v>39250</v>
          </cell>
          <cell r="S324">
            <v>37950</v>
          </cell>
          <cell r="T324">
            <v>34140</v>
          </cell>
          <cell r="U324">
            <v>0</v>
          </cell>
          <cell r="V324">
            <v>173040</v>
          </cell>
          <cell r="W324" t="str">
            <v>FN008253</v>
          </cell>
        </row>
        <row r="325">
          <cell r="F325" t="str">
            <v>T_Line</v>
          </cell>
          <cell r="J325">
            <v>0</v>
          </cell>
          <cell r="K325">
            <v>0</v>
          </cell>
          <cell r="L325">
            <v>50</v>
          </cell>
          <cell r="M325">
            <v>470</v>
          </cell>
          <cell r="N325">
            <v>680</v>
          </cell>
          <cell r="O325">
            <v>6810</v>
          </cell>
          <cell r="P325">
            <v>15000</v>
          </cell>
          <cell r="Q325">
            <v>40000</v>
          </cell>
          <cell r="R325">
            <v>40000</v>
          </cell>
          <cell r="S325">
            <v>40000</v>
          </cell>
          <cell r="T325">
            <v>41540</v>
          </cell>
          <cell r="U325">
            <v>18355</v>
          </cell>
          <cell r="V325">
            <v>202905</v>
          </cell>
          <cell r="W325" t="str">
            <v>FN008254</v>
          </cell>
        </row>
        <row r="326">
          <cell r="F326" t="str">
            <v>T_Line</v>
          </cell>
          <cell r="J326">
            <v>20664.368399999999</v>
          </cell>
          <cell r="K326">
            <v>19014.504260000002</v>
          </cell>
          <cell r="L326">
            <v>22690.011920000001</v>
          </cell>
          <cell r="M326">
            <v>16736.834739999998</v>
          </cell>
          <cell r="N326">
            <v>7973.1038200000003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87078.823140000008</v>
          </cell>
          <cell r="W326" t="str">
            <v>FN011214</v>
          </cell>
        </row>
        <row r="327">
          <cell r="F327" t="str">
            <v>T_Station</v>
          </cell>
          <cell r="J327">
            <v>4428.0875999999998</v>
          </cell>
          <cell r="K327">
            <v>1049.9286199999999</v>
          </cell>
          <cell r="L327">
            <v>450</v>
          </cell>
          <cell r="M327">
            <v>450</v>
          </cell>
          <cell r="N327">
            <v>2850</v>
          </cell>
          <cell r="O327">
            <v>12716</v>
          </cell>
          <cell r="P327">
            <v>13064</v>
          </cell>
          <cell r="Q327">
            <v>15098</v>
          </cell>
          <cell r="R327">
            <v>10406</v>
          </cell>
          <cell r="S327">
            <v>300</v>
          </cell>
          <cell r="T327">
            <v>0</v>
          </cell>
          <cell r="U327">
            <v>0</v>
          </cell>
          <cell r="V327">
            <v>60812.016219999998</v>
          </cell>
          <cell r="W327" t="str">
            <v>FN010084</v>
          </cell>
        </row>
        <row r="328"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</row>
        <row r="329">
          <cell r="F329" t="str">
            <v>D_Line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1089</v>
          </cell>
          <cell r="T329">
            <v>2197.8000000000006</v>
          </cell>
          <cell r="U329">
            <v>2079.9999999999995</v>
          </cell>
          <cell r="V329">
            <v>5366.8</v>
          </cell>
          <cell r="W329" t="str">
            <v>FN011857</v>
          </cell>
        </row>
        <row r="330">
          <cell r="F330" t="str">
            <v>D_Station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34.659599999999998</v>
          </cell>
          <cell r="Q330">
            <v>346.49997999999999</v>
          </cell>
          <cell r="R330">
            <v>1039.5</v>
          </cell>
          <cell r="S330">
            <v>1386.0000399999999</v>
          </cell>
          <cell r="T330">
            <v>495.00002000000001</v>
          </cell>
          <cell r="U330">
            <v>0</v>
          </cell>
          <cell r="V330">
            <v>3301.6596399999999</v>
          </cell>
          <cell r="W330" t="str">
            <v>FN010006</v>
          </cell>
        </row>
        <row r="331"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</row>
        <row r="332">
          <cell r="F332" t="str">
            <v>T_Station</v>
          </cell>
          <cell r="J332">
            <v>62463.801799999994</v>
          </cell>
          <cell r="K332">
            <v>7954.8450300000004</v>
          </cell>
          <cell r="L332">
            <v>50146.345680000006</v>
          </cell>
          <cell r="M332">
            <v>25719.060900000004</v>
          </cell>
          <cell r="N332">
            <v>482.87527999999998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146766.92869000003</v>
          </cell>
          <cell r="W332" t="str">
            <v>FN011642</v>
          </cell>
        </row>
        <row r="333"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</row>
        <row r="334"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</row>
        <row r="335"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</row>
        <row r="336">
          <cell r="F336" t="str">
            <v>T_Station</v>
          </cell>
          <cell r="J336">
            <v>13419.42412</v>
          </cell>
          <cell r="K336">
            <v>4058.0192000000002</v>
          </cell>
          <cell r="L336">
            <v>532.84799999999996</v>
          </cell>
          <cell r="M336">
            <v>266.42399999999998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18276.715319999996</v>
          </cell>
          <cell r="W336" t="str">
            <v>FN008453</v>
          </cell>
        </row>
        <row r="337"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</row>
        <row r="338"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</row>
        <row r="339">
          <cell r="F339" t="str">
            <v>D_Line</v>
          </cell>
          <cell r="J339">
            <v>464.30831999999998</v>
          </cell>
          <cell r="K339">
            <v>10.548</v>
          </cell>
          <cell r="L339">
            <v>2114.39975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2589.2560699999999</v>
          </cell>
          <cell r="W339" t="str">
            <v>FN010080</v>
          </cell>
        </row>
        <row r="340">
          <cell r="F340" t="str">
            <v>D_Line</v>
          </cell>
          <cell r="J340">
            <v>8458.0805999999993</v>
          </cell>
          <cell r="K340">
            <v>1569.16706</v>
          </cell>
          <cell r="L340">
            <v>1811.2233000000001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11838.470959999999</v>
          </cell>
          <cell r="W340" t="str">
            <v>FN010080</v>
          </cell>
        </row>
        <row r="341">
          <cell r="F341" t="str">
            <v>T_Station</v>
          </cell>
          <cell r="J341">
            <v>9185.3976000000002</v>
          </cell>
          <cell r="K341">
            <v>3398.6618899999999</v>
          </cell>
          <cell r="L341">
            <v>1375.68868</v>
          </cell>
          <cell r="M341">
            <v>540.35083999999995</v>
          </cell>
          <cell r="N341">
            <v>516.44784000000004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15016.546849999999</v>
          </cell>
          <cell r="W341" t="str">
            <v>FN011642</v>
          </cell>
        </row>
        <row r="342"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</row>
        <row r="343">
          <cell r="F343" t="str">
            <v>T_Line</v>
          </cell>
          <cell r="J343">
            <v>22002.499800000001</v>
          </cell>
          <cell r="K343">
            <v>29106.81568</v>
          </cell>
          <cell r="L343">
            <v>6185.7456399999992</v>
          </cell>
          <cell r="M343">
            <v>10644.44118</v>
          </cell>
          <cell r="N343">
            <v>143925.95762999999</v>
          </cell>
          <cell r="O343">
            <v>100835.61703999998</v>
          </cell>
          <cell r="P343">
            <v>299.48545999999999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313000.56242999999</v>
          </cell>
          <cell r="W343" t="str">
            <v>FN008276</v>
          </cell>
        </row>
        <row r="344">
          <cell r="F344" t="str">
            <v>T_Line</v>
          </cell>
          <cell r="J344">
            <v>11613.36004</v>
          </cell>
          <cell r="K344">
            <v>20044.786229999998</v>
          </cell>
          <cell r="L344">
            <v>12107.261250000001</v>
          </cell>
          <cell r="M344">
            <v>34577.024630000007</v>
          </cell>
          <cell r="N344">
            <v>80718.655979999996</v>
          </cell>
          <cell r="O344">
            <v>45675.089240000008</v>
          </cell>
          <cell r="P344">
            <v>87.097600000000014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204823.27497</v>
          </cell>
          <cell r="W344" t="str">
            <v>FN008276</v>
          </cell>
        </row>
        <row r="345">
          <cell r="F345" t="str">
            <v>D_Station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105</v>
          </cell>
          <cell r="U345">
            <v>1396.5</v>
          </cell>
          <cell r="V345">
            <v>1501.5</v>
          </cell>
          <cell r="W345" t="str">
            <v>FN011424</v>
          </cell>
        </row>
        <row r="346">
          <cell r="F346" t="str">
            <v>D_Station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122</v>
          </cell>
          <cell r="O346">
            <v>1617</v>
          </cell>
          <cell r="P346">
            <v>583</v>
          </cell>
          <cell r="Q346">
            <v>1442</v>
          </cell>
          <cell r="R346">
            <v>9579</v>
          </cell>
          <cell r="S346">
            <v>9579</v>
          </cell>
          <cell r="T346">
            <v>5794.0000000000018</v>
          </cell>
          <cell r="U346">
            <v>0</v>
          </cell>
          <cell r="V346">
            <v>28716</v>
          </cell>
          <cell r="W346" t="str">
            <v>FN011534</v>
          </cell>
        </row>
        <row r="347">
          <cell r="F347" t="str">
            <v>T_Station</v>
          </cell>
          <cell r="J347">
            <v>1763.2900800000002</v>
          </cell>
          <cell r="K347">
            <v>2749.8417100000001</v>
          </cell>
          <cell r="L347">
            <v>4345.7337899999993</v>
          </cell>
          <cell r="M347">
            <v>879.88064999999995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9738.7462299999988</v>
          </cell>
          <cell r="W347" t="str">
            <v>FN008276</v>
          </cell>
        </row>
        <row r="348">
          <cell r="F348" t="str">
            <v>T_Line</v>
          </cell>
          <cell r="J348">
            <v>23946.810440000001</v>
          </cell>
          <cell r="K348">
            <v>24762.460419999996</v>
          </cell>
          <cell r="L348">
            <v>98188.090599999996</v>
          </cell>
          <cell r="M348">
            <v>105600.42797999999</v>
          </cell>
          <cell r="N348">
            <v>1187.3059599999999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253685.09539999996</v>
          </cell>
          <cell r="W348" t="str">
            <v>FN008276</v>
          </cell>
        </row>
        <row r="349">
          <cell r="F349" t="str">
            <v>T_Station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105</v>
          </cell>
          <cell r="V349">
            <v>105</v>
          </cell>
          <cell r="W349" t="str">
            <v>FN011642</v>
          </cell>
        </row>
        <row r="350">
          <cell r="F350" t="str">
            <v>T_Station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110</v>
          </cell>
          <cell r="U350">
            <v>1466</v>
          </cell>
          <cell r="V350">
            <v>1576</v>
          </cell>
          <cell r="W350" t="str">
            <v>FN014033</v>
          </cell>
        </row>
        <row r="351">
          <cell r="F351" t="str">
            <v>D_Line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149</v>
          </cell>
          <cell r="O351">
            <v>4224</v>
          </cell>
          <cell r="P351">
            <v>3963.96</v>
          </cell>
          <cell r="Q351">
            <v>3875.85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12212.81</v>
          </cell>
          <cell r="W351" t="str">
            <v>FN011344</v>
          </cell>
        </row>
        <row r="352">
          <cell r="F352" t="str">
            <v>T_Line</v>
          </cell>
          <cell r="J352">
            <v>232.13708</v>
          </cell>
          <cell r="K352">
            <v>1907.05294</v>
          </cell>
          <cell r="L352">
            <v>77.288259999999994</v>
          </cell>
          <cell r="M352">
            <v>0.94788000000000006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2217.42616</v>
          </cell>
          <cell r="W352" t="str">
            <v>FN008276</v>
          </cell>
        </row>
        <row r="353">
          <cell r="F353" t="str">
            <v>T_Station</v>
          </cell>
          <cell r="J353">
            <v>1488.8271599999998</v>
          </cell>
          <cell r="K353">
            <v>2041.0136899999998</v>
          </cell>
          <cell r="L353">
            <v>716.14997999999991</v>
          </cell>
          <cell r="M353">
            <v>1.8957799999999998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4247.8866099999996</v>
          </cell>
          <cell r="W353" t="str">
            <v>FN008276</v>
          </cell>
        </row>
        <row r="354">
          <cell r="F354" t="str">
            <v>D_Station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100</v>
          </cell>
          <cell r="O354">
            <v>1330</v>
          </cell>
          <cell r="P354">
            <v>480</v>
          </cell>
          <cell r="Q354">
            <v>1187</v>
          </cell>
          <cell r="R354">
            <v>7881</v>
          </cell>
          <cell r="S354">
            <v>7881</v>
          </cell>
          <cell r="T354">
            <v>4767</v>
          </cell>
          <cell r="U354">
            <v>0</v>
          </cell>
          <cell r="V354">
            <v>23626</v>
          </cell>
          <cell r="W354" t="str">
            <v>FN011382</v>
          </cell>
        </row>
        <row r="355">
          <cell r="F355" t="str">
            <v>D_Line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1292.2429999999999</v>
          </cell>
          <cell r="P355">
            <v>3952.1060000000002</v>
          </cell>
          <cell r="Q355">
            <v>5946.1229999999996</v>
          </cell>
          <cell r="R355">
            <v>2596.4920000000002</v>
          </cell>
          <cell r="S355">
            <v>1018.059</v>
          </cell>
          <cell r="T355">
            <v>0</v>
          </cell>
          <cell r="U355">
            <v>0</v>
          </cell>
          <cell r="V355">
            <v>14805.022999999999</v>
          </cell>
          <cell r="W355" t="str">
            <v>FN012928</v>
          </cell>
        </row>
        <row r="356"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</row>
        <row r="357"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</row>
        <row r="358"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</row>
        <row r="359"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</row>
        <row r="360">
          <cell r="F360" t="str">
            <v>D_Line</v>
          </cell>
          <cell r="J360">
            <v>0</v>
          </cell>
          <cell r="K360">
            <v>6137.0000000000018</v>
          </cell>
          <cell r="L360">
            <v>333</v>
          </cell>
          <cell r="M360">
            <v>333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6803.0000000000018</v>
          </cell>
          <cell r="W360" t="str">
            <v>FN012193</v>
          </cell>
        </row>
        <row r="361"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</row>
        <row r="362"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</row>
        <row r="363"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</row>
        <row r="364"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</row>
        <row r="365"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</row>
        <row r="366"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</row>
        <row r="367">
          <cell r="F367" t="str">
            <v>T_Line</v>
          </cell>
          <cell r="J367">
            <v>10264.586360000001</v>
          </cell>
          <cell r="K367">
            <v>1198.72783</v>
          </cell>
          <cell r="L367">
            <v>1090.60951</v>
          </cell>
          <cell r="M367">
            <v>1090.60951</v>
          </cell>
          <cell r="N367">
            <v>11369.08122</v>
          </cell>
          <cell r="O367">
            <v>56118.75344</v>
          </cell>
          <cell r="P367">
            <v>28144.67772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109277.04558999999</v>
          </cell>
          <cell r="W367" t="str">
            <v>FN010083</v>
          </cell>
        </row>
        <row r="368">
          <cell r="F368" t="str">
            <v>T_Line</v>
          </cell>
          <cell r="J368">
            <v>4204.0401999999995</v>
          </cell>
          <cell r="K368">
            <v>4277.4000399999995</v>
          </cell>
          <cell r="L368">
            <v>8637.4196800000009</v>
          </cell>
          <cell r="M368">
            <v>27773.079370000003</v>
          </cell>
          <cell r="N368">
            <v>2964.6120999999998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47856.551390000008</v>
          </cell>
          <cell r="W368" t="str">
            <v>FN008276</v>
          </cell>
        </row>
        <row r="369">
          <cell r="F369" t="str">
            <v>T_Line</v>
          </cell>
          <cell r="J369">
            <v>3422.7519200000002</v>
          </cell>
          <cell r="K369">
            <v>6823.4846299999999</v>
          </cell>
          <cell r="L369">
            <v>2945.01901</v>
          </cell>
          <cell r="M369">
            <v>6959.1910900000003</v>
          </cell>
          <cell r="N369">
            <v>31453.63913</v>
          </cell>
          <cell r="O369">
            <v>17052.391699999996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68656.477479999987</v>
          </cell>
          <cell r="W369" t="str">
            <v>FN008276</v>
          </cell>
        </row>
        <row r="370">
          <cell r="F370" t="str">
            <v>T_Station</v>
          </cell>
          <cell r="J370">
            <v>1592.77324</v>
          </cell>
          <cell r="K370">
            <v>446.53868</v>
          </cell>
          <cell r="L370">
            <v>337.67516000000001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2376.9870799999999</v>
          </cell>
          <cell r="W370" t="str">
            <v>FN010083</v>
          </cell>
        </row>
        <row r="371">
          <cell r="F371" t="str">
            <v>T_Line</v>
          </cell>
          <cell r="J371">
            <v>2957.8980000000001</v>
          </cell>
          <cell r="K371">
            <v>7351.0328300000001</v>
          </cell>
          <cell r="L371">
            <v>30046.976060000001</v>
          </cell>
          <cell r="M371">
            <v>596.08848</v>
          </cell>
          <cell r="N371">
            <v>283.72206999999992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41235.71744</v>
          </cell>
          <cell r="W371" t="str">
            <v>FN008276</v>
          </cell>
        </row>
        <row r="372">
          <cell r="F372" t="str">
            <v>T_Station</v>
          </cell>
          <cell r="J372">
            <v>178993.36655999999</v>
          </cell>
          <cell r="K372">
            <v>23935.18723</v>
          </cell>
          <cell r="L372">
            <v>21427.661329999999</v>
          </cell>
          <cell r="M372">
            <v>10544.73668</v>
          </cell>
          <cell r="N372">
            <v>16193.257199999998</v>
          </cell>
          <cell r="O372">
            <v>150.71499999999997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251244.924</v>
          </cell>
          <cell r="W372" t="str">
            <v>FN008276</v>
          </cell>
        </row>
        <row r="373">
          <cell r="F373" t="str">
            <v>D_Station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670.96924999999999</v>
          </cell>
          <cell r="P373">
            <v>670.96924999999999</v>
          </cell>
          <cell r="Q373">
            <v>670.96924999999999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2012.9077499999999</v>
          </cell>
          <cell r="W373" t="str">
            <v>FN011965</v>
          </cell>
        </row>
        <row r="374">
          <cell r="F374" t="str">
            <v>D_Line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68.466279999999998</v>
          </cell>
          <cell r="O374">
            <v>169.79632000000001</v>
          </cell>
          <cell r="P374">
            <v>271.12633</v>
          </cell>
          <cell r="Q374">
            <v>997.52747999999997</v>
          </cell>
          <cell r="R374">
            <v>1805.8840399999999</v>
          </cell>
          <cell r="S374">
            <v>106.04765</v>
          </cell>
          <cell r="T374">
            <v>0</v>
          </cell>
          <cell r="U374">
            <v>0</v>
          </cell>
          <cell r="V374">
            <v>3418.8480999999997</v>
          </cell>
          <cell r="W374" t="str">
            <v>FN011965</v>
          </cell>
        </row>
        <row r="375">
          <cell r="F375" t="str">
            <v>D_Station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423.64411999999999</v>
          </cell>
          <cell r="O375">
            <v>1281.93238</v>
          </cell>
          <cell r="P375">
            <v>1062.19372</v>
          </cell>
          <cell r="Q375">
            <v>3569.3137999999999</v>
          </cell>
          <cell r="R375">
            <v>7436.9210300000004</v>
          </cell>
          <cell r="S375">
            <v>251.07849999999999</v>
          </cell>
          <cell r="T375">
            <v>0</v>
          </cell>
          <cell r="U375">
            <v>0</v>
          </cell>
          <cell r="V375">
            <v>14025.083549999999</v>
          </cell>
          <cell r="W375" t="str">
            <v>FN011965</v>
          </cell>
        </row>
        <row r="376">
          <cell r="F376" t="str">
            <v>D_Line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7.0879599999999998</v>
          </cell>
          <cell r="O376">
            <v>17.026520000000001</v>
          </cell>
          <cell r="P376">
            <v>49.192799999999998</v>
          </cell>
          <cell r="Q376">
            <v>147.09528</v>
          </cell>
          <cell r="R376">
            <v>24.497209999999999</v>
          </cell>
          <cell r="S376">
            <v>0</v>
          </cell>
          <cell r="T376">
            <v>0</v>
          </cell>
          <cell r="U376">
            <v>0</v>
          </cell>
          <cell r="V376">
            <v>244.89976999999999</v>
          </cell>
          <cell r="W376" t="str">
            <v>FN011965</v>
          </cell>
        </row>
        <row r="377">
          <cell r="F377" t="str">
            <v>T_Station</v>
          </cell>
          <cell r="J377">
            <v>24775.77924</v>
          </cell>
          <cell r="K377">
            <v>3504.84004</v>
          </cell>
          <cell r="L377">
            <v>148.04451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28428.663789999999</v>
          </cell>
          <cell r="W377" t="str">
            <v>FN011642</v>
          </cell>
        </row>
        <row r="378">
          <cell r="F378" t="str">
            <v>T_Station</v>
          </cell>
          <cell r="J378">
            <v>3460.89372</v>
          </cell>
          <cell r="K378">
            <v>856.18903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4317.0827499999996</v>
          </cell>
          <cell r="W378" t="str">
            <v>FN011642</v>
          </cell>
        </row>
        <row r="379">
          <cell r="F379" t="str">
            <v>T_Line</v>
          </cell>
          <cell r="J379">
            <v>1215.1546799999999</v>
          </cell>
          <cell r="K379">
            <v>2698.74613</v>
          </cell>
          <cell r="L379">
            <v>15828.46055</v>
          </cell>
          <cell r="M379">
            <v>157.63055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19899.991910000001</v>
          </cell>
          <cell r="W379" t="str">
            <v>FN011642</v>
          </cell>
        </row>
        <row r="380"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</row>
        <row r="381">
          <cell r="F381" t="str">
            <v>D_Line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1485</v>
          </cell>
          <cell r="S381">
            <v>1890.9</v>
          </cell>
          <cell r="T381">
            <v>1217.7</v>
          </cell>
          <cell r="U381">
            <v>0</v>
          </cell>
          <cell r="V381">
            <v>4593.6000000000004</v>
          </cell>
          <cell r="W381" t="str">
            <v>FN011560</v>
          </cell>
        </row>
        <row r="382">
          <cell r="F382" t="str">
            <v>D_Line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1500</v>
          </cell>
          <cell r="R382">
            <v>2640</v>
          </cell>
          <cell r="S382">
            <v>500</v>
          </cell>
          <cell r="T382">
            <v>0</v>
          </cell>
          <cell r="U382">
            <v>0</v>
          </cell>
          <cell r="V382">
            <v>4640</v>
          </cell>
          <cell r="W382" t="str">
            <v>FN011560</v>
          </cell>
        </row>
        <row r="383">
          <cell r="F383" t="str">
            <v>D_Station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109.14749999999999</v>
          </cell>
          <cell r="P383">
            <v>1295.2909999999999</v>
          </cell>
          <cell r="Q383">
            <v>8601.7180000000008</v>
          </cell>
          <cell r="R383">
            <v>8601.7180000000008</v>
          </cell>
          <cell r="S383">
            <v>5255.2040000000006</v>
          </cell>
          <cell r="T383">
            <v>1975.5700000000002</v>
          </cell>
          <cell r="U383">
            <v>0</v>
          </cell>
          <cell r="V383">
            <v>25838.648500000003</v>
          </cell>
          <cell r="W383" t="str">
            <v>FN011393</v>
          </cell>
        </row>
        <row r="384">
          <cell r="F384" t="str">
            <v>D_Station</v>
          </cell>
          <cell r="J384">
            <v>0</v>
          </cell>
          <cell r="K384">
            <v>0</v>
          </cell>
          <cell r="L384">
            <v>180</v>
          </cell>
          <cell r="M384">
            <v>360</v>
          </cell>
          <cell r="N384">
            <v>720</v>
          </cell>
          <cell r="O384">
            <v>6137</v>
          </cell>
          <cell r="P384">
            <v>8540</v>
          </cell>
          <cell r="Q384">
            <v>8532</v>
          </cell>
          <cell r="R384">
            <v>4820</v>
          </cell>
          <cell r="S384">
            <v>0</v>
          </cell>
          <cell r="T384">
            <v>0</v>
          </cell>
          <cell r="U384">
            <v>0</v>
          </cell>
          <cell r="V384">
            <v>29289</v>
          </cell>
          <cell r="W384" t="str">
            <v>FN014323</v>
          </cell>
        </row>
        <row r="385">
          <cell r="F385" t="str">
            <v>D_Station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105</v>
          </cell>
          <cell r="Q385">
            <v>1397</v>
          </cell>
          <cell r="R385">
            <v>504</v>
          </cell>
          <cell r="S385">
            <v>1246</v>
          </cell>
          <cell r="T385">
            <v>8274.9999999999982</v>
          </cell>
          <cell r="U385">
            <v>8274.9999999999982</v>
          </cell>
          <cell r="V385">
            <v>19801.999999999996</v>
          </cell>
          <cell r="W385" t="str">
            <v>FN011296</v>
          </cell>
        </row>
        <row r="386">
          <cell r="F386" t="str">
            <v>D_Line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632</v>
          </cell>
          <cell r="T386">
            <v>2432.0000000000005</v>
          </cell>
          <cell r="U386">
            <v>3660</v>
          </cell>
          <cell r="V386">
            <v>6724</v>
          </cell>
          <cell r="W386" t="str">
            <v>FN011296</v>
          </cell>
        </row>
        <row r="387">
          <cell r="F387" t="str">
            <v>D_Station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1980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1980</v>
          </cell>
          <cell r="W387" t="str">
            <v>FN011296</v>
          </cell>
        </row>
        <row r="388">
          <cell r="F388" t="str">
            <v>D_Line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143</v>
          </cell>
          <cell r="R388">
            <v>551</v>
          </cell>
          <cell r="S388">
            <v>1381</v>
          </cell>
          <cell r="T388">
            <v>0</v>
          </cell>
          <cell r="U388">
            <v>0</v>
          </cell>
          <cell r="V388">
            <v>2075</v>
          </cell>
          <cell r="W388" t="str">
            <v>FN011296</v>
          </cell>
        </row>
        <row r="389"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</row>
        <row r="390"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</row>
        <row r="391"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</row>
        <row r="392"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</row>
        <row r="393"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</row>
        <row r="394">
          <cell r="F394" t="str">
            <v>T_Line</v>
          </cell>
          <cell r="J394">
            <v>19267.755079999995</v>
          </cell>
          <cell r="K394">
            <v>8161.6828100000002</v>
          </cell>
          <cell r="L394">
            <v>41182.23057</v>
          </cell>
          <cell r="M394">
            <v>36457.437290000002</v>
          </cell>
          <cell r="N394">
            <v>6921.8044099999997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111990.91015999998</v>
          </cell>
          <cell r="W394" t="str">
            <v>FN008276</v>
          </cell>
        </row>
        <row r="395">
          <cell r="F395" t="str">
            <v>D_Line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134</v>
          </cell>
          <cell r="P395">
            <v>1782</v>
          </cell>
          <cell r="Q395">
            <v>643</v>
          </cell>
          <cell r="R395">
            <v>1590</v>
          </cell>
          <cell r="S395">
            <v>5561</v>
          </cell>
          <cell r="T395">
            <v>15561</v>
          </cell>
          <cell r="U395">
            <v>6387.9999999999982</v>
          </cell>
          <cell r="V395">
            <v>31659</v>
          </cell>
          <cell r="W395" t="str">
            <v>FN011344</v>
          </cell>
        </row>
        <row r="396">
          <cell r="F396" t="str">
            <v>D_Line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192</v>
          </cell>
          <cell r="S396">
            <v>739</v>
          </cell>
          <cell r="T396">
            <v>1111.9999999999998</v>
          </cell>
          <cell r="U396">
            <v>0</v>
          </cell>
          <cell r="V396">
            <v>2042.9999999999998</v>
          </cell>
          <cell r="W396" t="str">
            <v>FN011344</v>
          </cell>
        </row>
        <row r="397">
          <cell r="F397" t="str">
            <v>D_Line</v>
          </cell>
          <cell r="J397">
            <v>11.52172</v>
          </cell>
          <cell r="K397">
            <v>61.167000000000002</v>
          </cell>
          <cell r="L397">
            <v>142.892</v>
          </cell>
          <cell r="M397">
            <v>1500</v>
          </cell>
          <cell r="N397">
            <v>2555</v>
          </cell>
          <cell r="O397">
            <v>3725</v>
          </cell>
          <cell r="P397">
            <v>50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8045.5807199999999</v>
          </cell>
          <cell r="W397" t="str">
            <v>FN012315</v>
          </cell>
        </row>
        <row r="398"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</row>
        <row r="399"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</row>
        <row r="400">
          <cell r="F400" t="str">
            <v>D_Station</v>
          </cell>
          <cell r="J400">
            <v>2153.3806</v>
          </cell>
          <cell r="K400">
            <v>850</v>
          </cell>
          <cell r="L400">
            <v>1690</v>
          </cell>
          <cell r="M400">
            <v>4515</v>
          </cell>
          <cell r="N400">
            <v>4554.567</v>
          </cell>
          <cell r="O400">
            <v>4933.3472400000001</v>
          </cell>
          <cell r="P400">
            <v>6067.60952</v>
          </cell>
          <cell r="Q400">
            <v>150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24913.90436</v>
          </cell>
          <cell r="W400" t="str">
            <v>FN012315</v>
          </cell>
        </row>
        <row r="401">
          <cell r="F401" t="str">
            <v>D_Line</v>
          </cell>
          <cell r="J401">
            <v>15.04224</v>
          </cell>
          <cell r="K401">
            <v>845.38699999999994</v>
          </cell>
          <cell r="L401">
            <v>2600</v>
          </cell>
          <cell r="M401">
            <v>3100</v>
          </cell>
          <cell r="N401">
            <v>4100</v>
          </cell>
          <cell r="O401">
            <v>4500</v>
          </cell>
          <cell r="P401">
            <v>6400</v>
          </cell>
          <cell r="Q401">
            <v>4200</v>
          </cell>
          <cell r="R401">
            <v>600</v>
          </cell>
          <cell r="S401">
            <v>50</v>
          </cell>
          <cell r="T401">
            <v>0</v>
          </cell>
          <cell r="U401">
            <v>0</v>
          </cell>
          <cell r="V401">
            <v>26410.429239999998</v>
          </cell>
          <cell r="W401" t="str">
            <v>FN012315</v>
          </cell>
        </row>
        <row r="402">
          <cell r="F402" t="str">
            <v>D_Station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134</v>
          </cell>
          <cell r="Q402">
            <v>1782</v>
          </cell>
          <cell r="R402">
            <v>643</v>
          </cell>
          <cell r="S402">
            <v>1590</v>
          </cell>
          <cell r="T402">
            <v>10560.999999999998</v>
          </cell>
          <cell r="U402">
            <v>10560.999999999998</v>
          </cell>
          <cell r="V402">
            <v>25270.999999999996</v>
          </cell>
          <cell r="W402" t="str">
            <v>FN011311</v>
          </cell>
        </row>
        <row r="403">
          <cell r="F403" t="str">
            <v>D_Line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1010</v>
          </cell>
          <cell r="T403">
            <v>4070</v>
          </cell>
          <cell r="U403">
            <v>4735.0000000000009</v>
          </cell>
          <cell r="V403">
            <v>9815</v>
          </cell>
          <cell r="W403" t="str">
            <v>FN011311</v>
          </cell>
        </row>
        <row r="404">
          <cell r="F404" t="str">
            <v>D_Station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1980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1980</v>
          </cell>
          <cell r="W404" t="str">
            <v>FN011311</v>
          </cell>
        </row>
        <row r="405">
          <cell r="F405" t="str">
            <v>D_Line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202</v>
          </cell>
          <cell r="R405">
            <v>776</v>
          </cell>
          <cell r="S405">
            <v>1943</v>
          </cell>
          <cell r="T405">
            <v>0</v>
          </cell>
          <cell r="U405">
            <v>0</v>
          </cell>
          <cell r="V405">
            <v>2921</v>
          </cell>
          <cell r="W405" t="str">
            <v>FN011311</v>
          </cell>
        </row>
        <row r="406">
          <cell r="J406"/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  <cell r="V406"/>
        </row>
        <row r="407">
          <cell r="J407"/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  <cell r="V407"/>
        </row>
        <row r="408">
          <cell r="J408"/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  <cell r="V408"/>
        </row>
        <row r="409">
          <cell r="F409" t="str">
            <v>T_Station</v>
          </cell>
          <cell r="J409">
            <v>0</v>
          </cell>
          <cell r="K409">
            <v>0</v>
          </cell>
          <cell r="L409">
            <v>0</v>
          </cell>
          <cell r="M409">
            <v>75</v>
          </cell>
          <cell r="N409">
            <v>600.00004000000001</v>
          </cell>
          <cell r="O409">
            <v>3800</v>
          </cell>
          <cell r="P409">
            <v>1950</v>
          </cell>
          <cell r="Q409">
            <v>120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6545.0000399999999</v>
          </cell>
          <cell r="W409" t="str">
            <v>FN008276</v>
          </cell>
        </row>
        <row r="410">
          <cell r="F410" t="str">
            <v>T_Station</v>
          </cell>
          <cell r="J410">
            <v>17184.526680000003</v>
          </cell>
          <cell r="K410">
            <v>4613.1258399999997</v>
          </cell>
          <cell r="L410">
            <v>5919.7420000000002</v>
          </cell>
          <cell r="M410">
            <v>17747.735079999999</v>
          </cell>
          <cell r="N410">
            <v>2781.6402800000005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48246.76988</v>
          </cell>
          <cell r="W410" t="str">
            <v>FN008276</v>
          </cell>
        </row>
        <row r="411">
          <cell r="F411" t="str">
            <v>T_Station</v>
          </cell>
          <cell r="J411">
            <v>26714.414599999996</v>
          </cell>
          <cell r="K411">
            <v>443.23710999999997</v>
          </cell>
          <cell r="L411">
            <v>4712.6893</v>
          </cell>
          <cell r="M411">
            <v>15118.328960000001</v>
          </cell>
          <cell r="N411">
            <v>4274.5235199999997</v>
          </cell>
          <cell r="O411">
            <v>205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51468.193489999998</v>
          </cell>
          <cell r="W411" t="str">
            <v>FN008276</v>
          </cell>
        </row>
        <row r="412">
          <cell r="F412" t="str">
            <v>D_Station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30</v>
          </cell>
          <cell r="O412">
            <v>644</v>
          </cell>
          <cell r="P412">
            <v>2540</v>
          </cell>
          <cell r="Q412">
            <v>4950</v>
          </cell>
          <cell r="R412">
            <v>3465</v>
          </cell>
          <cell r="S412">
            <v>248</v>
          </cell>
          <cell r="T412">
            <v>0</v>
          </cell>
          <cell r="U412">
            <v>0</v>
          </cell>
          <cell r="V412">
            <v>11877</v>
          </cell>
          <cell r="W412" t="str">
            <v>FN010052</v>
          </cell>
        </row>
        <row r="413">
          <cell r="J413"/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  <cell r="V413"/>
        </row>
        <row r="414">
          <cell r="J414"/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  <cell r="V414"/>
        </row>
        <row r="415">
          <cell r="F415" t="str">
            <v>D_Line</v>
          </cell>
          <cell r="J415">
            <v>751.67615999999998</v>
          </cell>
          <cell r="K415">
            <v>197.99979999999999</v>
          </cell>
          <cell r="L415">
            <v>180</v>
          </cell>
          <cell r="M415">
            <v>3639.3520400000002</v>
          </cell>
          <cell r="N415">
            <v>1958</v>
          </cell>
          <cell r="O415">
            <v>5168</v>
          </cell>
          <cell r="P415">
            <v>3210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15105.028</v>
          </cell>
          <cell r="W415" t="str">
            <v>FN011103</v>
          </cell>
        </row>
        <row r="416">
          <cell r="F416" t="str">
            <v>D_Station</v>
          </cell>
          <cell r="J416">
            <v>720.57856000000015</v>
          </cell>
          <cell r="K416">
            <v>656.02052000000003</v>
          </cell>
          <cell r="L416">
            <v>2218.30656</v>
          </cell>
          <cell r="M416">
            <v>2505</v>
          </cell>
          <cell r="N416">
            <v>3669.2449999999999</v>
          </cell>
          <cell r="O416">
            <v>3516.2460000000001</v>
          </cell>
          <cell r="P416">
            <v>545</v>
          </cell>
          <cell r="Q416">
            <v>2218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16048.396639999999</v>
          </cell>
          <cell r="W416" t="str">
            <v>FN011103</v>
          </cell>
        </row>
        <row r="417">
          <cell r="F417" t="str">
            <v>T_Station</v>
          </cell>
          <cell r="J417">
            <v>896.08507999999995</v>
          </cell>
          <cell r="K417">
            <v>457.85820000000001</v>
          </cell>
          <cell r="L417">
            <v>1794</v>
          </cell>
          <cell r="M417">
            <v>1428.8320799999999</v>
          </cell>
          <cell r="N417">
            <v>969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5545.7753599999996</v>
          </cell>
          <cell r="W417" t="str">
            <v>FN011103</v>
          </cell>
        </row>
        <row r="418">
          <cell r="F418" t="str">
            <v>D_Station</v>
          </cell>
          <cell r="J418">
            <v>121.03316</v>
          </cell>
          <cell r="K418">
            <v>5</v>
          </cell>
          <cell r="L418">
            <v>5</v>
          </cell>
          <cell r="M418">
            <v>5</v>
          </cell>
          <cell r="N418">
            <v>5</v>
          </cell>
          <cell r="O418">
            <v>113.15600000000001</v>
          </cell>
          <cell r="P418">
            <v>113.15600000000001</v>
          </cell>
          <cell r="Q418">
            <v>5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372.34516000000002</v>
          </cell>
          <cell r="W418" t="str">
            <v>FN011103</v>
          </cell>
        </row>
        <row r="419">
          <cell r="F419" t="str">
            <v>T_Line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740</v>
          </cell>
          <cell r="Q419">
            <v>2989</v>
          </cell>
          <cell r="R419">
            <v>6860</v>
          </cell>
          <cell r="S419">
            <v>4216</v>
          </cell>
          <cell r="T419">
            <v>58800</v>
          </cell>
          <cell r="U419">
            <v>58800</v>
          </cell>
          <cell r="V419">
            <v>132405</v>
          </cell>
          <cell r="W419" t="str">
            <v>FN013571</v>
          </cell>
        </row>
        <row r="420">
          <cell r="F420" t="str">
            <v>T_Station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4900</v>
          </cell>
          <cell r="U420">
            <v>0</v>
          </cell>
          <cell r="V420">
            <v>4900</v>
          </cell>
          <cell r="W420" t="str">
            <v>FN013571</v>
          </cell>
        </row>
        <row r="421">
          <cell r="F421" t="str">
            <v>T_Station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4900</v>
          </cell>
          <cell r="U421">
            <v>0</v>
          </cell>
          <cell r="V421">
            <v>4900</v>
          </cell>
          <cell r="W421" t="str">
            <v>FN013571</v>
          </cell>
        </row>
        <row r="422">
          <cell r="J422"/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  <cell r="V422"/>
        </row>
        <row r="423">
          <cell r="J423"/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  <cell r="V423"/>
        </row>
        <row r="424">
          <cell r="J424"/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  <cell r="V424"/>
        </row>
        <row r="425">
          <cell r="F425" t="str">
            <v>D_Station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110</v>
          </cell>
          <cell r="R425">
            <v>915</v>
          </cell>
          <cell r="S425">
            <v>529</v>
          </cell>
          <cell r="T425">
            <v>838</v>
          </cell>
          <cell r="U425">
            <v>2945.0000000000005</v>
          </cell>
          <cell r="V425">
            <v>5337</v>
          </cell>
          <cell r="W425" t="str">
            <v>FN012138</v>
          </cell>
        </row>
        <row r="426">
          <cell r="F426" t="str">
            <v>T_Station</v>
          </cell>
          <cell r="J426">
            <v>4745.9253599999993</v>
          </cell>
          <cell r="K426">
            <v>1856.0889400000003</v>
          </cell>
          <cell r="L426">
            <v>3221.73137</v>
          </cell>
          <cell r="M426">
            <v>333.98741000000007</v>
          </cell>
          <cell r="N426">
            <v>351.77465000000001</v>
          </cell>
          <cell r="O426">
            <v>370.50984000000005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10880.01757</v>
          </cell>
          <cell r="W426" t="str">
            <v>FN008276</v>
          </cell>
        </row>
        <row r="427">
          <cell r="F427" t="str">
            <v>D_Line</v>
          </cell>
          <cell r="J427">
            <v>0</v>
          </cell>
          <cell r="K427">
            <v>0</v>
          </cell>
          <cell r="L427">
            <v>180</v>
          </cell>
          <cell r="M427">
            <v>360</v>
          </cell>
          <cell r="N427">
            <v>720</v>
          </cell>
          <cell r="O427">
            <v>2562</v>
          </cell>
          <cell r="P427">
            <v>3946</v>
          </cell>
          <cell r="Q427">
            <v>3946</v>
          </cell>
          <cell r="R427">
            <v>2535</v>
          </cell>
          <cell r="S427">
            <v>0</v>
          </cell>
          <cell r="T427">
            <v>0</v>
          </cell>
          <cell r="U427">
            <v>0</v>
          </cell>
          <cell r="V427">
            <v>14249</v>
          </cell>
          <cell r="W427" t="str">
            <v>FN014323</v>
          </cell>
        </row>
        <row r="428">
          <cell r="F428" t="str">
            <v>D_Station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110.25</v>
          </cell>
          <cell r="O428">
            <v>1466.325</v>
          </cell>
          <cell r="P428">
            <v>529.20000000000005</v>
          </cell>
          <cell r="Q428">
            <v>1308.375</v>
          </cell>
          <cell r="R428">
            <v>8688.6039999999994</v>
          </cell>
          <cell r="S428">
            <v>8688.6039999999994</v>
          </cell>
          <cell r="T428">
            <v>5255.2040000000006</v>
          </cell>
          <cell r="U428">
            <v>0</v>
          </cell>
          <cell r="V428">
            <v>26046.562000000002</v>
          </cell>
          <cell r="W428" t="str">
            <v>FN011426</v>
          </cell>
        </row>
        <row r="429">
          <cell r="J429"/>
          <cell r="K429"/>
          <cell r="L429"/>
          <cell r="M429"/>
          <cell r="N429"/>
          <cell r="O429"/>
          <cell r="P429"/>
          <cell r="Q429"/>
          <cell r="R429"/>
          <cell r="S429"/>
          <cell r="T429"/>
          <cell r="U429"/>
          <cell r="V429"/>
        </row>
        <row r="430">
          <cell r="J430"/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  <cell r="V430"/>
        </row>
        <row r="431">
          <cell r="F431" t="str">
            <v>D_Station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147.74600000000001</v>
          </cell>
          <cell r="S431">
            <v>1965.0160000000001</v>
          </cell>
          <cell r="T431">
            <v>709.17899999999997</v>
          </cell>
          <cell r="U431">
            <v>1982.3539999999998</v>
          </cell>
          <cell r="V431">
            <v>4804.2950000000001</v>
          </cell>
          <cell r="W431" t="str">
            <v>FN011416</v>
          </cell>
        </row>
        <row r="432">
          <cell r="F432" t="str">
            <v>T_Station</v>
          </cell>
          <cell r="J432">
            <v>6142.0639200000005</v>
          </cell>
          <cell r="K432">
            <v>3337.9544900000005</v>
          </cell>
          <cell r="L432">
            <v>1464.6547599999999</v>
          </cell>
          <cell r="M432">
            <v>573.53718000000003</v>
          </cell>
          <cell r="N432">
            <v>386.11038000000002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11904.320729999999</v>
          </cell>
          <cell r="W432" t="str">
            <v>FN008276</v>
          </cell>
        </row>
        <row r="433">
          <cell r="F433" t="str">
            <v>T_Station</v>
          </cell>
          <cell r="J433">
            <v>4727.0226399999992</v>
          </cell>
          <cell r="K433">
            <v>4372.5883299999996</v>
          </cell>
          <cell r="L433">
            <v>7460.5466100000003</v>
          </cell>
          <cell r="M433">
            <v>823.65533000000016</v>
          </cell>
          <cell r="N433">
            <v>867.52103</v>
          </cell>
          <cell r="O433">
            <v>913.72502999999995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19165.058970000002</v>
          </cell>
          <cell r="W433" t="str">
            <v>FN008276</v>
          </cell>
        </row>
        <row r="434">
          <cell r="F434" t="str">
            <v>T_Station</v>
          </cell>
          <cell r="J434">
            <v>12962.15972</v>
          </cell>
          <cell r="K434">
            <v>19387.581160000002</v>
          </cell>
          <cell r="L434">
            <v>16386.916679999998</v>
          </cell>
          <cell r="M434">
            <v>3132.1230799999998</v>
          </cell>
          <cell r="N434">
            <v>3328.7654900000002</v>
          </cell>
          <cell r="O434">
            <v>3472.4805099999994</v>
          </cell>
          <cell r="P434">
            <v>116.91079999999999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58786.937439999994</v>
          </cell>
          <cell r="W434" t="str">
            <v>FN008276</v>
          </cell>
        </row>
        <row r="435">
          <cell r="F435" t="str">
            <v>T_Line</v>
          </cell>
          <cell r="J435">
            <v>17144.940999999999</v>
          </cell>
          <cell r="K435">
            <v>23750.105370000001</v>
          </cell>
          <cell r="L435">
            <v>58946.93275</v>
          </cell>
          <cell r="M435">
            <v>111396.70245000001</v>
          </cell>
          <cell r="N435">
            <v>17993.13897</v>
          </cell>
          <cell r="O435">
            <v>8.3526699999999998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229240.17321000001</v>
          </cell>
          <cell r="W435" t="str">
            <v>FN008276</v>
          </cell>
        </row>
        <row r="436">
          <cell r="J436"/>
          <cell r="K436"/>
          <cell r="L436"/>
          <cell r="M436"/>
          <cell r="N436"/>
          <cell r="O436"/>
          <cell r="P436"/>
          <cell r="Q436"/>
          <cell r="R436"/>
          <cell r="S436"/>
          <cell r="T436"/>
          <cell r="U436"/>
          <cell r="V436"/>
        </row>
        <row r="437">
          <cell r="F437" t="str">
            <v>T_Line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98</v>
          </cell>
          <cell r="P437">
            <v>1078</v>
          </cell>
          <cell r="Q437">
            <v>2940</v>
          </cell>
          <cell r="R437">
            <v>10000</v>
          </cell>
          <cell r="S437">
            <v>20000</v>
          </cell>
          <cell r="T437">
            <v>40000</v>
          </cell>
          <cell r="U437">
            <v>40000</v>
          </cell>
          <cell r="V437">
            <v>114116</v>
          </cell>
          <cell r="W437" t="str">
            <v>FN013182</v>
          </cell>
        </row>
        <row r="438">
          <cell r="J438"/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</row>
        <row r="439">
          <cell r="J439"/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  <cell r="V439"/>
        </row>
        <row r="440">
          <cell r="F440" t="str">
            <v>D_Line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676.17</v>
          </cell>
          <cell r="R440">
            <v>1980</v>
          </cell>
          <cell r="S440">
            <v>1980</v>
          </cell>
          <cell r="T440">
            <v>1980</v>
          </cell>
          <cell r="U440">
            <v>1560.24</v>
          </cell>
          <cell r="V440">
            <v>8176.41</v>
          </cell>
          <cell r="W440" t="str">
            <v>FN011443</v>
          </cell>
        </row>
        <row r="441">
          <cell r="F441" t="str">
            <v>D_Station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192.06899999999999</v>
          </cell>
          <cell r="S441">
            <v>738.72799999999995</v>
          </cell>
          <cell r="T441">
            <v>2943.9770000000008</v>
          </cell>
          <cell r="U441">
            <v>188.22799999999995</v>
          </cell>
          <cell r="V441">
            <v>4063.0020000000009</v>
          </cell>
          <cell r="W441" t="str">
            <v>FN012130</v>
          </cell>
        </row>
        <row r="442">
          <cell r="J442"/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/>
        </row>
        <row r="443">
          <cell r="J443"/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  <cell r="V443"/>
        </row>
        <row r="444">
          <cell r="F444" t="str">
            <v>D_Line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9</v>
          </cell>
          <cell r="V444">
            <v>9</v>
          </cell>
          <cell r="W444" t="str">
            <v>FN012945</v>
          </cell>
        </row>
        <row r="445">
          <cell r="F445" t="str">
            <v>D_Station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110.25</v>
          </cell>
          <cell r="O445">
            <v>1466.325</v>
          </cell>
          <cell r="P445">
            <v>529.20000000000005</v>
          </cell>
          <cell r="Q445">
            <v>1308.375</v>
          </cell>
          <cell r="R445">
            <v>8688.6039999999994</v>
          </cell>
          <cell r="S445">
            <v>8688.6039999999994</v>
          </cell>
          <cell r="T445">
            <v>5255.2040000000006</v>
          </cell>
          <cell r="U445">
            <v>0</v>
          </cell>
          <cell r="V445">
            <v>26046.562000000002</v>
          </cell>
          <cell r="W445" t="str">
            <v>FN011395</v>
          </cell>
        </row>
        <row r="446">
          <cell r="F446" t="str">
            <v>D_Line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128</v>
          </cell>
          <cell r="Q446">
            <v>1059</v>
          </cell>
          <cell r="R446">
            <v>613</v>
          </cell>
          <cell r="S446">
            <v>4495.6225300000006</v>
          </cell>
          <cell r="T446">
            <v>3409</v>
          </cell>
          <cell r="U446">
            <v>354</v>
          </cell>
          <cell r="V446">
            <v>10058.622530000001</v>
          </cell>
          <cell r="W446" t="str">
            <v>FN012618</v>
          </cell>
        </row>
        <row r="447">
          <cell r="F447" t="str">
            <v>D_Line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604.79999999999984</v>
          </cell>
          <cell r="T447">
            <v>2327.85</v>
          </cell>
          <cell r="U447">
            <v>2705.8500000000004</v>
          </cell>
          <cell r="V447">
            <v>5638.5</v>
          </cell>
          <cell r="W447" t="str">
            <v>FN012618</v>
          </cell>
        </row>
        <row r="448">
          <cell r="J448"/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</row>
        <row r="449">
          <cell r="J449"/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</row>
        <row r="450">
          <cell r="F450" t="str">
            <v>D_Line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328</v>
          </cell>
          <cell r="S450">
            <v>1262</v>
          </cell>
          <cell r="T450">
            <v>1468</v>
          </cell>
          <cell r="U450">
            <v>0</v>
          </cell>
          <cell r="V450">
            <v>3058</v>
          </cell>
          <cell r="W450" t="str">
            <v>FN012004</v>
          </cell>
        </row>
        <row r="451">
          <cell r="F451" t="str">
            <v>D_Station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110.25</v>
          </cell>
          <cell r="Q451">
            <v>1466.325</v>
          </cell>
          <cell r="R451">
            <v>529.20000000000005</v>
          </cell>
          <cell r="S451">
            <v>1479.2629999999999</v>
          </cell>
          <cell r="T451">
            <v>10739.254000000001</v>
          </cell>
          <cell r="U451">
            <v>10739.254000000001</v>
          </cell>
          <cell r="V451">
            <v>25063.546000000002</v>
          </cell>
          <cell r="W451" t="str">
            <v>FN011397</v>
          </cell>
        </row>
        <row r="452">
          <cell r="F452" t="str">
            <v>D_Line</v>
          </cell>
          <cell r="J452">
            <v>53.30536</v>
          </cell>
          <cell r="K452">
            <v>0</v>
          </cell>
          <cell r="L452">
            <v>686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739.30535999999995</v>
          </cell>
          <cell r="W452" t="str">
            <v>FN002263</v>
          </cell>
        </row>
        <row r="453">
          <cell r="F453" t="str">
            <v>D_Station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105</v>
          </cell>
          <cell r="O453">
            <v>871.5</v>
          </cell>
          <cell r="P453">
            <v>504</v>
          </cell>
          <cell r="Q453">
            <v>798.22</v>
          </cell>
          <cell r="R453">
            <v>2900.6390000000001</v>
          </cell>
          <cell r="S453">
            <v>2804.471</v>
          </cell>
          <cell r="T453">
            <v>291.10399999999998</v>
          </cell>
          <cell r="U453">
            <v>0</v>
          </cell>
          <cell r="V453">
            <v>8274.9339999999993</v>
          </cell>
          <cell r="W453" t="str">
            <v>FN011433</v>
          </cell>
        </row>
        <row r="454">
          <cell r="F454" t="str">
            <v>T_Line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50</v>
          </cell>
          <cell r="T454">
            <v>999.99999999999977</v>
          </cell>
          <cell r="U454">
            <v>999.99999999999977</v>
          </cell>
          <cell r="V454">
            <v>2049.9999999999995</v>
          </cell>
          <cell r="W454" t="str">
            <v>FN013318</v>
          </cell>
        </row>
        <row r="455">
          <cell r="F455" t="str">
            <v>D_Station</v>
          </cell>
          <cell r="J455">
            <v>0</v>
          </cell>
          <cell r="K455">
            <v>0</v>
          </cell>
          <cell r="L455">
            <v>0</v>
          </cell>
          <cell r="M455">
            <v>20</v>
          </cell>
          <cell r="N455">
            <v>1150.298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1170.298</v>
          </cell>
          <cell r="W455" t="str">
            <v>FN013957</v>
          </cell>
        </row>
        <row r="456"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</row>
        <row r="457"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</row>
        <row r="458">
          <cell r="F458" t="str">
            <v>D_Station</v>
          </cell>
          <cell r="J458">
            <v>109.75444</v>
          </cell>
          <cell r="K458">
            <v>179.92389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289.67833000000002</v>
          </cell>
          <cell r="W458" t="str">
            <v>FN011942</v>
          </cell>
        </row>
        <row r="459">
          <cell r="F459" t="str">
            <v>D_Line</v>
          </cell>
          <cell r="J459">
            <v>181.55676</v>
          </cell>
          <cell r="K459">
            <v>56.256</v>
          </cell>
          <cell r="L459">
            <v>205.81272000000001</v>
          </cell>
          <cell r="M459">
            <v>883.05647999999997</v>
          </cell>
          <cell r="N459">
            <v>2992.98866</v>
          </cell>
          <cell r="O459">
            <v>1842.1642400000001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6161.8348599999999</v>
          </cell>
          <cell r="W459" t="str">
            <v>FN005770</v>
          </cell>
        </row>
        <row r="460">
          <cell r="F460" t="str">
            <v>D_Station</v>
          </cell>
          <cell r="J460">
            <v>0</v>
          </cell>
          <cell r="K460">
            <v>0</v>
          </cell>
          <cell r="L460">
            <v>900</v>
          </cell>
          <cell r="M460">
            <v>1080</v>
          </cell>
          <cell r="N460">
            <v>720</v>
          </cell>
          <cell r="O460">
            <v>1530</v>
          </cell>
          <cell r="P460">
            <v>1184</v>
          </cell>
          <cell r="Q460">
            <v>944</v>
          </cell>
          <cell r="R460">
            <v>606</v>
          </cell>
          <cell r="S460">
            <v>0</v>
          </cell>
          <cell r="T460">
            <v>0</v>
          </cell>
          <cell r="U460">
            <v>0</v>
          </cell>
          <cell r="V460">
            <v>6964</v>
          </cell>
          <cell r="W460" t="str">
            <v>FN014323</v>
          </cell>
        </row>
        <row r="461">
          <cell r="F461" t="str">
            <v>D_Station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100</v>
          </cell>
          <cell r="S461">
            <v>1330</v>
          </cell>
          <cell r="T461">
            <v>1341.7349999999999</v>
          </cell>
          <cell r="U461">
            <v>760.20899999999983</v>
          </cell>
          <cell r="V461">
            <v>3531.9439999999995</v>
          </cell>
          <cell r="W461" t="str">
            <v>FN012721</v>
          </cell>
        </row>
        <row r="462">
          <cell r="F462" t="str">
            <v>T_Line</v>
          </cell>
          <cell r="J462">
            <v>659.08267999999998</v>
          </cell>
          <cell r="K462">
            <v>381.82044000000002</v>
          </cell>
          <cell r="L462">
            <v>2036.7487100000001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3077.6518299999998</v>
          </cell>
          <cell r="W462" t="str">
            <v>FN008063</v>
          </cell>
        </row>
        <row r="463">
          <cell r="F463" t="str">
            <v>D_Line</v>
          </cell>
          <cell r="J463">
            <v>0</v>
          </cell>
          <cell r="K463">
            <v>80</v>
          </cell>
          <cell r="L463">
            <v>240</v>
          </cell>
          <cell r="M463">
            <v>680</v>
          </cell>
          <cell r="N463">
            <v>690</v>
          </cell>
          <cell r="O463">
            <v>5301.7735599999996</v>
          </cell>
          <cell r="P463">
            <v>8660.18325</v>
          </cell>
          <cell r="Q463">
            <v>4912.0931899999996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20564.05</v>
          </cell>
          <cell r="W463" t="str">
            <v>FN014043</v>
          </cell>
        </row>
        <row r="464">
          <cell r="J464"/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</row>
        <row r="465">
          <cell r="J465"/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</row>
        <row r="466">
          <cell r="F466" t="str">
            <v>D_Station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332.31700000000001</v>
          </cell>
          <cell r="P466">
            <v>2422.5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2754.817</v>
          </cell>
          <cell r="W466" t="str">
            <v>FN011042</v>
          </cell>
        </row>
        <row r="467">
          <cell r="F467" t="str">
            <v>D_Line</v>
          </cell>
          <cell r="J467">
            <v>517.56016</v>
          </cell>
          <cell r="K467">
            <v>0</v>
          </cell>
          <cell r="L467">
            <v>0</v>
          </cell>
          <cell r="M467">
            <v>0</v>
          </cell>
          <cell r="N467">
            <v>15</v>
          </cell>
          <cell r="O467">
            <v>15</v>
          </cell>
          <cell r="P467">
            <v>5635</v>
          </cell>
          <cell r="Q467">
            <v>3600.4100699999999</v>
          </cell>
          <cell r="R467">
            <v>3000.4599600000001</v>
          </cell>
          <cell r="S467">
            <v>0</v>
          </cell>
          <cell r="T467">
            <v>0</v>
          </cell>
          <cell r="U467">
            <v>0</v>
          </cell>
          <cell r="V467">
            <v>12783.430189999999</v>
          </cell>
          <cell r="W467" t="str">
            <v>FN000126</v>
          </cell>
        </row>
        <row r="468">
          <cell r="J468"/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  <cell r="V468"/>
        </row>
        <row r="469">
          <cell r="J469"/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  <cell r="V469"/>
        </row>
        <row r="470">
          <cell r="J470"/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  <cell r="V470"/>
        </row>
        <row r="471">
          <cell r="F471" t="str">
            <v>D_Line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69.3</v>
          </cell>
          <cell r="R471">
            <v>267.3</v>
          </cell>
          <cell r="S471">
            <v>306.89999999999998</v>
          </cell>
          <cell r="T471">
            <v>0</v>
          </cell>
          <cell r="U471">
            <v>0</v>
          </cell>
          <cell r="V471">
            <v>643.5</v>
          </cell>
          <cell r="W471" t="str">
            <v>FN011854</v>
          </cell>
        </row>
        <row r="472">
          <cell r="F472" t="str">
            <v>D_Line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990</v>
          </cell>
          <cell r="O472">
            <v>2623.5</v>
          </cell>
          <cell r="P472">
            <v>0.495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3613.9949999999999</v>
          </cell>
          <cell r="W472" t="str">
            <v>FN011852</v>
          </cell>
        </row>
        <row r="473">
          <cell r="F473" t="str">
            <v>D_Line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390</v>
          </cell>
          <cell r="O473">
            <v>2000</v>
          </cell>
          <cell r="P473">
            <v>1250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3640</v>
          </cell>
          <cell r="W473" t="str">
            <v>FN011853</v>
          </cell>
        </row>
        <row r="474">
          <cell r="F474" t="str">
            <v>D_Line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69.3</v>
          </cell>
          <cell r="R474">
            <v>267.3</v>
          </cell>
          <cell r="S474">
            <v>306.89999999999998</v>
          </cell>
          <cell r="T474">
            <v>0</v>
          </cell>
          <cell r="U474">
            <v>0</v>
          </cell>
          <cell r="V474">
            <v>643.5</v>
          </cell>
          <cell r="W474" t="str">
            <v>FN011856</v>
          </cell>
        </row>
        <row r="475">
          <cell r="F475" t="str">
            <v>D_Line</v>
          </cell>
          <cell r="J475">
            <v>2979.81756</v>
          </cell>
          <cell r="K475">
            <v>1238</v>
          </cell>
          <cell r="L475">
            <v>510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4727.8175599999995</v>
          </cell>
          <cell r="W475" t="str">
            <v>FN001348</v>
          </cell>
        </row>
        <row r="476">
          <cell r="F476" t="str">
            <v>T_Line</v>
          </cell>
          <cell r="J476">
            <v>32229.26496</v>
          </cell>
          <cell r="K476">
            <v>24542.451809999999</v>
          </cell>
          <cell r="L476">
            <v>30472.187079999996</v>
          </cell>
          <cell r="M476">
            <v>69854.128760000007</v>
          </cell>
          <cell r="N476">
            <v>71766.462759999995</v>
          </cell>
          <cell r="O476">
            <v>17103.655889999998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245968.15125999998</v>
          </cell>
          <cell r="W476" t="str">
            <v>FN008276</v>
          </cell>
        </row>
        <row r="477">
          <cell r="F477" t="str">
            <v>D_Line</v>
          </cell>
          <cell r="J477">
            <v>761.77488000000005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1515.2231400000001</v>
          </cell>
          <cell r="S477">
            <v>0</v>
          </cell>
          <cell r="T477">
            <v>0</v>
          </cell>
          <cell r="U477">
            <v>0</v>
          </cell>
          <cell r="V477">
            <v>2276.99802</v>
          </cell>
          <cell r="W477" t="str">
            <v>FN014033</v>
          </cell>
        </row>
        <row r="478">
          <cell r="F478" t="str">
            <v>D_Line</v>
          </cell>
          <cell r="J478">
            <v>0</v>
          </cell>
          <cell r="K478">
            <v>235.80004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235.80004</v>
          </cell>
          <cell r="W478" t="str">
            <v>FN014168</v>
          </cell>
        </row>
        <row r="479">
          <cell r="F479" t="str">
            <v>D_Line</v>
          </cell>
          <cell r="J479">
            <v>417.03104000000002</v>
          </cell>
          <cell r="K479">
            <v>0</v>
          </cell>
          <cell r="L479">
            <v>1919.5164</v>
          </cell>
          <cell r="M479">
            <v>5529.7249099999999</v>
          </cell>
          <cell r="N479">
            <v>1533.7501400000001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9400.0224899999994</v>
          </cell>
          <cell r="W479" t="str">
            <v>FN011010</v>
          </cell>
        </row>
        <row r="480">
          <cell r="F480" t="str">
            <v>D_Station</v>
          </cell>
          <cell r="J480">
            <v>15411.12312</v>
          </cell>
          <cell r="K480">
            <v>1820.19714</v>
          </cell>
          <cell r="L480">
            <v>8169.2945099999997</v>
          </cell>
          <cell r="M480">
            <v>8886.8204399999995</v>
          </cell>
          <cell r="N480">
            <v>680.39872000000003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34967.833929999993</v>
          </cell>
          <cell r="W480" t="str">
            <v>FN011010</v>
          </cell>
        </row>
        <row r="481">
          <cell r="F481" t="str">
            <v>D_Line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396</v>
          </cell>
          <cell r="R481">
            <v>1523</v>
          </cell>
          <cell r="S481">
            <v>6066</v>
          </cell>
          <cell r="T481">
            <v>387</v>
          </cell>
          <cell r="U481">
            <v>0</v>
          </cell>
          <cell r="V481">
            <v>8372</v>
          </cell>
          <cell r="W481" t="str">
            <v>FN013424A</v>
          </cell>
        </row>
        <row r="482"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/>
        </row>
        <row r="483">
          <cell r="F483" t="str">
            <v>T_Line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20</v>
          </cell>
          <cell r="R483">
            <v>120</v>
          </cell>
          <cell r="S483">
            <v>120</v>
          </cell>
          <cell r="T483">
            <v>420</v>
          </cell>
          <cell r="U483">
            <v>2692</v>
          </cell>
          <cell r="V483">
            <v>3372</v>
          </cell>
          <cell r="W483" t="str">
            <v>FN010255</v>
          </cell>
        </row>
        <row r="484"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/>
        </row>
        <row r="485">
          <cell r="J485"/>
          <cell r="K485"/>
          <cell r="L485"/>
          <cell r="M485"/>
          <cell r="N485"/>
          <cell r="O485"/>
          <cell r="P485"/>
          <cell r="Q485"/>
          <cell r="R485"/>
          <cell r="S485"/>
          <cell r="T485"/>
          <cell r="U485"/>
          <cell r="V485"/>
        </row>
        <row r="486">
          <cell r="F486" t="str">
            <v>T_Station</v>
          </cell>
          <cell r="J486">
            <v>21830.95924</v>
          </cell>
          <cell r="K486">
            <v>3079</v>
          </cell>
          <cell r="L486">
            <v>2245.7714299999998</v>
          </cell>
          <cell r="M486">
            <v>10713.560299999999</v>
          </cell>
          <cell r="N486">
            <v>15262.16409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53131.45506</v>
          </cell>
          <cell r="W486" t="str">
            <v>FN011642</v>
          </cell>
        </row>
        <row r="487">
          <cell r="F487" t="str">
            <v>D_Line</v>
          </cell>
          <cell r="J487">
            <v>1483.8702800000001</v>
          </cell>
          <cell r="K487">
            <v>50.000480000000003</v>
          </cell>
          <cell r="L487">
            <v>2410.8204000000001</v>
          </cell>
          <cell r="M487">
            <v>680.79204000000004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4625.4832000000006</v>
          </cell>
          <cell r="W487" t="str">
            <v>FN011010</v>
          </cell>
        </row>
        <row r="488">
          <cell r="J488"/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  <cell r="V488"/>
        </row>
        <row r="489">
          <cell r="J489"/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  <cell r="V489"/>
        </row>
        <row r="490">
          <cell r="F490" t="str">
            <v>T_Station</v>
          </cell>
          <cell r="J490">
            <v>0</v>
          </cell>
          <cell r="K490">
            <v>130</v>
          </cell>
          <cell r="L490">
            <v>520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650</v>
          </cell>
          <cell r="W490" t="str">
            <v>FN010097</v>
          </cell>
        </row>
        <row r="491">
          <cell r="J491"/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  <cell r="V491"/>
        </row>
        <row r="492">
          <cell r="F492" t="str">
            <v>D_Station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84</v>
          </cell>
          <cell r="O492">
            <v>1506</v>
          </cell>
          <cell r="P492">
            <v>828</v>
          </cell>
          <cell r="Q492">
            <v>82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2500</v>
          </cell>
          <cell r="W492" t="str">
            <v>FN011355A</v>
          </cell>
        </row>
        <row r="493">
          <cell r="F493" t="str">
            <v>D_Station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109.148</v>
          </cell>
          <cell r="R493">
            <v>1464.47</v>
          </cell>
          <cell r="S493">
            <v>10631.861000000001</v>
          </cell>
          <cell r="T493">
            <v>10631.860999999999</v>
          </cell>
          <cell r="U493">
            <v>6495.516999999998</v>
          </cell>
          <cell r="V493">
            <v>29332.856999999996</v>
          </cell>
          <cell r="W493" t="str">
            <v>FN011399</v>
          </cell>
        </row>
        <row r="494">
          <cell r="F494" t="str">
            <v>T_Station</v>
          </cell>
          <cell r="J494">
            <v>20657.70436</v>
          </cell>
          <cell r="K494">
            <v>8359.6273799999999</v>
          </cell>
          <cell r="L494">
            <v>34175.52691</v>
          </cell>
          <cell r="M494">
            <v>828.04611999999997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64020.904770000001</v>
          </cell>
          <cell r="W494" t="str">
            <v>FN008276</v>
          </cell>
        </row>
        <row r="495">
          <cell r="F495" t="str">
            <v>D_Line</v>
          </cell>
          <cell r="J495">
            <v>233.89500000000001</v>
          </cell>
          <cell r="K495">
            <v>293.64998000000003</v>
          </cell>
          <cell r="L495">
            <v>149.18751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676.73248999999998</v>
          </cell>
          <cell r="W495" t="str">
            <v>FN011465</v>
          </cell>
        </row>
        <row r="496">
          <cell r="F496" t="str">
            <v>D_Line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220</v>
          </cell>
          <cell r="O496">
            <v>630</v>
          </cell>
          <cell r="P496">
            <v>1527</v>
          </cell>
          <cell r="Q496">
            <v>115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2492</v>
          </cell>
          <cell r="W496" t="str">
            <v>FN013957</v>
          </cell>
        </row>
        <row r="497">
          <cell r="F497" t="str">
            <v>D_Station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105</v>
          </cell>
          <cell r="Q497">
            <v>871.5</v>
          </cell>
          <cell r="R497">
            <v>504</v>
          </cell>
          <cell r="S497">
            <v>798.22</v>
          </cell>
          <cell r="T497">
            <v>2900.6390000000001</v>
          </cell>
          <cell r="U497">
            <v>2804.471</v>
          </cell>
          <cell r="V497">
            <v>7983.83</v>
          </cell>
          <cell r="W497" t="str">
            <v>FN013957</v>
          </cell>
        </row>
        <row r="498">
          <cell r="F498" t="str">
            <v>T_Station</v>
          </cell>
          <cell r="J498">
            <v>9265.02556</v>
          </cell>
          <cell r="K498">
            <v>146.76</v>
          </cell>
          <cell r="L498">
            <v>588.93517999999995</v>
          </cell>
          <cell r="M498">
            <v>2369.2830800000002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12370.003820000002</v>
          </cell>
          <cell r="W498" t="str">
            <v>FN008276</v>
          </cell>
        </row>
        <row r="499">
          <cell r="F499" t="str">
            <v>D_Station</v>
          </cell>
          <cell r="J499">
            <v>0</v>
          </cell>
          <cell r="K499">
            <v>0</v>
          </cell>
          <cell r="L499">
            <v>50</v>
          </cell>
          <cell r="M499">
            <v>471.64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521.64</v>
          </cell>
          <cell r="W499" t="str">
            <v>FN011466</v>
          </cell>
        </row>
        <row r="500">
          <cell r="F500" t="str">
            <v>D_Line</v>
          </cell>
          <cell r="J500">
            <v>0</v>
          </cell>
          <cell r="K500">
            <v>0</v>
          </cell>
          <cell r="L500">
            <v>20</v>
          </cell>
          <cell r="M500">
            <v>414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434</v>
          </cell>
          <cell r="W500" t="str">
            <v>FN011227</v>
          </cell>
        </row>
        <row r="501">
          <cell r="F501" t="str">
            <v>D_Station</v>
          </cell>
          <cell r="J501">
            <v>2.18716</v>
          </cell>
          <cell r="K501">
            <v>0</v>
          </cell>
          <cell r="L501">
            <v>10.14751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15.25</v>
          </cell>
          <cell r="R501">
            <v>188.13042999999999</v>
          </cell>
          <cell r="S501">
            <v>225.0181</v>
          </cell>
          <cell r="T501">
            <v>9.1666699999999999</v>
          </cell>
          <cell r="U501">
            <v>0</v>
          </cell>
          <cell r="V501">
            <v>449.89987000000002</v>
          </cell>
          <cell r="W501" t="str">
            <v>FN002211</v>
          </cell>
        </row>
        <row r="502">
          <cell r="F502" t="str">
            <v>T_Line</v>
          </cell>
          <cell r="J502">
            <v>34560.413039999999</v>
          </cell>
          <cell r="K502">
            <v>12308</v>
          </cell>
          <cell r="L502">
            <v>29724.719130000001</v>
          </cell>
          <cell r="M502">
            <v>20911.178889999999</v>
          </cell>
          <cell r="N502">
            <v>25513.823280000001</v>
          </cell>
          <cell r="O502">
            <v>12291.925450000001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135310.05979</v>
          </cell>
          <cell r="W502" t="str">
            <v>FN008359</v>
          </cell>
        </row>
        <row r="503">
          <cell r="J503"/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/>
        </row>
        <row r="504">
          <cell r="F504" t="str">
            <v>D_Line</v>
          </cell>
          <cell r="J504">
            <v>72.806080000000009</v>
          </cell>
          <cell r="K504">
            <v>437.76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510.56608</v>
          </cell>
          <cell r="W504" t="str">
            <v>FN001881</v>
          </cell>
        </row>
        <row r="505">
          <cell r="J505"/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  <cell r="V505"/>
        </row>
        <row r="506">
          <cell r="F506" t="str">
            <v>T_Station</v>
          </cell>
          <cell r="J506">
            <v>2124.5144799999998</v>
          </cell>
          <cell r="K506">
            <v>794.77223000000004</v>
          </cell>
          <cell r="L506">
            <v>0</v>
          </cell>
          <cell r="M506">
            <v>288</v>
          </cell>
          <cell r="N506">
            <v>376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3583.2867099999999</v>
          </cell>
          <cell r="W506" t="str">
            <v>FN008472</v>
          </cell>
        </row>
        <row r="507"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/>
        </row>
        <row r="508">
          <cell r="J508"/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/>
        </row>
        <row r="509">
          <cell r="J509"/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  <cell r="V509"/>
        </row>
        <row r="510">
          <cell r="F510" t="str">
            <v>D_Line</v>
          </cell>
          <cell r="J510">
            <v>7.4305599999999998</v>
          </cell>
          <cell r="K510">
            <v>0</v>
          </cell>
          <cell r="L510">
            <v>0</v>
          </cell>
          <cell r="M510">
            <v>0</v>
          </cell>
          <cell r="N510">
            <v>1390.60989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1398.04045</v>
          </cell>
          <cell r="W510" t="str">
            <v>FN006212</v>
          </cell>
        </row>
        <row r="511">
          <cell r="F511" t="str">
            <v>D_Line</v>
          </cell>
          <cell r="J511">
            <v>113.31072</v>
          </cell>
          <cell r="K511">
            <v>0</v>
          </cell>
          <cell r="L511">
            <v>56</v>
          </cell>
          <cell r="M511">
            <v>756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925.31071999999995</v>
          </cell>
          <cell r="W511" t="str">
            <v>FN006224</v>
          </cell>
        </row>
        <row r="512">
          <cell r="F512" t="str">
            <v>D_Station</v>
          </cell>
          <cell r="J512">
            <v>0</v>
          </cell>
          <cell r="K512">
            <v>159.81595999999999</v>
          </cell>
          <cell r="L512">
            <v>877.48706000000004</v>
          </cell>
          <cell r="M512">
            <v>1813.8321900000001</v>
          </cell>
          <cell r="N512">
            <v>3068.4891499999999</v>
          </cell>
          <cell r="O512">
            <v>3355.1104399999999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9274.7348000000002</v>
          </cell>
          <cell r="W512" t="str">
            <v>FN013868</v>
          </cell>
        </row>
        <row r="513"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/>
        </row>
        <row r="514">
          <cell r="F514" t="str">
            <v>T_Line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442.58447999999999</v>
          </cell>
          <cell r="O514">
            <v>250.42367999999999</v>
          </cell>
          <cell r="P514">
            <v>3040.1397999999999</v>
          </cell>
          <cell r="Q514">
            <v>10000</v>
          </cell>
          <cell r="R514">
            <v>30000</v>
          </cell>
          <cell r="S514">
            <v>40000</v>
          </cell>
          <cell r="T514">
            <v>40000</v>
          </cell>
          <cell r="U514">
            <v>40000</v>
          </cell>
          <cell r="V514">
            <v>163733.14796</v>
          </cell>
          <cell r="W514" t="str">
            <v>FN008116</v>
          </cell>
        </row>
        <row r="515">
          <cell r="F515" t="str">
            <v>T_Line</v>
          </cell>
          <cell r="J515">
            <v>860693.69335999992</v>
          </cell>
          <cell r="K515">
            <v>50189.862480000003</v>
          </cell>
          <cell r="L515">
            <v>18046.470539999998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928930.02637999994</v>
          </cell>
          <cell r="W515" t="str">
            <v>FN008374</v>
          </cell>
        </row>
        <row r="516">
          <cell r="F516" t="str">
            <v>D_Line</v>
          </cell>
          <cell r="J516">
            <v>218.50031999999996</v>
          </cell>
          <cell r="K516">
            <v>107.09976</v>
          </cell>
          <cell r="L516">
            <v>99.960759999999993</v>
          </cell>
          <cell r="M516">
            <v>2437.8559599999999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2863.4168</v>
          </cell>
          <cell r="W516" t="str">
            <v>FN011715</v>
          </cell>
        </row>
        <row r="517">
          <cell r="F517" t="str">
            <v>D_Station</v>
          </cell>
          <cell r="J517">
            <v>1463.3817200000001</v>
          </cell>
          <cell r="K517">
            <v>1643.19</v>
          </cell>
          <cell r="L517">
            <v>4093.15175</v>
          </cell>
          <cell r="M517">
            <v>2144.4158000000002</v>
          </cell>
          <cell r="N517">
            <v>227.69488000000001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9571.8341499999988</v>
          </cell>
          <cell r="W517" t="str">
            <v>FN011715</v>
          </cell>
        </row>
        <row r="518">
          <cell r="F518" t="str">
            <v>D_Line</v>
          </cell>
          <cell r="J518">
            <v>347.22672</v>
          </cell>
          <cell r="K518">
            <v>225.32748000000001</v>
          </cell>
          <cell r="L518">
            <v>537.33932000000004</v>
          </cell>
          <cell r="M518">
            <v>2859</v>
          </cell>
          <cell r="N518">
            <v>199.79988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4168.6934000000001</v>
          </cell>
          <cell r="W518" t="str">
            <v>FN011715</v>
          </cell>
        </row>
        <row r="519">
          <cell r="F519" t="str">
            <v>D_Line</v>
          </cell>
          <cell r="J519">
            <v>15083.872960000001</v>
          </cell>
          <cell r="K519">
            <v>1225.19346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16309.066420000001</v>
          </cell>
          <cell r="W519" t="str">
            <v>FN005761</v>
          </cell>
        </row>
        <row r="520">
          <cell r="F520" t="str">
            <v>D_Station</v>
          </cell>
          <cell r="J520">
            <v>19895.677479999998</v>
          </cell>
          <cell r="K520">
            <v>1352.27062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21247.948099999998</v>
          </cell>
          <cell r="W520" t="str">
            <v>FN005761</v>
          </cell>
        </row>
        <row r="521">
          <cell r="F521" t="str">
            <v>D_Line</v>
          </cell>
          <cell r="J521">
            <v>153.16564</v>
          </cell>
          <cell r="K521">
            <v>1916.9320600000001</v>
          </cell>
          <cell r="L521">
            <v>0</v>
          </cell>
          <cell r="M521">
            <v>0.78051000000000004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2070.8782100000003</v>
          </cell>
          <cell r="W521" t="str">
            <v>FN005814</v>
          </cell>
        </row>
        <row r="522">
          <cell r="F522" t="str">
            <v>D_Line</v>
          </cell>
          <cell r="J522">
            <v>87.954520000000002</v>
          </cell>
          <cell r="K522">
            <v>994.56412999999998</v>
          </cell>
          <cell r="L522">
            <v>497.52501999999998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1580.04367</v>
          </cell>
          <cell r="W522" t="str">
            <v>FN005814</v>
          </cell>
        </row>
        <row r="523">
          <cell r="F523" t="str">
            <v>D_Station</v>
          </cell>
          <cell r="J523">
            <v>12241.98468</v>
          </cell>
          <cell r="K523">
            <v>1427</v>
          </cell>
          <cell r="L523">
            <v>8813.2442499999997</v>
          </cell>
          <cell r="M523">
            <v>3569.9339199999999</v>
          </cell>
          <cell r="N523">
            <v>6.0948599999999997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26058.257709999998</v>
          </cell>
          <cell r="W523" t="str">
            <v>FN005814</v>
          </cell>
        </row>
        <row r="524">
          <cell r="F524" t="str">
            <v>D_Line</v>
          </cell>
          <cell r="J524">
            <v>161.74779999999998</v>
          </cell>
          <cell r="K524">
            <v>1016.9262199999999</v>
          </cell>
          <cell r="L524">
            <v>357.83872000000002</v>
          </cell>
          <cell r="M524">
            <v>0.99972000000000005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1537.5124599999999</v>
          </cell>
          <cell r="W524" t="str">
            <v>FN005814</v>
          </cell>
        </row>
        <row r="525">
          <cell r="F525" t="str">
            <v>D_Line</v>
          </cell>
          <cell r="J525">
            <v>5713.7430399999994</v>
          </cell>
          <cell r="K525">
            <v>664.99995999999999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6378.7429999999995</v>
          </cell>
          <cell r="W525" t="str">
            <v>FN003350</v>
          </cell>
        </row>
        <row r="526">
          <cell r="J526"/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  <cell r="V526"/>
        </row>
        <row r="527">
          <cell r="F527" t="str">
            <v>T_Station</v>
          </cell>
          <cell r="J527">
            <v>788.22195999999985</v>
          </cell>
          <cell r="K527">
            <v>958.95554000000004</v>
          </cell>
          <cell r="L527">
            <v>1259.38795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3006.5654500000001</v>
          </cell>
          <cell r="W527" t="str">
            <v>FN008736</v>
          </cell>
        </row>
        <row r="528">
          <cell r="F528" t="str">
            <v>T_Line</v>
          </cell>
          <cell r="J528">
            <v>6.4819599999999991</v>
          </cell>
          <cell r="K528">
            <v>57.346960000000003</v>
          </cell>
          <cell r="L528">
            <v>51.399340000000002</v>
          </cell>
          <cell r="M528">
            <v>574.68425000000002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689.91251</v>
          </cell>
          <cell r="W528" t="str">
            <v>FN008276</v>
          </cell>
        </row>
        <row r="529">
          <cell r="F529" t="str">
            <v>T_Line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80</v>
          </cell>
          <cell r="Q529">
            <v>120</v>
          </cell>
          <cell r="R529">
            <v>240</v>
          </cell>
          <cell r="S529">
            <v>2949</v>
          </cell>
          <cell r="T529">
            <v>19896</v>
          </cell>
          <cell r="U529">
            <v>37606</v>
          </cell>
          <cell r="V529">
            <v>60891</v>
          </cell>
          <cell r="W529" t="str">
            <v>FN008262</v>
          </cell>
        </row>
        <row r="530">
          <cell r="F530" t="str">
            <v>D_Station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105</v>
          </cell>
          <cell r="O530">
            <v>1396.5</v>
          </cell>
          <cell r="P530">
            <v>504</v>
          </cell>
          <cell r="Q530">
            <v>1246.0719999999999</v>
          </cell>
          <cell r="R530">
            <v>8274.8610000000008</v>
          </cell>
          <cell r="S530">
            <v>8274.8610000000008</v>
          </cell>
          <cell r="T530">
            <v>5004.9560000000001</v>
          </cell>
          <cell r="U530">
            <v>0</v>
          </cell>
          <cell r="V530">
            <v>24806.25</v>
          </cell>
          <cell r="W530" t="str">
            <v>FN011436</v>
          </cell>
        </row>
        <row r="531">
          <cell r="F531" t="str">
            <v>D_Line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990</v>
          </cell>
          <cell r="Q531">
            <v>5300</v>
          </cell>
          <cell r="R531">
            <v>9800</v>
          </cell>
          <cell r="S531">
            <v>9800</v>
          </cell>
          <cell r="T531">
            <v>12950</v>
          </cell>
          <cell r="U531">
            <v>13000</v>
          </cell>
          <cell r="V531">
            <v>51840</v>
          </cell>
          <cell r="W531" t="str">
            <v>FN012138</v>
          </cell>
        </row>
        <row r="532">
          <cell r="J532"/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  <cell r="V532"/>
        </row>
        <row r="533">
          <cell r="J533"/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</row>
        <row r="534">
          <cell r="F534" t="str">
            <v>T_Line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20</v>
          </cell>
          <cell r="T534">
            <v>120</v>
          </cell>
          <cell r="U534">
            <v>420</v>
          </cell>
          <cell r="V534">
            <v>560</v>
          </cell>
          <cell r="W534" t="str">
            <v>FN008260</v>
          </cell>
        </row>
        <row r="535">
          <cell r="J535"/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  <cell r="V535"/>
        </row>
        <row r="536">
          <cell r="F536" t="str">
            <v>D_Station</v>
          </cell>
          <cell r="J536">
            <v>1444.0274400000001</v>
          </cell>
          <cell r="K536">
            <v>1795.8647000000001</v>
          </cell>
          <cell r="L536">
            <v>5913.56394</v>
          </cell>
          <cell r="M536">
            <v>11598.55393</v>
          </cell>
          <cell r="N536">
            <v>8064.6551900000004</v>
          </cell>
          <cell r="O536">
            <v>8.13992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28824.805120000001</v>
          </cell>
          <cell r="W536" t="str">
            <v>FN010876</v>
          </cell>
        </row>
        <row r="537"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/>
        </row>
        <row r="538">
          <cell r="F538" t="str">
            <v>D_Line</v>
          </cell>
          <cell r="J538">
            <v>16656.694320000002</v>
          </cell>
          <cell r="K538">
            <v>1298.2460000000001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17954.940320000002</v>
          </cell>
          <cell r="W538" t="str">
            <v>FN006255</v>
          </cell>
        </row>
        <row r="539">
          <cell r="F539" t="str">
            <v>D_Station</v>
          </cell>
          <cell r="J539">
            <v>14537.266240000001</v>
          </cell>
          <cell r="K539">
            <v>9576.7900000000045</v>
          </cell>
          <cell r="L539">
            <v>3000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27114.056240000005</v>
          </cell>
          <cell r="W539" t="str">
            <v>FN006255</v>
          </cell>
        </row>
        <row r="540">
          <cell r="F540" t="str">
            <v>D_Station</v>
          </cell>
          <cell r="J540">
            <v>1063.34572</v>
          </cell>
          <cell r="K540">
            <v>200</v>
          </cell>
          <cell r="L540">
            <v>200</v>
          </cell>
          <cell r="M540">
            <v>1500</v>
          </cell>
          <cell r="N540">
            <v>3522.8326000000002</v>
          </cell>
          <cell r="O540">
            <v>6187.6640600000001</v>
          </cell>
          <cell r="P540">
            <v>10217.603779999999</v>
          </cell>
          <cell r="Q540">
            <v>320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23211.44616</v>
          </cell>
          <cell r="W540" t="str">
            <v>FN005886</v>
          </cell>
        </row>
        <row r="541">
          <cell r="J541"/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  <cell r="V541"/>
        </row>
        <row r="542">
          <cell r="J542"/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/>
        </row>
        <row r="543">
          <cell r="J543"/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/>
        </row>
        <row r="544">
          <cell r="J544"/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  <cell r="V544"/>
        </row>
        <row r="545"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</row>
        <row r="546">
          <cell r="F546" t="str">
            <v>D_Station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95</v>
          </cell>
          <cell r="O546">
            <v>1258</v>
          </cell>
          <cell r="P546">
            <v>366</v>
          </cell>
          <cell r="Q546">
            <v>1096</v>
          </cell>
          <cell r="R546">
            <v>7390</v>
          </cell>
          <cell r="S546">
            <v>7390</v>
          </cell>
          <cell r="T546">
            <v>4795.0000000000009</v>
          </cell>
          <cell r="U546">
            <v>0</v>
          </cell>
          <cell r="V546">
            <v>22390</v>
          </cell>
          <cell r="W546" t="str">
            <v>FN011383</v>
          </cell>
        </row>
        <row r="547">
          <cell r="F547" t="str">
            <v>D_Station</v>
          </cell>
          <cell r="J547">
            <v>0</v>
          </cell>
          <cell r="K547">
            <v>0</v>
          </cell>
          <cell r="L547">
            <v>0</v>
          </cell>
          <cell r="M547">
            <v>55.817999999999998</v>
          </cell>
          <cell r="N547">
            <v>741.029</v>
          </cell>
          <cell r="O547">
            <v>267.54000000000002</v>
          </cell>
          <cell r="P547">
            <v>661.15200000000004</v>
          </cell>
          <cell r="Q547">
            <v>4389.875</v>
          </cell>
          <cell r="R547">
            <v>4389.875</v>
          </cell>
          <cell r="S547">
            <v>2655.1930000000002</v>
          </cell>
          <cell r="T547">
            <v>0</v>
          </cell>
          <cell r="U547">
            <v>0</v>
          </cell>
          <cell r="V547">
            <v>13160.482</v>
          </cell>
          <cell r="W547" t="str">
            <v>FN014248</v>
          </cell>
        </row>
        <row r="548">
          <cell r="F548" t="str">
            <v>D_Station</v>
          </cell>
          <cell r="J548">
            <v>398.76840000000004</v>
          </cell>
          <cell r="K548">
            <v>150</v>
          </cell>
          <cell r="L548">
            <v>250.10086000000001</v>
          </cell>
          <cell r="M548">
            <v>1167.0644400000001</v>
          </cell>
          <cell r="N548">
            <v>2180.89372</v>
          </cell>
          <cell r="O548">
            <v>4321.7195000000002</v>
          </cell>
          <cell r="P548">
            <v>2746.3737700000001</v>
          </cell>
          <cell r="Q548">
            <v>73.943520000000007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11288.864210000002</v>
          </cell>
          <cell r="W548" t="str">
            <v>FN011069</v>
          </cell>
        </row>
        <row r="549">
          <cell r="F549" t="str">
            <v>D_Line</v>
          </cell>
          <cell r="J549">
            <v>77.580280000000002</v>
          </cell>
          <cell r="K549">
            <v>25</v>
          </cell>
          <cell r="L549">
            <v>286.30124999999998</v>
          </cell>
          <cell r="M549">
            <v>784.84825000000001</v>
          </cell>
          <cell r="N549">
            <v>2002.9312</v>
          </cell>
          <cell r="O549">
            <v>2211.9312</v>
          </cell>
          <cell r="P549">
            <v>6392.4160000000002</v>
          </cell>
          <cell r="Q549">
            <v>6314.46983</v>
          </cell>
          <cell r="R549">
            <v>2947.6194999999998</v>
          </cell>
          <cell r="S549">
            <v>0</v>
          </cell>
          <cell r="T549">
            <v>0</v>
          </cell>
          <cell r="U549">
            <v>0</v>
          </cell>
          <cell r="V549">
            <v>21043.09751</v>
          </cell>
          <cell r="W549" t="str">
            <v>FN011069</v>
          </cell>
        </row>
        <row r="550">
          <cell r="F550" t="str">
            <v>D_Line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742.5</v>
          </cell>
          <cell r="S550">
            <v>1584</v>
          </cell>
          <cell r="T550">
            <v>742.5</v>
          </cell>
          <cell r="U550">
            <v>0</v>
          </cell>
          <cell r="V550">
            <v>3069</v>
          </cell>
          <cell r="W550" t="str">
            <v>FN011562</v>
          </cell>
        </row>
        <row r="551">
          <cell r="J551"/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  <cell r="V551"/>
        </row>
        <row r="552">
          <cell r="F552" t="str">
            <v>T_Station</v>
          </cell>
          <cell r="J552">
            <v>7361.9883600000003</v>
          </cell>
          <cell r="K552">
            <v>4898.50558</v>
          </cell>
          <cell r="L552">
            <v>9422.0947099999994</v>
          </cell>
          <cell r="M552">
            <v>7358.7788799999998</v>
          </cell>
          <cell r="N552">
            <v>350.90694000000002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29392.274469999997</v>
          </cell>
          <cell r="W552" t="str">
            <v>FN008276</v>
          </cell>
        </row>
        <row r="553">
          <cell r="F553" t="str">
            <v>T_Line</v>
          </cell>
          <cell r="J553">
            <v>0</v>
          </cell>
          <cell r="K553">
            <v>1692.6544200000003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1692.6544200000003</v>
          </cell>
          <cell r="W553" t="str">
            <v>FN008276</v>
          </cell>
        </row>
        <row r="554">
          <cell r="F554" t="str">
            <v>T_Station</v>
          </cell>
          <cell r="J554">
            <v>19479.127359999999</v>
          </cell>
          <cell r="K554">
            <v>10077.46515</v>
          </cell>
          <cell r="L554">
            <v>31616.903539999999</v>
          </cell>
          <cell r="M554">
            <v>4181.1432800000002</v>
          </cell>
          <cell r="N554">
            <v>22.752490000000002</v>
          </cell>
          <cell r="O554">
            <v>1.8984399999999997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65379.290260000002</v>
          </cell>
          <cell r="W554" t="str">
            <v>FN008276</v>
          </cell>
        </row>
        <row r="555">
          <cell r="F555" t="str">
            <v>T_Station</v>
          </cell>
          <cell r="J555">
            <v>0</v>
          </cell>
          <cell r="K555">
            <v>0</v>
          </cell>
          <cell r="L555">
            <v>125</v>
          </cell>
          <cell r="M555">
            <v>1300</v>
          </cell>
          <cell r="N555">
            <v>1800</v>
          </cell>
          <cell r="O555">
            <v>15000</v>
          </cell>
          <cell r="P555">
            <v>17000</v>
          </cell>
          <cell r="Q555">
            <v>15000</v>
          </cell>
          <cell r="R555">
            <v>500</v>
          </cell>
          <cell r="S555">
            <v>0</v>
          </cell>
          <cell r="T555">
            <v>0</v>
          </cell>
          <cell r="U555">
            <v>0</v>
          </cell>
          <cell r="V555">
            <v>50725</v>
          </cell>
          <cell r="W555" t="str">
            <v>FN008683</v>
          </cell>
        </row>
        <row r="556">
          <cell r="J556"/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  <cell r="V556"/>
        </row>
        <row r="557">
          <cell r="F557" t="str">
            <v>T_Line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98</v>
          </cell>
          <cell r="P557">
            <v>1960</v>
          </cell>
          <cell r="Q557">
            <v>6860</v>
          </cell>
          <cell r="R557">
            <v>882</v>
          </cell>
          <cell r="S557">
            <v>0</v>
          </cell>
          <cell r="T557">
            <v>0</v>
          </cell>
          <cell r="U557">
            <v>0</v>
          </cell>
          <cell r="V557">
            <v>9800</v>
          </cell>
          <cell r="W557" t="str">
            <v>FN013316</v>
          </cell>
        </row>
        <row r="558">
          <cell r="J558"/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  <cell r="V558"/>
        </row>
        <row r="559">
          <cell r="J559"/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/>
        </row>
        <row r="560">
          <cell r="F560" t="str">
            <v>T_Line</v>
          </cell>
          <cell r="J560">
            <v>23678.531159999999</v>
          </cell>
          <cell r="K560">
            <v>24384.536960000001</v>
          </cell>
          <cell r="L560">
            <v>11038.94263</v>
          </cell>
          <cell r="M560">
            <v>44155.765769999998</v>
          </cell>
          <cell r="N560">
            <v>92258.201629999996</v>
          </cell>
          <cell r="O560">
            <v>66498.693100000004</v>
          </cell>
          <cell r="P560">
            <v>337.94864000000001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262352.61988999997</v>
          </cell>
          <cell r="W560" t="str">
            <v>FN008276</v>
          </cell>
        </row>
        <row r="561">
          <cell r="J561"/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</row>
        <row r="562">
          <cell r="F562" t="str">
            <v>T_Station</v>
          </cell>
          <cell r="J562">
            <v>222627.92895999999</v>
          </cell>
          <cell r="K562">
            <v>21528.00864</v>
          </cell>
          <cell r="L562">
            <v>58036.384859999998</v>
          </cell>
          <cell r="M562">
            <v>36325.691189999998</v>
          </cell>
          <cell r="N562">
            <v>14753.47041</v>
          </cell>
          <cell r="O562">
            <v>14762.380480000002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368033.86453999998</v>
          </cell>
          <cell r="W562" t="str">
            <v>FN008276</v>
          </cell>
        </row>
        <row r="563">
          <cell r="F563" t="str">
            <v>T_Station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128</v>
          </cell>
          <cell r="R563">
            <v>1059</v>
          </cell>
          <cell r="S563">
            <v>613</v>
          </cell>
          <cell r="T563">
            <v>970</v>
          </cell>
          <cell r="U563">
            <v>3526</v>
          </cell>
          <cell r="V563">
            <v>6296</v>
          </cell>
          <cell r="W563" t="str">
            <v>FN011646</v>
          </cell>
        </row>
        <row r="564">
          <cell r="F564" t="str">
            <v>D_Line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49.5</v>
          </cell>
          <cell r="Q564">
            <v>11755.26</v>
          </cell>
          <cell r="R564">
            <v>10107.9</v>
          </cell>
          <cell r="S564">
            <v>2577.96</v>
          </cell>
          <cell r="T564">
            <v>0</v>
          </cell>
          <cell r="U564">
            <v>0</v>
          </cell>
          <cell r="V564">
            <v>24490.62</v>
          </cell>
          <cell r="W564" t="str">
            <v>FN011970</v>
          </cell>
        </row>
        <row r="565">
          <cell r="F565" t="str">
            <v>T_Station</v>
          </cell>
          <cell r="J565">
            <v>0</v>
          </cell>
          <cell r="K565">
            <v>0</v>
          </cell>
          <cell r="L565">
            <v>0</v>
          </cell>
          <cell r="M565">
            <v>621.33349999999996</v>
          </cell>
          <cell r="N565">
            <v>1242.6669999999999</v>
          </cell>
          <cell r="O565">
            <v>621.33349999999996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2485.3339999999998</v>
          </cell>
          <cell r="W565" t="str">
            <v>FN013525</v>
          </cell>
        </row>
        <row r="566">
          <cell r="F566" t="str">
            <v>T_Station</v>
          </cell>
          <cell r="J566">
            <v>1016.76876</v>
          </cell>
          <cell r="K566">
            <v>894.39368999999999</v>
          </cell>
          <cell r="L566">
            <v>600.36332000000004</v>
          </cell>
          <cell r="M566">
            <v>2825.6140799999998</v>
          </cell>
          <cell r="N566">
            <v>5359.6127800000004</v>
          </cell>
          <cell r="O566">
            <v>3930.1870399999998</v>
          </cell>
          <cell r="P566">
            <v>1529.41058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16156.35025</v>
          </cell>
          <cell r="W566" t="str">
            <v>FN013525</v>
          </cell>
        </row>
        <row r="567">
          <cell r="F567" t="str">
            <v>D_Line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417.166</v>
          </cell>
          <cell r="S567">
            <v>2950.884</v>
          </cell>
          <cell r="T567">
            <v>4432.3660000000009</v>
          </cell>
          <cell r="U567">
            <v>4095.168000000001</v>
          </cell>
          <cell r="V567">
            <v>11895.584000000003</v>
          </cell>
          <cell r="W567" t="str">
            <v>FN012826</v>
          </cell>
        </row>
        <row r="568">
          <cell r="F568" t="str">
            <v>T_Line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1000</v>
          </cell>
          <cell r="V568">
            <v>1000</v>
          </cell>
          <cell r="W568" t="str">
            <v>FN011289</v>
          </cell>
        </row>
        <row r="569">
          <cell r="F569" t="str">
            <v>T_Line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143</v>
          </cell>
          <cell r="P569">
            <v>551</v>
          </cell>
          <cell r="Q569">
            <v>1381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2075</v>
          </cell>
          <cell r="W569" t="str">
            <v>FN011396</v>
          </cell>
        </row>
        <row r="570"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/>
        </row>
        <row r="571"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</row>
        <row r="572">
          <cell r="F572" t="str">
            <v>D_Line</v>
          </cell>
          <cell r="J572">
            <v>31.554560000000002</v>
          </cell>
          <cell r="K572">
            <v>169.60212000000001</v>
          </cell>
          <cell r="L572">
            <v>169.47811999999999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370.63480000000004</v>
          </cell>
          <cell r="W572" t="str">
            <v>FN005852</v>
          </cell>
        </row>
        <row r="573">
          <cell r="J573"/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</row>
        <row r="574"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/>
        </row>
        <row r="575">
          <cell r="F575" t="str">
            <v>D_Line</v>
          </cell>
          <cell r="J575">
            <v>0</v>
          </cell>
          <cell r="K575">
            <v>0</v>
          </cell>
          <cell r="L575">
            <v>135</v>
          </cell>
          <cell r="M575">
            <v>487</v>
          </cell>
          <cell r="N575">
            <v>520</v>
          </cell>
          <cell r="O575">
            <v>500</v>
          </cell>
          <cell r="P575">
            <v>7420</v>
          </cell>
          <cell r="Q575">
            <v>621</v>
          </cell>
          <cell r="R575">
            <v>487</v>
          </cell>
          <cell r="S575">
            <v>0</v>
          </cell>
          <cell r="T575">
            <v>0</v>
          </cell>
          <cell r="U575">
            <v>0</v>
          </cell>
          <cell r="V575">
            <v>10170</v>
          </cell>
          <cell r="W575" t="str">
            <v>FN011404</v>
          </cell>
        </row>
        <row r="576">
          <cell r="F576" t="str">
            <v>D_Station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155.13300000000001</v>
          </cell>
          <cell r="T576">
            <v>2063.2670000000003</v>
          </cell>
          <cell r="U576">
            <v>744.63800000000015</v>
          </cell>
          <cell r="V576">
            <v>2963.0380000000005</v>
          </cell>
          <cell r="W576" t="str">
            <v>FN011406</v>
          </cell>
        </row>
        <row r="577">
          <cell r="J577"/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  <cell r="V577"/>
        </row>
        <row r="578">
          <cell r="F578" t="str">
            <v>D_Station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134</v>
          </cell>
          <cell r="U578">
            <v>1782</v>
          </cell>
          <cell r="V578">
            <v>1916</v>
          </cell>
          <cell r="W578" t="str">
            <v>FN011289</v>
          </cell>
        </row>
        <row r="579">
          <cell r="J579"/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  <cell r="V579"/>
        </row>
        <row r="580">
          <cell r="F580" t="str">
            <v>D_Station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134</v>
          </cell>
          <cell r="V580">
            <v>134</v>
          </cell>
          <cell r="W580" t="str">
            <v>FN011310</v>
          </cell>
        </row>
        <row r="581">
          <cell r="F581" t="str">
            <v>T_Line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1000</v>
          </cell>
          <cell r="V581">
            <v>1000</v>
          </cell>
          <cell r="W581" t="str">
            <v>FN011310</v>
          </cell>
        </row>
        <row r="582">
          <cell r="F582" t="str">
            <v>D_Line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632</v>
          </cell>
          <cell r="T582">
            <v>2432</v>
          </cell>
          <cell r="U582">
            <v>3660</v>
          </cell>
          <cell r="V582">
            <v>6724</v>
          </cell>
          <cell r="W582" t="str">
            <v>FN011396</v>
          </cell>
        </row>
        <row r="583">
          <cell r="F583" t="str">
            <v>D_Station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105</v>
          </cell>
          <cell r="P583">
            <v>1397</v>
          </cell>
          <cell r="Q583">
            <v>1504</v>
          </cell>
          <cell r="R583">
            <v>1246</v>
          </cell>
          <cell r="S583">
            <v>10075</v>
          </cell>
          <cell r="T583">
            <v>9275</v>
          </cell>
          <cell r="U583">
            <v>1205</v>
          </cell>
          <cell r="V583">
            <v>24807</v>
          </cell>
          <cell r="W583" t="str">
            <v>FN011396</v>
          </cell>
        </row>
        <row r="584">
          <cell r="F584" t="str">
            <v>D_Station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128</v>
          </cell>
          <cell r="T584">
            <v>1059</v>
          </cell>
          <cell r="U584">
            <v>613.00000000000011</v>
          </cell>
          <cell r="V584">
            <v>1800</v>
          </cell>
          <cell r="W584" t="str">
            <v>FN012943</v>
          </cell>
        </row>
        <row r="585">
          <cell r="F585" t="str">
            <v>D_Line</v>
          </cell>
          <cell r="J585">
            <v>1603.3198400000001</v>
          </cell>
          <cell r="K585">
            <v>495.8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2099.1198400000003</v>
          </cell>
          <cell r="W585" t="str">
            <v>FN006357</v>
          </cell>
        </row>
        <row r="586">
          <cell r="F586" t="str">
            <v>D_Line</v>
          </cell>
          <cell r="J586">
            <v>0</v>
          </cell>
          <cell r="K586">
            <v>0</v>
          </cell>
          <cell r="L586">
            <v>25</v>
          </cell>
          <cell r="M586">
            <v>250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275</v>
          </cell>
          <cell r="W586" t="str">
            <v>FN006234</v>
          </cell>
        </row>
        <row r="587">
          <cell r="F587" t="str">
            <v>D_Station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110.25</v>
          </cell>
          <cell r="U587">
            <v>1466.325</v>
          </cell>
          <cell r="V587">
            <v>1576.575</v>
          </cell>
          <cell r="W587" t="str">
            <v>FN011427</v>
          </cell>
        </row>
        <row r="588">
          <cell r="J588"/>
          <cell r="K588"/>
          <cell r="L588"/>
          <cell r="M588"/>
          <cell r="N588"/>
          <cell r="O588"/>
          <cell r="P588"/>
          <cell r="Q588"/>
          <cell r="R588"/>
          <cell r="S588"/>
          <cell r="T588"/>
          <cell r="U588"/>
          <cell r="V588"/>
        </row>
        <row r="589">
          <cell r="J589"/>
          <cell r="K589"/>
          <cell r="L589"/>
          <cell r="M589"/>
          <cell r="N589"/>
          <cell r="O589"/>
          <cell r="P589"/>
          <cell r="Q589"/>
          <cell r="R589"/>
          <cell r="S589"/>
          <cell r="T589"/>
          <cell r="U589"/>
          <cell r="V589"/>
        </row>
        <row r="590">
          <cell r="F590" t="str">
            <v>D_Line</v>
          </cell>
          <cell r="J590">
            <v>0</v>
          </cell>
          <cell r="K590">
            <v>120</v>
          </cell>
          <cell r="L590">
            <v>240</v>
          </cell>
          <cell r="M590">
            <v>1500</v>
          </cell>
          <cell r="N590">
            <v>950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2810</v>
          </cell>
          <cell r="W590" t="str">
            <v>FN011996</v>
          </cell>
        </row>
        <row r="591">
          <cell r="F591" t="str">
            <v>D_Station</v>
          </cell>
          <cell r="J591">
            <v>0</v>
          </cell>
          <cell r="K591">
            <v>390</v>
          </cell>
          <cell r="L591">
            <v>950</v>
          </cell>
          <cell r="M591">
            <v>3400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4740</v>
          </cell>
          <cell r="W591" t="str">
            <v>FN011996</v>
          </cell>
        </row>
        <row r="592">
          <cell r="F592" t="str">
            <v>D_Line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500</v>
          </cell>
          <cell r="O592">
            <v>3647</v>
          </cell>
          <cell r="P592">
            <v>6093</v>
          </cell>
          <cell r="Q592">
            <v>6093</v>
          </cell>
          <cell r="R592">
            <v>6093</v>
          </cell>
          <cell r="S592">
            <v>6093</v>
          </cell>
          <cell r="T592">
            <v>2730</v>
          </cell>
          <cell r="U592">
            <v>0</v>
          </cell>
          <cell r="V592">
            <v>31249</v>
          </cell>
          <cell r="W592" t="str">
            <v>FN013976</v>
          </cell>
        </row>
        <row r="593">
          <cell r="F593" t="str">
            <v>D_Station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120</v>
          </cell>
          <cell r="O593">
            <v>1220</v>
          </cell>
          <cell r="P593">
            <v>580</v>
          </cell>
          <cell r="Q593">
            <v>1047</v>
          </cell>
          <cell r="R593">
            <v>5580</v>
          </cell>
          <cell r="S593">
            <v>5580</v>
          </cell>
          <cell r="T593">
            <v>3000</v>
          </cell>
          <cell r="U593">
            <v>0</v>
          </cell>
          <cell r="V593">
            <v>17127</v>
          </cell>
          <cell r="W593" t="str">
            <v>FN013976</v>
          </cell>
        </row>
        <row r="594">
          <cell r="F594" t="str">
            <v>D_Station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110.25</v>
          </cell>
          <cell r="O594">
            <v>1466.325</v>
          </cell>
          <cell r="P594">
            <v>529.20000000000005</v>
          </cell>
          <cell r="Q594">
            <v>1479.2629999999999</v>
          </cell>
          <cell r="R594">
            <v>10739.254000000001</v>
          </cell>
          <cell r="S594">
            <v>10739.254000000001</v>
          </cell>
          <cell r="T594">
            <v>6495.516999999998</v>
          </cell>
          <cell r="U594">
            <v>0</v>
          </cell>
          <cell r="V594">
            <v>31559.063000000002</v>
          </cell>
          <cell r="W594" t="str">
            <v>FN011400</v>
          </cell>
        </row>
        <row r="595">
          <cell r="F595" t="str">
            <v>D_Line</v>
          </cell>
          <cell r="J595">
            <v>0</v>
          </cell>
          <cell r="K595">
            <v>0</v>
          </cell>
          <cell r="L595">
            <v>50</v>
          </cell>
          <cell r="M595">
            <v>525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575</v>
          </cell>
          <cell r="W595" t="str">
            <v>FN006517</v>
          </cell>
        </row>
        <row r="596">
          <cell r="J596"/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  <cell r="V596"/>
        </row>
        <row r="597">
          <cell r="J597"/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  <cell r="V597"/>
        </row>
        <row r="598">
          <cell r="J598"/>
          <cell r="K598"/>
          <cell r="L598"/>
          <cell r="M598"/>
          <cell r="N598"/>
          <cell r="O598"/>
          <cell r="P598"/>
          <cell r="Q598"/>
          <cell r="R598"/>
          <cell r="S598"/>
          <cell r="T598"/>
          <cell r="U598"/>
          <cell r="V598"/>
        </row>
        <row r="599">
          <cell r="J599"/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  <cell r="V599"/>
        </row>
        <row r="600">
          <cell r="F600" t="str">
            <v>D_Line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4803</v>
          </cell>
          <cell r="R600">
            <v>821.7</v>
          </cell>
          <cell r="S600">
            <v>3159.09</v>
          </cell>
          <cell r="T600">
            <v>4754.97</v>
          </cell>
          <cell r="U600">
            <v>0</v>
          </cell>
          <cell r="V600">
            <v>13538.760000000002</v>
          </cell>
          <cell r="W600" t="str">
            <v>FN012599</v>
          </cell>
        </row>
        <row r="601">
          <cell r="F601" t="str">
            <v>D_Line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252.703</v>
          </cell>
          <cell r="S601">
            <v>2729.2</v>
          </cell>
          <cell r="T601">
            <v>1212.9780000000001</v>
          </cell>
          <cell r="U601">
            <v>2655.95235</v>
          </cell>
          <cell r="V601">
            <v>6850.833349999999</v>
          </cell>
          <cell r="W601" t="str">
            <v>FN012599</v>
          </cell>
        </row>
        <row r="602">
          <cell r="F602" t="str">
            <v>D_Line</v>
          </cell>
          <cell r="J602">
            <v>0</v>
          </cell>
          <cell r="K602">
            <v>15</v>
          </cell>
          <cell r="L602">
            <v>1184.4559999999999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1199.4559999999999</v>
          </cell>
          <cell r="W602" t="str">
            <v>FN002225</v>
          </cell>
        </row>
        <row r="603">
          <cell r="F603" t="str">
            <v>D_Station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110</v>
          </cell>
          <cell r="O603">
            <v>915</v>
          </cell>
          <cell r="P603">
            <v>529</v>
          </cell>
          <cell r="Q603">
            <v>3884</v>
          </cell>
          <cell r="R603">
            <v>2945</v>
          </cell>
          <cell r="S603">
            <v>305.65900000000005</v>
          </cell>
          <cell r="T603">
            <v>0</v>
          </cell>
          <cell r="U603">
            <v>0</v>
          </cell>
          <cell r="V603">
            <v>8688.6589999999997</v>
          </cell>
          <cell r="W603" t="str">
            <v>FN012140</v>
          </cell>
        </row>
        <row r="604">
          <cell r="J604"/>
          <cell r="K604"/>
          <cell r="L604"/>
          <cell r="M604"/>
          <cell r="N604"/>
          <cell r="O604"/>
          <cell r="P604"/>
          <cell r="Q604"/>
          <cell r="R604"/>
          <cell r="S604"/>
          <cell r="T604"/>
          <cell r="U604"/>
          <cell r="V604"/>
        </row>
        <row r="605">
          <cell r="F605" t="str">
            <v>T_Station</v>
          </cell>
          <cell r="J605">
            <v>1107.8212799999999</v>
          </cell>
          <cell r="K605">
            <v>241</v>
          </cell>
          <cell r="L605">
            <v>15.518129999999999</v>
          </cell>
          <cell r="M605">
            <v>16.34459</v>
          </cell>
          <cell r="N605">
            <v>17.215060000000001</v>
          </cell>
          <cell r="O605">
            <v>18.131889999999999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1416.0309499999998</v>
          </cell>
          <cell r="W605" t="str">
            <v>FN008347</v>
          </cell>
        </row>
        <row r="606">
          <cell r="F606" t="str">
            <v>D_Line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1504</v>
          </cell>
          <cell r="U606">
            <v>5788</v>
          </cell>
          <cell r="V606">
            <v>7292</v>
          </cell>
          <cell r="W606" t="str">
            <v>FN011538</v>
          </cell>
        </row>
        <row r="607">
          <cell r="F607" t="str">
            <v>D_Station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122</v>
          </cell>
          <cell r="U607">
            <v>1617</v>
          </cell>
          <cell r="V607">
            <v>1739</v>
          </cell>
          <cell r="W607" t="str">
            <v>FN011538</v>
          </cell>
        </row>
        <row r="608">
          <cell r="F608" t="str">
            <v>D_Line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250</v>
          </cell>
          <cell r="O608">
            <v>1865</v>
          </cell>
          <cell r="P608">
            <v>4100</v>
          </cell>
          <cell r="Q608">
            <v>6000</v>
          </cell>
          <cell r="R608">
            <v>2000</v>
          </cell>
          <cell r="S608">
            <v>1000</v>
          </cell>
          <cell r="T608">
            <v>0</v>
          </cell>
          <cell r="U608">
            <v>0</v>
          </cell>
          <cell r="V608">
            <v>15215</v>
          </cell>
          <cell r="W608" t="str">
            <v>FN012138</v>
          </cell>
        </row>
        <row r="609">
          <cell r="F609" t="str">
            <v>D_Line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26.03</v>
          </cell>
          <cell r="P609">
            <v>99.75</v>
          </cell>
          <cell r="Q609">
            <v>3440.71</v>
          </cell>
          <cell r="R609">
            <v>254.41</v>
          </cell>
          <cell r="S609">
            <v>0</v>
          </cell>
          <cell r="T609">
            <v>0</v>
          </cell>
          <cell r="U609">
            <v>0</v>
          </cell>
          <cell r="V609">
            <v>3820.9</v>
          </cell>
          <cell r="W609" t="str">
            <v>FN013957</v>
          </cell>
        </row>
        <row r="610">
          <cell r="F610" t="str">
            <v>D_Line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20</v>
          </cell>
          <cell r="O610">
            <v>2000</v>
          </cell>
          <cell r="P610">
            <v>2000</v>
          </cell>
          <cell r="Q610">
            <v>2000</v>
          </cell>
          <cell r="R610">
            <v>2000</v>
          </cell>
          <cell r="S610">
            <v>2000</v>
          </cell>
          <cell r="T610">
            <v>0</v>
          </cell>
          <cell r="U610">
            <v>0</v>
          </cell>
          <cell r="V610">
            <v>10020</v>
          </cell>
          <cell r="W610" t="str">
            <v>FN011539</v>
          </cell>
        </row>
        <row r="611">
          <cell r="F611" t="str">
            <v>D_Station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122</v>
          </cell>
          <cell r="R611">
            <v>1617</v>
          </cell>
          <cell r="S611">
            <v>583</v>
          </cell>
          <cell r="T611">
            <v>1442</v>
          </cell>
          <cell r="U611">
            <v>9579</v>
          </cell>
          <cell r="V611">
            <v>13343</v>
          </cell>
          <cell r="W611" t="str">
            <v>FN011539</v>
          </cell>
        </row>
        <row r="612">
          <cell r="J612"/>
          <cell r="K612"/>
          <cell r="L612"/>
          <cell r="M612"/>
          <cell r="N612"/>
          <cell r="O612"/>
          <cell r="P612"/>
          <cell r="Q612"/>
          <cell r="R612"/>
          <cell r="S612"/>
          <cell r="T612"/>
          <cell r="U612"/>
          <cell r="V612"/>
        </row>
        <row r="613">
          <cell r="J613"/>
          <cell r="K613"/>
          <cell r="L613"/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</row>
        <row r="614">
          <cell r="F614" t="str">
            <v>D_Station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105</v>
          </cell>
          <cell r="O614">
            <v>1396.5</v>
          </cell>
          <cell r="P614">
            <v>504</v>
          </cell>
          <cell r="Q614">
            <v>1246.0719999999999</v>
          </cell>
          <cell r="R614">
            <v>8274.8610000000008</v>
          </cell>
          <cell r="S614">
            <v>8274.8610000000008</v>
          </cell>
          <cell r="T614">
            <v>5004.9560000000001</v>
          </cell>
          <cell r="U614">
            <v>0</v>
          </cell>
          <cell r="V614">
            <v>24806.25</v>
          </cell>
          <cell r="W614" t="str">
            <v>FN011423</v>
          </cell>
        </row>
        <row r="615">
          <cell r="J615"/>
          <cell r="K615"/>
          <cell r="L615"/>
          <cell r="M615"/>
          <cell r="N615"/>
          <cell r="O615"/>
          <cell r="P615"/>
          <cell r="Q615"/>
          <cell r="R615"/>
          <cell r="S615"/>
          <cell r="T615"/>
          <cell r="U615"/>
          <cell r="V615"/>
        </row>
        <row r="616">
          <cell r="J616"/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/>
        </row>
        <row r="617">
          <cell r="J617"/>
          <cell r="K617"/>
          <cell r="L617"/>
          <cell r="M617"/>
          <cell r="N617"/>
          <cell r="O617"/>
          <cell r="P617"/>
          <cell r="Q617"/>
          <cell r="R617"/>
          <cell r="S617"/>
          <cell r="T617"/>
          <cell r="U617"/>
          <cell r="V617"/>
        </row>
        <row r="618">
          <cell r="J618"/>
          <cell r="K618"/>
          <cell r="L618"/>
          <cell r="M618"/>
          <cell r="N618"/>
          <cell r="O618"/>
          <cell r="P618"/>
          <cell r="Q618"/>
          <cell r="R618"/>
          <cell r="S618"/>
          <cell r="T618"/>
          <cell r="U618"/>
          <cell r="V618"/>
        </row>
        <row r="619">
          <cell r="J619"/>
          <cell r="K619"/>
          <cell r="L619"/>
          <cell r="M619"/>
          <cell r="N619"/>
          <cell r="O619"/>
          <cell r="P619"/>
          <cell r="Q619"/>
          <cell r="R619"/>
          <cell r="S619"/>
          <cell r="T619"/>
          <cell r="U619"/>
          <cell r="V619"/>
        </row>
        <row r="620">
          <cell r="F620" t="str">
            <v>D_Line</v>
          </cell>
          <cell r="J620">
            <v>0</v>
          </cell>
          <cell r="K620">
            <v>80</v>
          </cell>
          <cell r="L620">
            <v>280</v>
          </cell>
          <cell r="M620">
            <v>720</v>
          </cell>
          <cell r="N620">
            <v>720</v>
          </cell>
          <cell r="O620">
            <v>520</v>
          </cell>
          <cell r="P620">
            <v>20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2340</v>
          </cell>
          <cell r="W620" t="str">
            <v>FN014417</v>
          </cell>
        </row>
        <row r="621">
          <cell r="F621" t="str">
            <v>T_Station</v>
          </cell>
          <cell r="J621">
            <v>0</v>
          </cell>
          <cell r="K621">
            <v>0</v>
          </cell>
          <cell r="L621">
            <v>98</v>
          </cell>
          <cell r="M621">
            <v>2450</v>
          </cell>
          <cell r="N621">
            <v>2450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4998</v>
          </cell>
          <cell r="W621" t="str">
            <v>FN013572</v>
          </cell>
        </row>
        <row r="622">
          <cell r="F622" t="str">
            <v>T_Line</v>
          </cell>
          <cell r="J622">
            <v>0</v>
          </cell>
          <cell r="K622">
            <v>0</v>
          </cell>
          <cell r="L622">
            <v>98</v>
          </cell>
          <cell r="M622">
            <v>980</v>
          </cell>
          <cell r="N622">
            <v>2980</v>
          </cell>
          <cell r="O622">
            <v>9290</v>
          </cell>
          <cell r="P622">
            <v>9290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22638</v>
          </cell>
          <cell r="W622" t="str">
            <v>FN013572</v>
          </cell>
        </row>
        <row r="623">
          <cell r="F623" t="str">
            <v>T_Station</v>
          </cell>
          <cell r="J623">
            <v>0</v>
          </cell>
          <cell r="K623">
            <v>108</v>
          </cell>
          <cell r="L623">
            <v>225</v>
          </cell>
          <cell r="M623">
            <v>6000</v>
          </cell>
          <cell r="N623">
            <v>19800</v>
          </cell>
          <cell r="O623">
            <v>36500</v>
          </cell>
          <cell r="P623">
            <v>40500</v>
          </cell>
          <cell r="Q623">
            <v>25600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128733</v>
          </cell>
          <cell r="W623" t="str">
            <v>FN013572</v>
          </cell>
        </row>
        <row r="624">
          <cell r="F624" t="str">
            <v>D_Line</v>
          </cell>
          <cell r="J624">
            <v>0</v>
          </cell>
          <cell r="K624">
            <v>80</v>
          </cell>
          <cell r="L624">
            <v>280</v>
          </cell>
          <cell r="M624">
            <v>720</v>
          </cell>
          <cell r="N624">
            <v>720</v>
          </cell>
          <cell r="O624">
            <v>530</v>
          </cell>
          <cell r="P624">
            <v>20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2350</v>
          </cell>
          <cell r="W624" t="str">
            <v>FN014417</v>
          </cell>
        </row>
        <row r="625">
          <cell r="J625"/>
          <cell r="K625"/>
          <cell r="L625"/>
          <cell r="M625"/>
          <cell r="N625"/>
          <cell r="O625"/>
          <cell r="P625"/>
          <cell r="Q625"/>
          <cell r="R625"/>
          <cell r="S625"/>
          <cell r="T625"/>
          <cell r="U625"/>
          <cell r="V625"/>
        </row>
        <row r="626">
          <cell r="J626"/>
          <cell r="K626"/>
          <cell r="L626"/>
          <cell r="M626"/>
          <cell r="N626"/>
          <cell r="O626"/>
          <cell r="P626"/>
          <cell r="Q626"/>
          <cell r="R626"/>
          <cell r="S626"/>
          <cell r="T626"/>
          <cell r="U626"/>
          <cell r="V626"/>
        </row>
        <row r="627">
          <cell r="F627" t="str">
            <v>D_Line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126.72011999999999</v>
          </cell>
          <cell r="Q627">
            <v>1048.4102399999999</v>
          </cell>
          <cell r="R627">
            <v>606.87023999999997</v>
          </cell>
          <cell r="S627">
            <v>960.3</v>
          </cell>
          <cell r="T627">
            <v>7117.1096399999997</v>
          </cell>
          <cell r="U627">
            <v>98.999930000000006</v>
          </cell>
          <cell r="V627">
            <v>9958.4101699999992</v>
          </cell>
          <cell r="W627" t="str">
            <v>FN011971</v>
          </cell>
        </row>
        <row r="628">
          <cell r="J628"/>
          <cell r="K628"/>
          <cell r="L628"/>
          <cell r="M628"/>
          <cell r="N628"/>
          <cell r="O628"/>
          <cell r="P628"/>
          <cell r="Q628"/>
          <cell r="R628"/>
          <cell r="S628"/>
          <cell r="T628"/>
          <cell r="U628"/>
          <cell r="V628"/>
        </row>
        <row r="629">
          <cell r="J629"/>
          <cell r="K629"/>
          <cell r="L629"/>
          <cell r="M629"/>
          <cell r="N629"/>
          <cell r="O629"/>
          <cell r="P629"/>
          <cell r="Q629"/>
          <cell r="R629"/>
          <cell r="S629"/>
          <cell r="T629"/>
          <cell r="U629"/>
          <cell r="V629"/>
        </row>
        <row r="630">
          <cell r="F630" t="str">
            <v>T_Line</v>
          </cell>
          <cell r="J630">
            <v>235496.03692000001</v>
          </cell>
          <cell r="K630">
            <v>3306.3641400000001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238802.40106</v>
          </cell>
          <cell r="W630" t="str">
            <v>FN010101</v>
          </cell>
        </row>
        <row r="631">
          <cell r="F631" t="str">
            <v>D_Line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2299.77</v>
          </cell>
          <cell r="S631">
            <v>8844.66</v>
          </cell>
          <cell r="T631">
            <v>10285.11</v>
          </cell>
          <cell r="U631">
            <v>0</v>
          </cell>
          <cell r="V631">
            <v>21429.54</v>
          </cell>
          <cell r="W631" t="str">
            <v>FN012598</v>
          </cell>
        </row>
        <row r="632">
          <cell r="F632" t="str">
            <v>D_Line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328.68</v>
          </cell>
          <cell r="S632">
            <v>1263.24</v>
          </cell>
          <cell r="T632">
            <v>5035.1400000000021</v>
          </cell>
          <cell r="U632">
            <v>321.75</v>
          </cell>
          <cell r="V632">
            <v>6948.8100000000022</v>
          </cell>
          <cell r="W632" t="str">
            <v>FN012598</v>
          </cell>
        </row>
        <row r="633">
          <cell r="J633"/>
          <cell r="K633"/>
          <cell r="L633"/>
          <cell r="M633"/>
          <cell r="N633"/>
          <cell r="O633"/>
          <cell r="P633"/>
          <cell r="Q633"/>
          <cell r="R633"/>
          <cell r="S633"/>
          <cell r="T633"/>
          <cell r="U633"/>
          <cell r="V633"/>
        </row>
        <row r="634">
          <cell r="J634"/>
          <cell r="K634"/>
          <cell r="L634"/>
          <cell r="M634"/>
          <cell r="N634"/>
          <cell r="O634"/>
          <cell r="P634"/>
          <cell r="Q634"/>
          <cell r="R634"/>
          <cell r="S634"/>
          <cell r="T634"/>
          <cell r="U634"/>
          <cell r="V634"/>
        </row>
        <row r="635">
          <cell r="J635"/>
          <cell r="K635"/>
          <cell r="L635"/>
          <cell r="M635"/>
          <cell r="N635"/>
          <cell r="O635"/>
          <cell r="P635"/>
          <cell r="Q635"/>
          <cell r="R635"/>
          <cell r="S635"/>
          <cell r="T635"/>
          <cell r="U635"/>
          <cell r="V635"/>
        </row>
        <row r="636">
          <cell r="F636" t="str">
            <v>D_Line</v>
          </cell>
          <cell r="J636">
            <v>0</v>
          </cell>
          <cell r="K636">
            <v>0</v>
          </cell>
          <cell r="L636">
            <v>0</v>
          </cell>
          <cell r="M636">
            <v>136.5</v>
          </cell>
          <cell r="N636">
            <v>525</v>
          </cell>
          <cell r="O636">
            <v>4100</v>
          </cell>
          <cell r="P636">
            <v>1754.645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6516.1450000000004</v>
          </cell>
          <cell r="W636" t="str">
            <v>FN011388</v>
          </cell>
        </row>
        <row r="637">
          <cell r="J637"/>
          <cell r="K637"/>
          <cell r="L637"/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</row>
        <row r="638">
          <cell r="J638"/>
          <cell r="K638"/>
          <cell r="L638"/>
          <cell r="M638"/>
          <cell r="N638"/>
          <cell r="O638"/>
          <cell r="P638"/>
          <cell r="Q638"/>
          <cell r="R638"/>
          <cell r="S638"/>
          <cell r="T638"/>
          <cell r="U638"/>
          <cell r="V638"/>
        </row>
        <row r="639">
          <cell r="J639"/>
          <cell r="K639"/>
          <cell r="L639"/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</row>
        <row r="640">
          <cell r="F640" t="str">
            <v>XXXXX</v>
          </cell>
          <cell r="J640" t="str">
            <v>XXXXX</v>
          </cell>
          <cell r="K640" t="str">
            <v>XXXXX</v>
          </cell>
          <cell r="L640" t="str">
            <v>XXXXX</v>
          </cell>
          <cell r="M640" t="str">
            <v>XXXXX</v>
          </cell>
          <cell r="N640" t="str">
            <v>XXXXX</v>
          </cell>
          <cell r="O640" t="str">
            <v>XXXXX</v>
          </cell>
          <cell r="P640" t="str">
            <v>XXXXX</v>
          </cell>
          <cell r="Q640" t="str">
            <v>XXXXX</v>
          </cell>
          <cell r="R640" t="str">
            <v>XXXXX</v>
          </cell>
          <cell r="S640" t="str">
            <v>XXXXX</v>
          </cell>
          <cell r="T640" t="str">
            <v>XXXXX</v>
          </cell>
          <cell r="U640" t="str">
            <v>XXXXX</v>
          </cell>
          <cell r="V640" t="str">
            <v>XXXXX</v>
          </cell>
          <cell r="W640" t="str">
            <v>XXXXX</v>
          </cell>
        </row>
        <row r="642">
          <cell r="J642">
            <v>3144707.8584800004</v>
          </cell>
          <cell r="K642">
            <v>707340.21445886639</v>
          </cell>
          <cell r="L642">
            <v>1069396.70952</v>
          </cell>
          <cell r="M642">
            <v>1033241.4445099996</v>
          </cell>
          <cell r="N642">
            <v>985525.22508</v>
          </cell>
          <cell r="O642">
            <v>790430.75407000014</v>
          </cell>
          <cell r="P642">
            <v>425122.99775000016</v>
          </cell>
          <cell r="Q642">
            <v>498458.27975999995</v>
          </cell>
          <cell r="R642">
            <v>583649.25948000001</v>
          </cell>
          <cell r="S642">
            <v>626986.31486999989</v>
          </cell>
          <cell r="T642">
            <v>702861.33944000013</v>
          </cell>
          <cell r="U642">
            <v>510492.66987999994</v>
          </cell>
          <cell r="V642">
            <v>10702901.092298869</v>
          </cell>
        </row>
        <row r="643">
          <cell r="J643" t="str">
            <v>Prior to FY26 Capex Spend</v>
          </cell>
          <cell r="K643" t="str">
            <v>FY26 Capex Forecast</v>
          </cell>
          <cell r="L643" t="str">
            <v>FY27 Capex Forecast</v>
          </cell>
          <cell r="M643" t="str">
            <v>FY28 Capex Forecast</v>
          </cell>
          <cell r="N643" t="str">
            <v>FY29 Capex Forecast</v>
          </cell>
          <cell r="O643" t="str">
            <v>FY30 Capex Forecast</v>
          </cell>
          <cell r="P643" t="str">
            <v>FY31 Capex Forecast</v>
          </cell>
          <cell r="Q643" t="str">
            <v>FY32 Capex Forecast</v>
          </cell>
          <cell r="R643" t="str">
            <v>FY33 Capex Forecast</v>
          </cell>
          <cell r="S643" t="str">
            <v>FY34 Capex Forecast</v>
          </cell>
          <cell r="T643" t="str">
            <v>FY35 Capex Forecast</v>
          </cell>
          <cell r="U643" t="str">
            <v>FY36 Capex Forecast</v>
          </cell>
          <cell r="V643" t="str">
            <v>Sum</v>
          </cell>
        </row>
        <row r="644">
          <cell r="J644" t="b">
            <v>1</v>
          </cell>
          <cell r="K644" t="b">
            <v>1</v>
          </cell>
          <cell r="L644" t="b">
            <v>1</v>
          </cell>
          <cell r="M644" t="b">
            <v>1</v>
          </cell>
          <cell r="N644" t="b">
            <v>1</v>
          </cell>
          <cell r="O644" t="b">
            <v>1</v>
          </cell>
          <cell r="P644" t="b">
            <v>1</v>
          </cell>
          <cell r="Q644" t="b">
            <v>1</v>
          </cell>
          <cell r="R644" t="b">
            <v>1</v>
          </cell>
          <cell r="S644" t="b">
            <v>1</v>
          </cell>
          <cell r="T644" t="b">
            <v>1</v>
          </cell>
          <cell r="U644" t="b">
            <v>1</v>
          </cell>
          <cell r="V644" t="b">
            <v>1</v>
          </cell>
        </row>
        <row r="646">
          <cell r="J646">
            <v>3144707.8584800004</v>
          </cell>
          <cell r="K646">
            <v>781860.2887688668</v>
          </cell>
          <cell r="L646">
            <v>1168563.2826299998</v>
          </cell>
          <cell r="M646">
            <v>1104849.1198499997</v>
          </cell>
          <cell r="N646">
            <v>1116364.60427</v>
          </cell>
          <cell r="O646">
            <v>949858.92857999995</v>
          </cell>
          <cell r="P646">
            <v>667967.53001999995</v>
          </cell>
          <cell r="Q646">
            <v>772469.64233000018</v>
          </cell>
          <cell r="R646">
            <v>788435.08511000057</v>
          </cell>
          <cell r="S646">
            <v>828457.54605000024</v>
          </cell>
          <cell r="T646">
            <v>911722.65090000001</v>
          </cell>
          <cell r="U646">
            <v>751490.78022000007</v>
          </cell>
          <cell r="V646">
            <v>12986747.317208877</v>
          </cell>
        </row>
        <row r="647">
          <cell r="J647">
            <v>0</v>
          </cell>
          <cell r="K647">
            <v>-74520.074310000404</v>
          </cell>
          <cell r="L647">
            <v>-99166.573109999765</v>
          </cell>
          <cell r="M647">
            <v>-71607.675340000074</v>
          </cell>
          <cell r="N647">
            <v>-130839.37919000001</v>
          </cell>
          <cell r="O647">
            <v>-159428.17450999981</v>
          </cell>
          <cell r="P647">
            <v>-242844.53226999979</v>
          </cell>
          <cell r="Q647">
            <v>-274011.36257000023</v>
          </cell>
          <cell r="R647">
            <v>-204785.82563000056</v>
          </cell>
          <cell r="S647">
            <v>-201471.23118000035</v>
          </cell>
          <cell r="T647">
            <v>-208861.31145999988</v>
          </cell>
          <cell r="U647">
            <v>-240998.11034000013</v>
          </cell>
          <cell r="V647">
            <v>-2283846.2249100078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oneymaker, Nathaniel (DPS)" id="{422CA6D5-EF9B-462F-AC18-DCD8AD03E494}" userId="S::Nathaniel.Moneymaker@dps.ny.gov::eb3aeac6-214b-4090-92f1-0f5ce7854116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C0187E6-C3BC-4B0A-A60B-1ADE639EF99E}" name="Table1" displayName="Table1" ref="U4:AH194" totalsRowShown="0" dataDxfId="203" dataCellStyle="Currency">
  <autoFilter ref="U4:AH194" xr:uid="{8C0187E6-C3BC-4B0A-A60B-1ADE639EF99E}"/>
  <sortState xmlns:xlrd2="http://schemas.microsoft.com/office/spreadsheetml/2017/richdata2" ref="U5:AH194">
    <sortCondition ref="U4:U194"/>
  </sortState>
  <tableColumns count="14">
    <tableColumn id="1" xr3:uid="{35345CDC-09C0-4978-ACD8-F23A5114184F}" name="Project #" dataDxfId="202" dataCellStyle="Currency"/>
    <tableColumn id="2" xr3:uid="{902E34D2-42D4-4FE4-8627-08B7E35D4768}" name="Substation" dataDxfId="201" dataCellStyle="Currency"/>
    <tableColumn id="3" xr3:uid="{98C45F08-55AA-4927-A8A1-7C5977AD5DD6}" name="MW" dataDxfId="200" dataCellStyle="Currency"/>
    <tableColumn id="4" xr3:uid="{152F5E2A-12AF-4B60-999F-53D86511CD78}" name="pre 2026" dataDxfId="199" dataCellStyle="Currency"/>
    <tableColumn id="5" xr3:uid="{C0FF9947-AB1E-410D-8B9C-7E3F95B06403}" name="2026" dataDxfId="198" dataCellStyle="Currency"/>
    <tableColumn id="6" xr3:uid="{502303F4-15CA-4513-94D1-0E8FA2F5E0F2}" name="2027" dataDxfId="197" dataCellStyle="Currency"/>
    <tableColumn id="7" xr3:uid="{03C07FA4-9B7F-40C4-9A83-893367ECFF07}" name="2028" dataDxfId="196" dataCellStyle="Currency"/>
    <tableColumn id="8" xr3:uid="{B8EB22C3-D653-41E0-AC00-0F91A12561D9}" name="2029" dataDxfId="195" dataCellStyle="Currency"/>
    <tableColumn id="9" xr3:uid="{FEFE43A0-D29B-4579-B2BD-510A44BEE344}" name="2030" dataDxfId="194" dataCellStyle="Currency"/>
    <tableColumn id="10" xr3:uid="{10C4E58C-67CA-4D4A-895C-1F925963FC38}" name="2031" dataDxfId="193" dataCellStyle="Currency"/>
    <tableColumn id="11" xr3:uid="{27725750-325F-47C7-89BE-916F0673AF04}" name="2032" dataDxfId="192" dataCellStyle="Currency"/>
    <tableColumn id="12" xr3:uid="{FA82E9D7-3E1B-494A-9F8B-2EDA052A9A87}" name="2033" dataDxfId="191" dataCellStyle="Currency"/>
    <tableColumn id="13" xr3:uid="{ADC1191C-D7EA-4030-BDEB-B1766A264F7B}" name="2034" dataDxfId="190" dataCellStyle="Currency"/>
    <tableColumn id="14" xr3:uid="{86ACA598-A5CA-49F1-B6C5-56BEF2947D38}" name="2035" dataDxfId="189" dataCellStyle="Currency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8EB1648-9B48-4FAB-B7CF-77A11C6B681E}" name="Table2" displayName="Table2" ref="A5:O253" totalsRowShown="0" dataDxfId="187" headerRowBorderDxfId="188" dataCellStyle="Currency">
  <autoFilter ref="A5:O253" xr:uid="{68EB1648-9B48-4FAB-B7CF-77A11C6B681E}"/>
  <sortState xmlns:xlrd2="http://schemas.microsoft.com/office/spreadsheetml/2017/richdata2" ref="A6:O253">
    <sortCondition ref="A5:A253"/>
  </sortState>
  <tableColumns count="15">
    <tableColumn id="1" xr3:uid="{AFC8FB43-9308-4706-855B-013C8204D7EA}" name="Substation on Distribution Tab"/>
    <tableColumn id="2" xr3:uid="{F38054FA-35D1-457E-A7DC-A59A5781E81B}" name="FN Parent  #"/>
    <tableColumn id="3" xr3:uid="{DF7B2D44-E250-4CDE-93D7-C9C831748AA1}" name="InvestType"/>
    <tableColumn id="4" xr3:uid="{A7AA03C1-68FB-4331-9BF5-18FF852A7B2C}" name="FINAL Project System Capacity (MW)"/>
    <tableColumn id="5" xr3:uid="{C1FD8895-C14B-4AA8-B14A-E3756377A30D}" name="Prior to FY26 Capex Spend" dataDxfId="186" dataCellStyle="Currency"/>
    <tableColumn id="6" xr3:uid="{723A5E00-F590-4C71-A32B-5554251C4DBC}" name="FY26 Capex Forecast" dataDxfId="185" dataCellStyle="Currency"/>
    <tableColumn id="7" xr3:uid="{2EE74A53-ACFF-47FF-9634-6CF7B5B215D7}" name="FY27 Capex Forecast" dataDxfId="184" dataCellStyle="Currency"/>
    <tableColumn id="8" xr3:uid="{C8F7DCA2-6ABC-4756-BB00-ADE36A8A4BAD}" name="FY28 Capex Forecast" dataDxfId="183" dataCellStyle="Currency"/>
    <tableColumn id="9" xr3:uid="{76A6944A-7AF2-4274-8A5B-EC5A5EDC8132}" name="FY29 Capex Forecast" dataDxfId="182" dataCellStyle="Currency"/>
    <tableColumn id="10" xr3:uid="{F64F17EB-ABEA-42A1-AA71-6A92CA293EB4}" name="FY30 Capex Forecast" dataDxfId="181" dataCellStyle="Currency"/>
    <tableColumn id="11" xr3:uid="{893BA6A9-8CE4-4C1C-9978-4E7B72DA14D8}" name="FY31 Capex Forecast" dataDxfId="180" dataCellStyle="Currency"/>
    <tableColumn id="12" xr3:uid="{95E6D31B-56CA-43FD-A9DE-804BD3BED033}" name="FY32 Capex Forecast" dataDxfId="179" dataCellStyle="Currency"/>
    <tableColumn id="13" xr3:uid="{F5C17B91-B577-4F2E-9539-B13D1F22C832}" name="FY33 Capex Forecast" dataDxfId="178" dataCellStyle="Currency"/>
    <tableColumn id="14" xr3:uid="{84CA71AE-9246-4E71-9E43-8C72D10047BE}" name="FY34 Capex Forecast" dataDxfId="177" dataCellStyle="Currency"/>
    <tableColumn id="15" xr3:uid="{F1270514-E3B5-4CE8-A116-C0D79163228D}" name="FY35 Capex Forecast" dataDxfId="176" dataCellStyle="Currency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49C3FDD-0491-4D60-BFF3-65F4DFFFC53E}" name="Table3" displayName="Table3" ref="B4:P117" totalsRowShown="0" dataDxfId="175" dataCellStyle="Currency">
  <autoFilter ref="B4:P117" xr:uid="{649C3FDD-0491-4D60-BFF3-65F4DFFFC53E}"/>
  <sortState xmlns:xlrd2="http://schemas.microsoft.com/office/spreadsheetml/2017/richdata2" ref="B5:P117">
    <sortCondition ref="D4:D117"/>
  </sortState>
  <tableColumns count="15">
    <tableColumn id="1" xr3:uid="{D1F255EF-F348-476B-8DBD-856F8DAA21E2}" name="Project #"/>
    <tableColumn id="2" xr3:uid="{37266C92-174B-4105-B8D9-AC3817B3F2B5}" name="Substation"/>
    <tableColumn id="3" xr3:uid="{E38BBF93-3EA3-4380-BCFD-4A33FFF06540}" name="Type"/>
    <tableColumn id="4" xr3:uid="{D305D28D-36DA-4408-97FC-2984368BB6E5}" name="FINAL Project System Capacity (MW)"/>
    <tableColumn id="5" xr3:uid="{D304014F-FD85-4868-8FA9-0382D175D65A}" name="Prior to FY26 Capex Spend" dataDxfId="174" dataCellStyle="Currency"/>
    <tableColumn id="6" xr3:uid="{C0FF26D7-EC84-48BC-BB9B-0CFD1DB81BBC}" name="FY26 Capex Forecast" dataDxfId="173" dataCellStyle="Currency"/>
    <tableColumn id="7" xr3:uid="{F5B6F416-8045-43A5-9F55-49AAD79E0A5E}" name="FY27 Capex Forecast" dataDxfId="172" dataCellStyle="Currency"/>
    <tableColumn id="8" xr3:uid="{8A6B7F31-E3FD-40A5-857B-C0AEEB81F617}" name="FY28 Capex Forecast" dataDxfId="171" dataCellStyle="Currency"/>
    <tableColumn id="9" xr3:uid="{76693139-92D0-4732-A459-22D33B64767F}" name="FY29 Capex Forecast" dataDxfId="170" dataCellStyle="Currency"/>
    <tableColumn id="10" xr3:uid="{8975C698-5B76-4A6F-B7EE-9BF572FAD15C}" name="FY30 Capex Forecast" dataDxfId="169" dataCellStyle="Currency"/>
    <tableColumn id="11" xr3:uid="{DE0F7414-DF22-4D9E-AD1F-A54779E7BE25}" name="FY31 Capex Forecast" dataDxfId="168" dataCellStyle="Currency"/>
    <tableColumn id="12" xr3:uid="{0CD1815E-DD98-490B-9DA4-DFD4A0A9B2AA}" name="FY32 Capex Forecast" dataDxfId="167" dataCellStyle="Currency"/>
    <tableColumn id="13" xr3:uid="{13E2BA58-6254-4E8E-B006-F3396B550D04}" name="FY33 Capex Forecast" dataDxfId="166" dataCellStyle="Currency"/>
    <tableColumn id="14" xr3:uid="{C1E399DD-80B2-435E-9ADD-EE365A3935CA}" name="FY34 Capex Forecast" dataDxfId="165" dataCellStyle="Currency"/>
    <tableColumn id="15" xr3:uid="{97F7BA17-9EF0-418C-B81D-61B15AEA9BFB}" name="FY35 Capex Forecast" dataDxfId="164" dataCellStyle="Currency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65" dT="2025-11-14T14:13:27.57" personId="{422CA6D5-EF9B-462F-AC18-DCD8AD03E494}" id="{33B0F53E-A4C1-4137-8526-1A04D3FD4A1C}">
    <text xml:space="preserve"> FN000507 </text>
  </threadedComment>
  <threadedComment ref="B166" dT="2025-11-14T14:14:24.06" personId="{422CA6D5-EF9B-462F-AC18-DCD8AD03E494}" id="{FFCA375D-D2EC-4AA8-8E07-4FE21BF6481B}">
    <text xml:space="preserve"> FN010416 </text>
  </threadedComment>
  <threadedComment ref="B167" dT="2025-11-14T14:15:12.79" personId="{422CA6D5-EF9B-462F-AC18-DCD8AD03E494}" id="{0C1B59B6-A64C-4290-91C4-EB76121748C7}">
    <text xml:space="preserve"> FN000138 </text>
  </threadedComment>
  <threadedComment ref="B168" dT="2025-11-14T14:15:56.16" personId="{422CA6D5-EF9B-462F-AC18-DCD8AD03E494}" id="{7D288ABE-DEB4-4E8D-B4DC-D1AF152AF2C8}">
    <text xml:space="preserve"> FN002420 </text>
  </threadedComment>
  <threadedComment ref="B169" dT="2025-11-14T14:16:55.84" personId="{422CA6D5-EF9B-462F-AC18-DCD8AD03E494}" id="{85EF8C2D-41D2-4219-BEF5-6FC5979E06C5}">
    <text xml:space="preserve"> FN000570 </text>
  </threadedComment>
  <threadedComment ref="B170" dT="2025-11-14T14:17:51.33" personId="{422CA6D5-EF9B-462F-AC18-DCD8AD03E494}" id="{FD649D0E-0FC9-47C5-9717-FEC12B0C896B}">
    <text xml:space="preserve"> FN011558 </text>
  </threadedComment>
  <threadedComment ref="B171" dT="2025-11-14T14:18:02.39" personId="{422CA6D5-EF9B-462F-AC18-DCD8AD03E494}" id="{4A5778FE-DD6A-4AF4-84E0-1ED7F9B6716A}">
    <text xml:space="preserve"> FN011559</text>
  </threadedComment>
  <threadedComment ref="B172" dT="2025-11-14T14:19:38.78" personId="{422CA6D5-EF9B-462F-AC18-DCD8AD03E494}" id="{D5E26AA7-4E0F-47AA-A52D-8F56C5349A90}">
    <text xml:space="preserve"> FN002393 </text>
  </threadedComment>
  <threadedComment ref="B173" dT="2025-11-14T14:18:54.03" personId="{422CA6D5-EF9B-462F-AC18-DCD8AD03E494}" id="{CB640162-3AC6-4852-BDFB-FAA52A3F6323}">
    <text xml:space="preserve"> FN012008 </text>
  </threadedComment>
  <threadedComment ref="B174" dT="2025-11-14T17:51:01.86" personId="{422CA6D5-EF9B-462F-AC18-DCD8AD03E494}" id="{0B6E9B95-587F-47AA-9734-DBD768121516}">
    <text xml:space="preserve"> FN011363 </text>
  </threadedComment>
  <threadedComment ref="B175" dT="2025-11-14T17:49:49.73" personId="{422CA6D5-EF9B-462F-AC18-DCD8AD03E494}" id="{73D967D7-BE78-4B30-B9A8-309F07260434}">
    <text xml:space="preserve"> FN012610 </text>
  </threadedComment>
  <threadedComment ref="B176" dT="2025-11-14T17:51:42.30" personId="{422CA6D5-EF9B-462F-AC18-DCD8AD03E494}" id="{82011FF3-3ADF-470F-BAF8-7579557B2E98}">
    <text xml:space="preserve"> FN011352 </text>
  </threadedComment>
  <threadedComment ref="B177" dT="2025-11-14T17:52:33.93" personId="{422CA6D5-EF9B-462F-AC18-DCD8AD03E494}" id="{221091AD-4A93-4AAB-8002-6839E1CED8FB}">
    <text xml:space="preserve"> FN014222 </text>
  </threadedComment>
  <threadedComment ref="B178" dT="2025-11-14T17:53:09.39" personId="{422CA6D5-EF9B-462F-AC18-DCD8AD03E494}" id="{BAE28F43-9FB3-43B5-BFF4-D9C2FCE60253}">
    <text xml:space="preserve"> FN011414 </text>
  </threadedComment>
  <threadedComment ref="B179" dT="2025-11-14T17:54:02.02" personId="{422CA6D5-EF9B-462F-AC18-DCD8AD03E494}" id="{14797F31-8E6F-4195-A4C3-49A77786CB78}">
    <text xml:space="preserve"> FN011413 </text>
  </threadedComment>
  <threadedComment ref="B180" dT="2025-11-14T17:55:05.06" personId="{422CA6D5-EF9B-462F-AC18-DCD8AD03E494}" id="{BDD518F5-DF6D-4961-886A-CA550E9E0F63}">
    <text xml:space="preserve"> FN011848 </text>
  </threadedComment>
  <threadedComment ref="B181" dT="2025-11-14T17:55:44.16" personId="{422CA6D5-EF9B-462F-AC18-DCD8AD03E494}" id="{D9E793E4-960A-4190-A827-769704AE4429}">
    <text xml:space="preserve"> FN006634 </text>
  </threadedComment>
  <threadedComment ref="B182" dT="2025-11-14T17:56:20.74" personId="{422CA6D5-EF9B-462F-AC18-DCD8AD03E494}" id="{0E8F2E6E-5A34-4509-BA60-1E823192B5F3}">
    <text xml:space="preserve"> FN006637 </text>
  </threadedComment>
  <threadedComment ref="B183" dT="2025-11-14T17:57:01.15" personId="{422CA6D5-EF9B-462F-AC18-DCD8AD03E494}" id="{CC9DE87C-FB45-498B-9C27-A90D7F603BD8}">
    <text xml:space="preserve"> FN011440 </text>
  </threadedComment>
  <threadedComment ref="B184" dT="2025-11-14T17:57:42.59" personId="{422CA6D5-EF9B-462F-AC18-DCD8AD03E494}" id="{2CBE6A64-AD92-4E3D-975A-B686EEBC87B7}">
    <text xml:space="preserve"> FN010312 </text>
  </threadedComment>
  <threadedComment ref="B185" dT="2025-11-14T17:59:03.18" personId="{422CA6D5-EF9B-462F-AC18-DCD8AD03E494}" id="{D105CBC3-9D54-4CB0-85F7-FF04A6C4D3EA}">
    <text xml:space="preserve"> FN004729</text>
  </threadedComment>
  <threadedComment ref="B186" dT="2025-11-14T17:58:49.11" personId="{422CA6D5-EF9B-462F-AC18-DCD8AD03E494}" id="{2F354F63-6A12-43C0-B5D5-F7DB6F738D0D}">
    <text xml:space="preserve"> FN004723 </text>
  </threadedComment>
  <threadedComment ref="B187" dT="2025-11-14T18:00:52.13" personId="{422CA6D5-EF9B-462F-AC18-DCD8AD03E494}" id="{06FA1430-5FA9-4E81-A49A-65764F2433F4}">
    <text xml:space="preserve"> FN011387A </text>
  </threadedComment>
  <threadedComment ref="B188" dT="2025-11-14T18:01:29.24" personId="{422CA6D5-EF9B-462F-AC18-DCD8AD03E494}" id="{EFE831C3-D168-4EAE-B43F-B1B5C837A6C8}">
    <text xml:space="preserve"> FN011545 </text>
  </threadedComment>
  <threadedComment ref="B189" dT="2025-11-14T18:04:30.26" personId="{422CA6D5-EF9B-462F-AC18-DCD8AD03E494}" id="{DEA96882-82F1-4A0D-B988-EC7347D64133}">
    <text xml:space="preserve"> FN011544 </text>
  </threadedComment>
  <threadedComment ref="B190" dT="2025-11-14T18:04:38.37" personId="{422CA6D5-EF9B-462F-AC18-DCD8AD03E494}" id="{7805B530-B1C8-446B-B55C-61ADABC9A72B}">
    <text xml:space="preserve"> FN011543</text>
  </threadedComment>
  <threadedComment ref="B191" dT="2025-11-14T18:05:28.22" personId="{422CA6D5-EF9B-462F-AC18-DCD8AD03E494}" id="{801881C0-983B-4C3B-B55C-B2DEF0480657}">
    <text xml:space="preserve"> FN000216A </text>
  </threadedComment>
  <threadedComment ref="B192" dT="2025-11-14T18:06:14.69" personId="{422CA6D5-EF9B-462F-AC18-DCD8AD03E494}" id="{C322AD4A-19D5-4021-BEFD-EF7D4FAA5A88}">
    <text xml:space="preserve"> FN010022 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41" dT="2025-11-14T14:17:51.33" personId="{422CA6D5-EF9B-462F-AC18-DCD8AD03E494}" id="{69FE56AF-45DE-4C42-89BC-9E31B340F5BF}">
    <text xml:space="preserve"> FN011558 </text>
  </threadedComment>
  <threadedComment ref="R41" dT="2025-11-14T14:17:51.33" personId="{422CA6D5-EF9B-462F-AC18-DCD8AD03E494}" id="{7B554351-DA96-4512-B522-098E5A14CD7E}">
    <text xml:space="preserve"> FN011558 </text>
  </threadedComment>
  <threadedComment ref="B42" dT="2025-11-14T14:18:02.39" personId="{422CA6D5-EF9B-462F-AC18-DCD8AD03E494}" id="{916913C2-DD39-4421-ABF3-0AA0424778AA}">
    <text xml:space="preserve"> FN011559</text>
  </threadedComment>
  <threadedComment ref="R42" dT="2025-11-14T14:18:02.39" personId="{422CA6D5-EF9B-462F-AC18-DCD8AD03E494}" id="{1B03425D-8A87-43D4-96C5-4FDEBD472CDC}">
    <text xml:space="preserve"> FN011559</text>
  </threadedComment>
  <threadedComment ref="B43" dT="2025-11-14T18:01:29.24" personId="{422CA6D5-EF9B-462F-AC18-DCD8AD03E494}" id="{B790AEAB-D683-4F58-BC38-2D791F997396}">
    <text xml:space="preserve"> FN011545 </text>
  </threadedComment>
  <threadedComment ref="R43" dT="2025-11-14T18:01:29.24" personId="{422CA6D5-EF9B-462F-AC18-DCD8AD03E494}" id="{07FACDBB-0DDA-41F7-BAD2-9D6990C857D1}">
    <text xml:space="preserve"> FN011545 </text>
  </threadedComment>
  <threadedComment ref="B52" dT="2025-11-14T14:19:38.78" personId="{422CA6D5-EF9B-462F-AC18-DCD8AD03E494}" id="{2B7000F4-7FCD-438F-A3E2-B66BE4888523}">
    <text xml:space="preserve"> FN002393 </text>
  </threadedComment>
  <threadedComment ref="R52" dT="2025-11-14T14:19:38.78" personId="{422CA6D5-EF9B-462F-AC18-DCD8AD03E494}" id="{64847941-1F90-462D-B0D1-03F570C2F860}">
    <text xml:space="preserve"> FN002393 </text>
  </threadedComment>
  <threadedComment ref="B53" dT="2025-11-14T14:18:54.03" personId="{422CA6D5-EF9B-462F-AC18-DCD8AD03E494}" id="{AB603073-D97B-48D0-8D47-E5FBD4A6B548}">
    <text xml:space="preserve"> FN012008 </text>
  </threadedComment>
  <threadedComment ref="R53" dT="2025-11-14T14:18:54.03" personId="{422CA6D5-EF9B-462F-AC18-DCD8AD03E494}" id="{0B12E5C3-AD9F-4B4B-A1DF-E604C7100FF2}">
    <text xml:space="preserve"> FN012008 </text>
  </threadedComment>
  <threadedComment ref="B63" dT="2025-11-14T17:49:49.73" personId="{422CA6D5-EF9B-462F-AC18-DCD8AD03E494}" id="{7021DB69-8EB1-4DCF-A866-F93B38C39F7D}">
    <text xml:space="preserve"> FN012610 </text>
  </threadedComment>
  <threadedComment ref="R63" dT="2025-11-14T17:49:49.73" personId="{422CA6D5-EF9B-462F-AC18-DCD8AD03E494}" id="{0F351A15-BADE-40ED-95F5-6C0462DED169}">
    <text xml:space="preserve"> FN012610 </text>
  </threadedComment>
  <threadedComment ref="B65" dT="2025-11-14T17:51:01.86" personId="{422CA6D5-EF9B-462F-AC18-DCD8AD03E494}" id="{169C4755-F881-4F0E-93A6-23C367A4979D}">
    <text xml:space="preserve"> FN011363 </text>
  </threadedComment>
  <threadedComment ref="R65" dT="2025-11-14T17:51:01.86" personId="{422CA6D5-EF9B-462F-AC18-DCD8AD03E494}" id="{6BDF3F1B-08F1-4940-9892-F1A0F48DC927}">
    <text xml:space="preserve"> FN011363 </text>
  </threadedComment>
  <threadedComment ref="B67" dT="2025-11-14T14:15:12.79" personId="{422CA6D5-EF9B-462F-AC18-DCD8AD03E494}" id="{26D0CF50-3E2C-4C52-A078-EA1AF2256B2B}">
    <text xml:space="preserve"> FN000138 </text>
  </threadedComment>
  <threadedComment ref="R67" dT="2025-11-14T14:15:12.79" personId="{422CA6D5-EF9B-462F-AC18-DCD8AD03E494}" id="{03E602B4-4315-480B-99A8-40C1B7305F3C}">
    <text xml:space="preserve"> FN000138 </text>
  </threadedComment>
  <threadedComment ref="B68" dT="2025-11-14T17:51:42.30" personId="{422CA6D5-EF9B-462F-AC18-DCD8AD03E494}" id="{F85A2D93-4D1D-4AA3-B76B-F4B7AD20EC8D}">
    <text xml:space="preserve"> FN011352 </text>
  </threadedComment>
  <threadedComment ref="R68" dT="2025-11-14T17:51:42.30" personId="{422CA6D5-EF9B-462F-AC18-DCD8AD03E494}" id="{9A02DC96-8708-429E-868F-272B167CB591}">
    <text xml:space="preserve"> FN011352 </text>
  </threadedComment>
  <threadedComment ref="B78" dT="2025-11-14T17:52:33.93" personId="{422CA6D5-EF9B-462F-AC18-DCD8AD03E494}" id="{5045797A-E56F-414E-9CD2-BCF8CBFDF334}">
    <text xml:space="preserve"> FN014222 </text>
  </threadedComment>
  <threadedComment ref="R78" dT="2025-11-14T17:52:33.93" personId="{422CA6D5-EF9B-462F-AC18-DCD8AD03E494}" id="{532217A5-C8BF-42AE-8C12-632C22067C21}">
    <text xml:space="preserve"> FN014222 </text>
  </threadedComment>
  <threadedComment ref="B79" dT="2025-11-14T17:53:09.39" personId="{422CA6D5-EF9B-462F-AC18-DCD8AD03E494}" id="{2FAFE735-33B0-432B-BA74-91306841D046}">
    <text xml:space="preserve"> FN011414 </text>
  </threadedComment>
  <threadedComment ref="R79" dT="2025-11-14T17:53:09.39" personId="{422CA6D5-EF9B-462F-AC18-DCD8AD03E494}" id="{26B7AFD1-CC6F-427F-947C-07498C80FFF2}">
    <text xml:space="preserve"> FN011414 </text>
  </threadedComment>
  <threadedComment ref="B80" dT="2025-11-14T17:54:02.02" personId="{422CA6D5-EF9B-462F-AC18-DCD8AD03E494}" id="{DB418CC5-3456-49F0-AB91-842DD5C92CF1}">
    <text xml:space="preserve"> FN011413 </text>
  </threadedComment>
  <threadedComment ref="R80" dT="2025-11-14T17:54:02.02" personId="{422CA6D5-EF9B-462F-AC18-DCD8AD03E494}" id="{220FF963-782E-4716-BE08-AD4B52E52467}">
    <text xml:space="preserve"> FN011413 </text>
  </threadedComment>
  <threadedComment ref="B99" dT="2025-11-14T17:55:05.06" personId="{422CA6D5-EF9B-462F-AC18-DCD8AD03E494}" id="{106EC608-B366-4CF9-9A16-9521BE5051E4}">
    <text xml:space="preserve"> FN011848 </text>
  </threadedComment>
  <threadedComment ref="R99" dT="2025-11-14T17:55:05.06" personId="{422CA6D5-EF9B-462F-AC18-DCD8AD03E494}" id="{36C9087E-7748-4EA5-9454-078F6DC45C8E}">
    <text xml:space="preserve"> FN011848 </text>
  </threadedComment>
  <threadedComment ref="B100" dT="2025-11-14T17:56:20.74" personId="{422CA6D5-EF9B-462F-AC18-DCD8AD03E494}" id="{E4AA15F2-A2FA-4A7F-BB62-2BBC14D6E69D}">
    <text xml:space="preserve"> FN006637 </text>
  </threadedComment>
  <threadedComment ref="R100" dT="2025-11-14T17:56:20.74" personId="{422CA6D5-EF9B-462F-AC18-DCD8AD03E494}" id="{21C4424B-34FA-4469-B2FB-6BDD7BC8F5B0}">
    <text xml:space="preserve"> FN006637 </text>
  </threadedComment>
  <threadedComment ref="B101" dT="2025-11-14T17:57:01.15" personId="{422CA6D5-EF9B-462F-AC18-DCD8AD03E494}" id="{52932514-AE2C-4A34-BEF6-E2A44F7594B6}">
    <text xml:space="preserve"> FN011440 </text>
  </threadedComment>
  <threadedComment ref="R101" dT="2025-11-14T17:57:01.15" personId="{422CA6D5-EF9B-462F-AC18-DCD8AD03E494}" id="{E0D3A644-891B-4C86-9093-2714383337EC}">
    <text xml:space="preserve"> FN011440 </text>
  </threadedComment>
  <threadedComment ref="B107" dT="2025-11-14T17:59:03.18" personId="{422CA6D5-EF9B-462F-AC18-DCD8AD03E494}" id="{70BAB6FC-73B2-41FB-BDCB-CF5449BAEAAB}">
    <text xml:space="preserve"> FN004729</text>
  </threadedComment>
  <threadedComment ref="R107" dT="2025-11-14T17:59:03.18" personId="{422CA6D5-EF9B-462F-AC18-DCD8AD03E494}" id="{1743EF23-DA0E-4961-B1D9-C30AAB954FC8}">
    <text xml:space="preserve"> FN004729</text>
  </threadedComment>
  <threadedComment ref="B108" dT="2025-11-14T17:58:49.11" personId="{422CA6D5-EF9B-462F-AC18-DCD8AD03E494}" id="{ECEC9CDB-AE7A-4769-BDBE-2EDF684C8840}">
    <text xml:space="preserve"> FN004723 </text>
  </threadedComment>
  <threadedComment ref="R108" dT="2025-11-14T17:58:49.11" personId="{422CA6D5-EF9B-462F-AC18-DCD8AD03E494}" id="{0EC890DC-5180-4E82-961C-9D9759D085A7}">
    <text xml:space="preserve"> FN004723 </text>
  </threadedComment>
  <threadedComment ref="B113" dT="2025-11-14T18:00:52.13" personId="{422CA6D5-EF9B-462F-AC18-DCD8AD03E494}" id="{80EC0BF8-C142-4F43-A1B4-3B5CA3C4CB3B}">
    <text xml:space="preserve"> FN011387A </text>
  </threadedComment>
  <threadedComment ref="R113" dT="2025-11-14T18:00:52.13" personId="{422CA6D5-EF9B-462F-AC18-DCD8AD03E494}" id="{538913F0-37B2-4A04-8FBA-B916C9F685FE}">
    <text xml:space="preserve"> FN011387A </text>
  </threadedComment>
  <threadedComment ref="B115" dT="2025-11-14T18:04:30.26" personId="{422CA6D5-EF9B-462F-AC18-DCD8AD03E494}" id="{EBA84451-75E1-4E0B-A0C2-2660AE89D1D7}">
    <text xml:space="preserve"> FN011544 </text>
  </threadedComment>
  <threadedComment ref="R115" dT="2025-11-14T18:04:30.26" personId="{422CA6D5-EF9B-462F-AC18-DCD8AD03E494}" id="{AD796FCB-E1E8-4436-A88E-748A8C3918D9}">
    <text xml:space="preserve"> FN011544 </text>
  </threadedComment>
  <threadedComment ref="B116" dT="2025-11-14T18:04:38.37" personId="{422CA6D5-EF9B-462F-AC18-DCD8AD03E494}" id="{DBCD1274-7117-4A22-A82C-FC93C456FBEF}">
    <text xml:space="preserve"> FN011543</text>
  </threadedComment>
  <threadedComment ref="R116" dT="2025-11-14T18:04:38.37" personId="{422CA6D5-EF9B-462F-AC18-DCD8AD03E494}" id="{C0662603-AB9C-44AB-BD91-8D5DF03DF826}">
    <text xml:space="preserve"> FN011543</text>
  </threadedComment>
  <threadedComment ref="B119" dT="2025-11-14T18:05:28.22" personId="{422CA6D5-EF9B-462F-AC18-DCD8AD03E494}" id="{A44BDABC-2145-4AB8-BB7B-93410E934049}">
    <text xml:space="preserve"> FN000216A </text>
  </threadedComment>
  <threadedComment ref="R119" dT="2025-11-14T18:05:28.22" personId="{422CA6D5-EF9B-462F-AC18-DCD8AD03E494}" id="{8239D404-9E51-435F-A557-E33439225752}">
    <text xml:space="preserve"> FN000216A </text>
  </threadedComment>
  <threadedComment ref="B142" dT="2025-11-14T14:14:24.06" personId="{422CA6D5-EF9B-462F-AC18-DCD8AD03E494}" id="{E94CD4A3-78A9-4496-BFAE-EB999405ED8D}">
    <text xml:space="preserve"> FN010416 </text>
  </threadedComment>
  <threadedComment ref="R142" dT="2025-11-14T14:14:24.06" personId="{422CA6D5-EF9B-462F-AC18-DCD8AD03E494}" id="{6AD6CDD6-3900-4787-9985-3B6A43281FB0}">
    <text xml:space="preserve"> FN010416 </text>
  </threadedComment>
  <threadedComment ref="B144" dT="2025-11-14T14:13:27.57" personId="{422CA6D5-EF9B-462F-AC18-DCD8AD03E494}" id="{7D7A0470-B9C6-4DD0-91D1-DFF825511A22}">
    <text xml:space="preserve"> FN000507 </text>
  </threadedComment>
  <threadedComment ref="R144" dT="2025-11-14T14:13:27.57" personId="{422CA6D5-EF9B-462F-AC18-DCD8AD03E494}" id="{26228149-131E-4420-9593-E9C8CDA9B109}">
    <text xml:space="preserve"> FN000507 </text>
  </threadedComment>
  <threadedComment ref="B200" dT="2025-11-14T17:55:44.16" personId="{422CA6D5-EF9B-462F-AC18-DCD8AD03E494}" id="{1B002D1D-08BC-4FE3-A0D7-84C48C481E08}">
    <text xml:space="preserve"> FN006634 </text>
  </threadedComment>
  <threadedComment ref="R200" dT="2025-11-14T17:55:44.16" personId="{422CA6D5-EF9B-462F-AC18-DCD8AD03E494}" id="{83779377-6C7B-4CF8-9883-12D8A10143F2}">
    <text xml:space="preserve"> FN006634 </text>
  </threadedComment>
  <threadedComment ref="B203" dT="2025-11-14T18:06:14.69" personId="{422CA6D5-EF9B-462F-AC18-DCD8AD03E494}" id="{B3F9448A-3E6F-4E94-A6EB-A9883E547A76}">
    <text xml:space="preserve"> FN010022 </text>
  </threadedComment>
  <threadedComment ref="R203" dT="2025-11-14T18:06:14.69" personId="{422CA6D5-EF9B-462F-AC18-DCD8AD03E494}" id="{D3488759-6287-4C28-8B46-B4B1C7FEB6B6}">
    <text xml:space="preserve"> FN010022 </text>
  </threadedComment>
  <threadedComment ref="B218" dT="2025-11-14T14:15:56.16" personId="{422CA6D5-EF9B-462F-AC18-DCD8AD03E494}" id="{3972D4E7-5C10-444C-8A84-F422E3DE297E}">
    <text xml:space="preserve"> FN002420 </text>
  </threadedComment>
  <threadedComment ref="R218" dT="2025-11-14T14:15:56.16" personId="{422CA6D5-EF9B-462F-AC18-DCD8AD03E494}" id="{F0ACB009-5593-4216-9EEF-92431D7128DD}">
    <text xml:space="preserve"> FN002420 </text>
  </threadedComment>
  <threadedComment ref="B227" dT="2025-11-14T14:16:55.84" personId="{422CA6D5-EF9B-462F-AC18-DCD8AD03E494}" id="{408DE673-29BF-4478-9A64-089699DBE275}">
    <text xml:space="preserve"> FN000570 </text>
  </threadedComment>
  <threadedComment ref="R227" dT="2025-11-14T14:16:55.84" personId="{422CA6D5-EF9B-462F-AC18-DCD8AD03E494}" id="{AF83C044-37E5-43E3-9FC0-B46A950A3D73}">
    <text xml:space="preserve"> FN000570 </text>
  </threadedComment>
  <threadedComment ref="B230" dT="2025-11-14T17:57:42.59" personId="{422CA6D5-EF9B-462F-AC18-DCD8AD03E494}" id="{B5FB8B68-459F-444B-B57E-20CF5EE5A540}">
    <text xml:space="preserve"> FN010312 </text>
  </threadedComment>
  <threadedComment ref="R230" dT="2025-11-14T17:57:42.59" personId="{422CA6D5-EF9B-462F-AC18-DCD8AD03E494}" id="{368415E7-ED90-4DC8-8DB0-1C71E2B50628}">
    <text xml:space="preserve"> FN010312 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6F8C6-8E4E-4A76-BBC7-BFC3E62DE0C4}">
  <sheetPr>
    <pageSetUpPr fitToPage="1"/>
  </sheetPr>
  <dimension ref="B2:K10"/>
  <sheetViews>
    <sheetView zoomScale="89" zoomScaleNormal="89" workbookViewId="0">
      <selection activeCell="B8" sqref="B8"/>
    </sheetView>
  </sheetViews>
  <sheetFormatPr defaultRowHeight="15"/>
  <cols>
    <col min="2" max="2" width="22.5703125" customWidth="1"/>
  </cols>
  <sheetData>
    <row r="2" spans="2:11">
      <c r="B2" s="73" t="s">
        <v>0</v>
      </c>
      <c r="C2" s="73"/>
      <c r="D2" s="73"/>
      <c r="E2" s="73"/>
      <c r="F2" s="73"/>
      <c r="G2" s="73"/>
      <c r="H2" s="73"/>
      <c r="I2" s="73"/>
      <c r="J2" s="73"/>
      <c r="K2" s="73"/>
    </row>
    <row r="3" spans="2:11">
      <c r="B3" s="13" t="s">
        <v>1</v>
      </c>
      <c r="C3" s="73" t="s">
        <v>2</v>
      </c>
      <c r="D3" s="73"/>
      <c r="E3" s="73"/>
      <c r="F3" s="73"/>
      <c r="G3" s="73"/>
      <c r="H3" s="73"/>
      <c r="I3" s="73"/>
      <c r="J3" s="73"/>
      <c r="K3" s="73"/>
    </row>
    <row r="4" spans="2:11">
      <c r="B4" s="13" t="s">
        <v>3</v>
      </c>
      <c r="C4" s="73" t="s">
        <v>4</v>
      </c>
      <c r="D4" s="73"/>
      <c r="E4" s="73"/>
      <c r="F4" s="73"/>
      <c r="G4" s="73"/>
      <c r="H4" s="73"/>
      <c r="I4" s="73"/>
      <c r="J4" s="73"/>
      <c r="K4" s="73"/>
    </row>
    <row r="5" spans="2:11">
      <c r="B5" s="73"/>
      <c r="C5" s="73"/>
      <c r="D5" s="73"/>
      <c r="E5" s="73"/>
      <c r="F5" s="73"/>
      <c r="G5" s="73"/>
      <c r="H5" s="73"/>
      <c r="I5" s="73"/>
      <c r="J5" s="73"/>
      <c r="K5" s="73"/>
    </row>
    <row r="6" spans="2:11">
      <c r="B6" s="73"/>
      <c r="C6" s="73"/>
      <c r="D6" s="73"/>
      <c r="E6" s="73"/>
      <c r="F6" s="73"/>
      <c r="G6" s="73"/>
      <c r="H6" s="73"/>
      <c r="I6" s="73"/>
      <c r="J6" s="73"/>
      <c r="K6" s="73"/>
    </row>
    <row r="7" spans="2:11">
      <c r="B7" s="73"/>
      <c r="C7" s="73"/>
      <c r="D7" s="73"/>
      <c r="E7" s="73"/>
      <c r="F7" s="73"/>
      <c r="G7" s="73"/>
      <c r="H7" s="73"/>
      <c r="I7" s="73"/>
      <c r="J7" s="73"/>
      <c r="K7" s="73"/>
    </row>
    <row r="8" spans="2:11">
      <c r="B8" s="73" t="s">
        <v>5</v>
      </c>
      <c r="C8" s="73"/>
      <c r="D8" s="73"/>
      <c r="E8" s="73"/>
      <c r="F8" s="73"/>
      <c r="G8" s="73"/>
      <c r="H8" s="73"/>
      <c r="I8" s="73"/>
      <c r="J8" s="73"/>
      <c r="K8" s="73"/>
    </row>
    <row r="9" spans="2:11">
      <c r="B9" s="73" t="s">
        <v>6</v>
      </c>
      <c r="C9" s="73"/>
      <c r="D9" s="73"/>
      <c r="E9" s="73"/>
      <c r="F9" s="73"/>
      <c r="G9" s="73"/>
      <c r="H9" s="73"/>
      <c r="I9" s="73"/>
      <c r="J9" s="73"/>
      <c r="K9" s="73"/>
    </row>
    <row r="10" spans="2:11">
      <c r="B10" s="73"/>
      <c r="C10" s="73"/>
      <c r="D10" s="73"/>
      <c r="E10" s="73"/>
      <c r="F10" s="73"/>
      <c r="G10" s="73"/>
      <c r="H10" s="73"/>
      <c r="I10" s="73"/>
      <c r="J10" s="73"/>
      <c r="K10" s="73"/>
    </row>
  </sheetData>
  <pageMargins left="0.7" right="0.7" top="0.75" bottom="0.75" header="0.3" footer="0.3"/>
  <pageSetup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2F2E2-1D3C-41AE-95BC-A90CA5500176}">
  <sheetPr>
    <pageSetUpPr fitToPage="1"/>
  </sheetPr>
  <dimension ref="A1:F60"/>
  <sheetViews>
    <sheetView workbookViewId="0">
      <selection activeCell="D28" sqref="D28"/>
    </sheetView>
  </sheetViews>
  <sheetFormatPr defaultRowHeight="15"/>
  <sheetData>
    <row r="1" spans="1:6" ht="15.75" thickBot="1">
      <c r="A1" t="s">
        <v>9</v>
      </c>
    </row>
    <row r="2" spans="1:6">
      <c r="B2" s="178" t="s">
        <v>490</v>
      </c>
      <c r="C2" s="179">
        <v>2.109</v>
      </c>
      <c r="F2" s="7"/>
    </row>
    <row r="3" spans="1:6">
      <c r="B3" s="180" t="s">
        <v>522</v>
      </c>
      <c r="C3" s="7">
        <v>0.52725</v>
      </c>
      <c r="F3" s="7"/>
    </row>
    <row r="4" spans="1:6">
      <c r="B4" s="180" t="s">
        <v>522</v>
      </c>
      <c r="C4" s="7">
        <v>0.70300000000000007</v>
      </c>
      <c r="F4" s="7"/>
    </row>
    <row r="5" spans="1:6">
      <c r="B5" s="180" t="s">
        <v>522</v>
      </c>
      <c r="C5" s="7">
        <v>0.70300000000000007</v>
      </c>
      <c r="F5" s="7"/>
    </row>
    <row r="6" spans="1:6">
      <c r="B6" s="180" t="s">
        <v>522</v>
      </c>
      <c r="C6" s="7">
        <v>0.52725</v>
      </c>
      <c r="F6" s="7"/>
    </row>
    <row r="7" spans="1:6">
      <c r="B7" s="180" t="s">
        <v>513</v>
      </c>
      <c r="C7" s="7">
        <v>2.109</v>
      </c>
      <c r="F7" s="7"/>
    </row>
    <row r="8" spans="1:6">
      <c r="B8" s="180" t="s">
        <v>509</v>
      </c>
      <c r="C8" s="7">
        <v>2.8120000000000003</v>
      </c>
      <c r="F8" s="7"/>
    </row>
    <row r="9" spans="1:6">
      <c r="B9" s="180" t="s">
        <v>516</v>
      </c>
      <c r="C9" s="7">
        <v>2.8120000000000003</v>
      </c>
      <c r="F9" s="7"/>
    </row>
    <row r="10" spans="1:6">
      <c r="B10" s="180" t="s">
        <v>514</v>
      </c>
      <c r="C10" s="7">
        <v>0.70300000000000007</v>
      </c>
      <c r="F10" s="7"/>
    </row>
    <row r="11" spans="1:6">
      <c r="B11" s="180" t="s">
        <v>490</v>
      </c>
      <c r="C11" s="7">
        <v>3.7049999999999996</v>
      </c>
      <c r="F11" s="7"/>
    </row>
    <row r="12" spans="1:6">
      <c r="B12" s="180" t="s">
        <v>514</v>
      </c>
      <c r="C12" s="7">
        <v>1.4060000000000001</v>
      </c>
      <c r="F12" s="7"/>
    </row>
    <row r="13" spans="1:6">
      <c r="B13" s="180" t="s">
        <v>520</v>
      </c>
      <c r="C13" s="7">
        <v>3.5150000000000001</v>
      </c>
      <c r="F13" s="7"/>
    </row>
    <row r="14" spans="1:6">
      <c r="B14" s="180" t="s">
        <v>506</v>
      </c>
      <c r="C14" s="7">
        <v>2.109</v>
      </c>
      <c r="F14" s="7"/>
    </row>
    <row r="15" spans="1:6">
      <c r="B15" s="180" t="s">
        <v>490</v>
      </c>
      <c r="C15" s="7">
        <v>2.4699999999999998</v>
      </c>
      <c r="F15" s="7"/>
    </row>
    <row r="16" spans="1:6">
      <c r="B16" s="180" t="s">
        <v>514</v>
      </c>
      <c r="C16" s="7">
        <v>3.7049999999999996</v>
      </c>
      <c r="F16" s="7"/>
    </row>
    <row r="17" spans="1:6">
      <c r="B17" s="180" t="s">
        <v>507</v>
      </c>
      <c r="C17" s="7">
        <v>2.109</v>
      </c>
      <c r="F17" s="7"/>
    </row>
    <row r="18" spans="1:6">
      <c r="B18" s="180" t="s">
        <v>518</v>
      </c>
      <c r="C18" s="7">
        <v>2.109</v>
      </c>
      <c r="F18" s="7"/>
    </row>
    <row r="19" spans="1:6">
      <c r="B19" s="180" t="s">
        <v>490</v>
      </c>
      <c r="C19" s="7">
        <v>3.7049999999999996</v>
      </c>
      <c r="F19" s="7"/>
    </row>
    <row r="20" spans="1:6">
      <c r="B20" s="180" t="s">
        <v>514</v>
      </c>
      <c r="C20" s="7">
        <v>3.7049999999999996</v>
      </c>
      <c r="F20" s="7"/>
    </row>
    <row r="21" spans="1:6">
      <c r="B21" s="180" t="s">
        <v>498</v>
      </c>
      <c r="C21" s="7">
        <v>1.0545</v>
      </c>
      <c r="F21" s="7"/>
    </row>
    <row r="22" spans="1:6">
      <c r="B22" s="180" t="s">
        <v>504</v>
      </c>
      <c r="C22" s="7">
        <v>1.0545</v>
      </c>
      <c r="F22" s="7"/>
    </row>
    <row r="23" spans="1:6">
      <c r="B23" s="180" t="s">
        <v>504</v>
      </c>
      <c r="C23" s="7">
        <v>1.0545</v>
      </c>
      <c r="F23" s="7"/>
    </row>
    <row r="24" spans="1:6">
      <c r="B24" s="180" t="s">
        <v>516</v>
      </c>
      <c r="C24" s="7">
        <v>2.8120000000000003</v>
      </c>
      <c r="F24" s="7"/>
    </row>
    <row r="25" spans="1:6">
      <c r="B25" s="180" t="s">
        <v>498</v>
      </c>
      <c r="C25" s="7">
        <v>2.8120000000000003</v>
      </c>
      <c r="F25" s="7"/>
    </row>
    <row r="26" spans="1:6">
      <c r="B26" s="180" t="s">
        <v>511</v>
      </c>
      <c r="C26" s="7">
        <v>2.8120000000000003</v>
      </c>
      <c r="F26" s="7"/>
    </row>
    <row r="27" spans="1:6">
      <c r="B27" s="180" t="s">
        <v>498</v>
      </c>
      <c r="C27" s="181">
        <v>1.0545</v>
      </c>
      <c r="F27" s="7"/>
    </row>
    <row r="28" spans="1:6">
      <c r="A28" t="s">
        <v>8</v>
      </c>
      <c r="F28" s="7"/>
    </row>
    <row r="29" spans="1:6">
      <c r="B29" s="182" t="s">
        <v>495</v>
      </c>
      <c r="C29" s="183">
        <v>106.39999999999999</v>
      </c>
      <c r="F29" s="7"/>
    </row>
    <row r="30" spans="1:6">
      <c r="B30" s="182" t="s">
        <v>497</v>
      </c>
      <c r="C30" s="183">
        <v>159.6</v>
      </c>
      <c r="F30" s="7"/>
    </row>
    <row r="31" spans="1:6">
      <c r="B31" s="7" t="s">
        <v>499</v>
      </c>
      <c r="C31" s="183">
        <v>87.399999999999991</v>
      </c>
      <c r="F31" s="7"/>
    </row>
    <row r="32" spans="1:6">
      <c r="B32" s="182" t="s">
        <v>501</v>
      </c>
      <c r="C32" s="183">
        <v>82.649999999999991</v>
      </c>
      <c r="F32" s="7"/>
    </row>
    <row r="33" spans="1:6">
      <c r="A33" t="s">
        <v>7</v>
      </c>
      <c r="F33" s="7"/>
    </row>
    <row r="34" spans="1:6">
      <c r="B34" s="184" t="s">
        <v>489</v>
      </c>
      <c r="C34" s="180">
        <v>277.39999999999998</v>
      </c>
      <c r="F34" s="7"/>
    </row>
    <row r="35" spans="1:6">
      <c r="B35" s="7" t="s">
        <v>491</v>
      </c>
      <c r="C35" s="180">
        <v>79.8</v>
      </c>
      <c r="F35" s="7"/>
    </row>
    <row r="36" spans="1:6">
      <c r="B36" s="184" t="s">
        <v>493</v>
      </c>
      <c r="C36" s="185">
        <v>89.3</v>
      </c>
      <c r="F36" s="7"/>
    </row>
    <row r="37" spans="1:6">
      <c r="F37" s="7"/>
    </row>
    <row r="38" spans="1:6">
      <c r="F38" s="7"/>
    </row>
    <row r="39" spans="1:6">
      <c r="F39" s="7"/>
    </row>
    <row r="40" spans="1:6">
      <c r="F40" s="7"/>
    </row>
    <row r="41" spans="1:6">
      <c r="F41" s="7"/>
    </row>
    <row r="42" spans="1:6">
      <c r="F42" s="7"/>
    </row>
    <row r="43" spans="1:6">
      <c r="F43" s="7"/>
    </row>
    <row r="44" spans="1:6">
      <c r="F44" s="7"/>
    </row>
    <row r="45" spans="1:6">
      <c r="F45" s="7"/>
    </row>
    <row r="46" spans="1:6">
      <c r="F46" s="7"/>
    </row>
    <row r="47" spans="1:6">
      <c r="F47" s="7"/>
    </row>
    <row r="48" spans="1:6">
      <c r="F48" s="7"/>
    </row>
    <row r="49" spans="6:6">
      <c r="F49" s="7"/>
    </row>
    <row r="50" spans="6:6">
      <c r="F50" s="7"/>
    </row>
    <row r="51" spans="6:6">
      <c r="F51" s="7"/>
    </row>
    <row r="52" spans="6:6">
      <c r="F52" s="7"/>
    </row>
    <row r="53" spans="6:6">
      <c r="F53" s="7"/>
    </row>
    <row r="54" spans="6:6">
      <c r="F54" s="7"/>
    </row>
    <row r="55" spans="6:6">
      <c r="F55" s="7"/>
    </row>
    <row r="56" spans="6:6">
      <c r="F56" s="7"/>
    </row>
    <row r="57" spans="6:6">
      <c r="F57" s="7"/>
    </row>
    <row r="58" spans="6:6">
      <c r="F58" s="7"/>
    </row>
    <row r="59" spans="6:6">
      <c r="F59" s="7"/>
    </row>
    <row r="60" spans="6:6">
      <c r="F60" s="7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01F25-5088-420C-9E4A-EA5DC505D094}">
  <sheetPr>
    <pageSetUpPr fitToPage="1"/>
  </sheetPr>
  <dimension ref="A1:Q509"/>
  <sheetViews>
    <sheetView zoomScale="80" zoomScaleNormal="80" workbookViewId="0">
      <selection activeCell="D135" sqref="D135"/>
    </sheetView>
  </sheetViews>
  <sheetFormatPr defaultRowHeight="15"/>
  <cols>
    <col min="1" max="1" width="13.42578125" bestFit="1" customWidth="1"/>
    <col min="2" max="2" width="21.140625" bestFit="1" customWidth="1"/>
    <col min="3" max="3" width="21.140625" customWidth="1"/>
    <col min="5" max="5" width="8.7109375" style="9"/>
    <col min="6" max="6" width="8.7109375" style="11"/>
  </cols>
  <sheetData>
    <row r="1" spans="1:17">
      <c r="A1" s="119" t="s">
        <v>561</v>
      </c>
      <c r="B1" s="119" t="s">
        <v>8</v>
      </c>
      <c r="C1" s="99" t="s">
        <v>562</v>
      </c>
      <c r="D1" s="99">
        <v>1.645</v>
      </c>
      <c r="E1" s="9" t="s">
        <v>563</v>
      </c>
      <c r="F1" s="11" t="s">
        <v>564</v>
      </c>
      <c r="G1" s="119" t="s">
        <v>94</v>
      </c>
      <c r="H1" s="119" t="s">
        <v>565</v>
      </c>
      <c r="I1" s="119" t="s">
        <v>95</v>
      </c>
      <c r="J1" s="119" t="s">
        <v>566</v>
      </c>
      <c r="K1" s="119" t="s">
        <v>365</v>
      </c>
      <c r="L1" s="119" t="s">
        <v>567</v>
      </c>
      <c r="M1" s="119" t="s">
        <v>568</v>
      </c>
      <c r="N1" s="119" t="s">
        <v>569</v>
      </c>
      <c r="O1" s="119"/>
      <c r="P1" s="119" t="s">
        <v>570</v>
      </c>
      <c r="Q1" s="119" t="s">
        <v>571</v>
      </c>
    </row>
    <row r="2" spans="1:17" ht="45">
      <c r="A2" s="119" t="s">
        <v>572</v>
      </c>
      <c r="B2" s="119"/>
      <c r="C2" s="119" t="s">
        <v>96</v>
      </c>
      <c r="D2" s="14" t="s">
        <v>573</v>
      </c>
      <c r="E2" s="103">
        <f>(SUMPRODUCT(C3:C71,D3:D71))/(SUM(C3:C71))</f>
        <v>252.53717153770606</v>
      </c>
      <c r="F2" s="11">
        <f>_xlfn.STDEV.S(D4:D10,D12,D16:D19,D22:D24,D26:D29,D31:D32,D35:D37,D39,D41:D46,D48:D50,D52,D56,D58:D61,D65:D69,D71)</f>
        <v>101.55310353153675</v>
      </c>
      <c r="G2" s="119">
        <f>F2/SQRT(M3)</f>
        <v>33.85103451051225</v>
      </c>
      <c r="H2" s="119">
        <f>G2*$D$1</f>
        <v>55.684951769792654</v>
      </c>
      <c r="I2" s="119">
        <f>H2+E2</f>
        <v>308.22212330749869</v>
      </c>
      <c r="J2" s="119">
        <f>COUNTIFS(D3:D71,"&gt;303.403")</f>
        <v>2</v>
      </c>
      <c r="K2" s="119"/>
      <c r="L2" s="119">
        <f>COUNTA(B3:B71)</f>
        <v>69</v>
      </c>
      <c r="M2" s="119">
        <f>ROUND(L2/10,0)</f>
        <v>7</v>
      </c>
      <c r="N2" s="119"/>
      <c r="O2" s="119"/>
      <c r="P2" s="119">
        <f>COUNTIF(O3:O71,"&gt;1")-COUNTIF(O3:O71,"&gt;2")</f>
        <v>10</v>
      </c>
      <c r="Q2" s="119">
        <f>COUNTIF(O3:O71,"&gt;2")</f>
        <v>1</v>
      </c>
    </row>
    <row r="3" spans="1:17">
      <c r="A3" s="119"/>
      <c r="B3" s="5" t="s">
        <v>45</v>
      </c>
      <c r="C3" s="95">
        <f>CECONY!CN5/1000</f>
        <v>0</v>
      </c>
      <c r="D3" s="75">
        <f>CECONY!CO5</f>
        <v>0</v>
      </c>
      <c r="G3" s="119"/>
      <c r="H3" s="119"/>
      <c r="I3" s="119"/>
      <c r="J3" s="119"/>
      <c r="K3" s="119"/>
      <c r="L3" s="119">
        <f>COUNT(D4:D10,D12,D16:D19,D22:D24,D26:D29,D31:D32,D35:D37,D39,D41:D46,D48:D50,D52,D56,D58:D61,D65:D69,D71)</f>
        <v>46</v>
      </c>
      <c r="M3" s="119">
        <f>ROUND(L3/5,0)</f>
        <v>9</v>
      </c>
      <c r="N3" s="119">
        <f>0.640854*D3</f>
        <v>0</v>
      </c>
      <c r="O3" s="119">
        <f>N3/(0.5*E$2)</f>
        <v>0</v>
      </c>
      <c r="P3" s="119"/>
      <c r="Q3" s="119"/>
    </row>
    <row r="4" spans="1:17">
      <c r="A4" s="119"/>
      <c r="B4" s="5" t="s">
        <v>15</v>
      </c>
      <c r="C4" s="95">
        <f>CECONY!CN6/1000</f>
        <v>716</v>
      </c>
      <c r="D4" s="75">
        <f>CECONY!CO6</f>
        <v>204.35575005146114</v>
      </c>
      <c r="G4" s="119"/>
      <c r="H4" s="119"/>
      <c r="I4" s="119"/>
      <c r="J4" s="119"/>
      <c r="K4" s="119"/>
      <c r="L4" s="119"/>
      <c r="M4" s="119"/>
      <c r="N4" s="119">
        <f t="shared" ref="N4:N67" si="0">0.640854*D4</f>
        <v>130.96219984347908</v>
      </c>
      <c r="O4" s="119">
        <f>N4/(0.5*E$2)</f>
        <v>1.0371716689946791</v>
      </c>
      <c r="P4" s="119"/>
      <c r="Q4" s="119"/>
    </row>
    <row r="5" spans="1:17">
      <c r="A5" s="119"/>
      <c r="B5" s="5" t="s">
        <v>16</v>
      </c>
      <c r="C5" s="95">
        <f>CECONY!CN7/1000</f>
        <v>2.5579999999999998</v>
      </c>
      <c r="D5" s="75">
        <f>CECONY!CO7</f>
        <v>66.024933905551279</v>
      </c>
      <c r="G5" s="119"/>
      <c r="H5" s="119"/>
      <c r="I5" s="119"/>
      <c r="J5" s="119"/>
      <c r="K5" s="119"/>
      <c r="L5" s="119"/>
      <c r="M5" s="119"/>
      <c r="N5" s="119">
        <f t="shared" si="0"/>
        <v>42.31234299310816</v>
      </c>
      <c r="O5" s="119">
        <f t="shared" ref="O5:O68" si="1">N5/(0.5*E$2)</f>
        <v>0.33509794012079169</v>
      </c>
      <c r="P5" s="119"/>
      <c r="Q5" s="119"/>
    </row>
    <row r="6" spans="1:17">
      <c r="A6" s="119"/>
      <c r="B6" s="5" t="s">
        <v>17</v>
      </c>
      <c r="C6" s="95">
        <f>CECONY!CN8/1000</f>
        <v>2.5091999999999999</v>
      </c>
      <c r="D6" s="75">
        <f>CECONY!CO8</f>
        <v>57.22074249119099</v>
      </c>
      <c r="G6" s="119"/>
      <c r="H6" s="119"/>
      <c r="I6" s="119"/>
      <c r="J6" s="119"/>
      <c r="K6" s="119"/>
      <c r="L6" s="119"/>
      <c r="M6" s="119"/>
      <c r="N6" s="119">
        <f t="shared" si="0"/>
        <v>36.670141708449712</v>
      </c>
      <c r="O6" s="119">
        <f t="shared" si="1"/>
        <v>0.29041381500524593</v>
      </c>
      <c r="P6" s="119"/>
      <c r="Q6" s="119"/>
    </row>
    <row r="7" spans="1:17">
      <c r="A7" s="119"/>
      <c r="B7" s="5" t="s">
        <v>18</v>
      </c>
      <c r="C7" s="95">
        <f>CECONY!CN9/1000</f>
        <v>5.7009499999999997</v>
      </c>
      <c r="D7" s="75">
        <f>CECONY!CO9</f>
        <v>45.918807829107799</v>
      </c>
      <c r="G7" s="119"/>
      <c r="H7" s="119"/>
      <c r="I7" s="119"/>
      <c r="J7" s="119"/>
      <c r="K7" s="119"/>
      <c r="L7" s="119"/>
      <c r="M7" s="119"/>
      <c r="N7" s="119">
        <f t="shared" si="0"/>
        <v>29.427251672515052</v>
      </c>
      <c r="O7" s="119">
        <f t="shared" si="1"/>
        <v>0.2330528333182135</v>
      </c>
      <c r="P7" s="119"/>
      <c r="Q7" s="119"/>
    </row>
    <row r="8" spans="1:17">
      <c r="A8" s="119"/>
      <c r="B8" s="5" t="s">
        <v>19</v>
      </c>
      <c r="C8" s="95">
        <f>CECONY!CN10/1000</f>
        <v>5.2377000000000002</v>
      </c>
      <c r="D8" s="75">
        <f>CECONY!CO10</f>
        <v>103.21450476191932</v>
      </c>
      <c r="G8" s="119"/>
      <c r="H8" s="119"/>
      <c r="I8" s="119"/>
      <c r="J8" s="119"/>
      <c r="K8" s="119"/>
      <c r="L8" s="119"/>
      <c r="M8" s="119"/>
      <c r="N8" s="119">
        <f t="shared" si="0"/>
        <v>66.145428234695046</v>
      </c>
      <c r="O8" s="119">
        <f t="shared" si="1"/>
        <v>0.52384706640953993</v>
      </c>
      <c r="P8" s="119"/>
      <c r="Q8" s="119"/>
    </row>
    <row r="9" spans="1:17">
      <c r="A9" s="119"/>
      <c r="B9" s="5" t="s">
        <v>20</v>
      </c>
      <c r="C9" s="95">
        <f>CECONY!CN11/1000</f>
        <v>0.72250000000000003</v>
      </c>
      <c r="D9" s="75">
        <f>CECONY!CO11</f>
        <v>38.505684486784119</v>
      </c>
      <c r="G9" s="119"/>
      <c r="H9" s="119"/>
      <c r="I9" s="119"/>
      <c r="J9" s="119"/>
      <c r="K9" s="119"/>
      <c r="L9" s="119"/>
      <c r="M9" s="119"/>
      <c r="N9" s="119">
        <f t="shared" si="0"/>
        <v>24.67652192609355</v>
      </c>
      <c r="O9" s="119">
        <f t="shared" si="1"/>
        <v>0.19542882955279417</v>
      </c>
      <c r="P9" s="119"/>
      <c r="Q9" s="119"/>
    </row>
    <row r="10" spans="1:17">
      <c r="A10" s="119"/>
      <c r="B10" s="5" t="s">
        <v>21</v>
      </c>
      <c r="C10" s="95">
        <f>CECONY!CN12/1000</f>
        <v>33.134</v>
      </c>
      <c r="D10" s="75">
        <f>CECONY!CO12</f>
        <v>137.05325353607603</v>
      </c>
      <c r="G10" s="119"/>
      <c r="H10" s="119"/>
      <c r="I10" s="119"/>
      <c r="J10" s="119"/>
      <c r="K10" s="119"/>
      <c r="L10" s="119"/>
      <c r="M10" s="119"/>
      <c r="N10" s="119">
        <f t="shared" si="0"/>
        <v>87.831125741608474</v>
      </c>
      <c r="O10" s="119">
        <f t="shared" si="1"/>
        <v>0.69558968453477354</v>
      </c>
      <c r="P10" s="119"/>
      <c r="Q10" s="119"/>
    </row>
    <row r="11" spans="1:17">
      <c r="A11" s="119"/>
      <c r="B11" s="5" t="s">
        <v>54</v>
      </c>
      <c r="C11" s="95">
        <f>CECONY!CN13/1000</f>
        <v>0</v>
      </c>
      <c r="D11" s="75">
        <f>CECONY!CO13</f>
        <v>0</v>
      </c>
      <c r="G11" s="119"/>
      <c r="H11" s="119"/>
      <c r="I11" s="119"/>
      <c r="J11" s="119"/>
      <c r="K11" s="119"/>
      <c r="L11" s="119"/>
      <c r="M11" s="119"/>
      <c r="N11" s="119">
        <f t="shared" si="0"/>
        <v>0</v>
      </c>
      <c r="O11" s="119">
        <f t="shared" si="1"/>
        <v>0</v>
      </c>
      <c r="P11" s="119"/>
      <c r="Q11" s="119"/>
    </row>
    <row r="12" spans="1:17">
      <c r="A12" s="119"/>
      <c r="B12" s="5" t="s">
        <v>22</v>
      </c>
      <c r="C12" s="95">
        <f>CECONY!CN14/1000</f>
        <v>85</v>
      </c>
      <c r="D12" s="75">
        <f>CECONY!CO14</f>
        <v>208.43670079928495</v>
      </c>
      <c r="G12" s="119"/>
      <c r="H12" s="119"/>
      <c r="I12" s="119"/>
      <c r="J12" s="119"/>
      <c r="K12" s="119"/>
      <c r="L12" s="119"/>
      <c r="M12" s="119"/>
      <c r="N12" s="119">
        <f t="shared" si="0"/>
        <v>133.57749345402496</v>
      </c>
      <c r="O12" s="119">
        <f t="shared" si="1"/>
        <v>1.0578838167915463</v>
      </c>
      <c r="P12" s="119"/>
      <c r="Q12" s="119"/>
    </row>
    <row r="13" spans="1:17">
      <c r="A13" s="119"/>
      <c r="B13" s="5" t="s">
        <v>57</v>
      </c>
      <c r="C13" s="95">
        <f>CECONY!CN15/1000</f>
        <v>0</v>
      </c>
      <c r="D13" s="75">
        <f>CECONY!CO15</f>
        <v>0</v>
      </c>
      <c r="G13" s="119"/>
      <c r="H13" s="119"/>
      <c r="I13" s="119"/>
      <c r="J13" s="119"/>
      <c r="K13" s="119"/>
      <c r="L13" s="119"/>
      <c r="M13" s="119"/>
      <c r="N13" s="119">
        <f t="shared" si="0"/>
        <v>0</v>
      </c>
      <c r="O13" s="119">
        <f t="shared" si="1"/>
        <v>0</v>
      </c>
      <c r="P13" s="119"/>
      <c r="Q13" s="119"/>
    </row>
    <row r="14" spans="1:17">
      <c r="A14" s="119"/>
      <c r="B14" s="5" t="s">
        <v>59</v>
      </c>
      <c r="C14" s="95">
        <f>CECONY!CN16/1000</f>
        <v>0</v>
      </c>
      <c r="D14" s="75">
        <f>CECONY!CO16</f>
        <v>0</v>
      </c>
      <c r="G14" s="119"/>
      <c r="H14" s="119"/>
      <c r="I14" s="119"/>
      <c r="J14" s="119"/>
      <c r="K14" s="119"/>
      <c r="L14" s="119"/>
      <c r="M14" s="119"/>
      <c r="N14" s="119">
        <f t="shared" si="0"/>
        <v>0</v>
      </c>
      <c r="O14" s="119">
        <f t="shared" si="1"/>
        <v>0</v>
      </c>
      <c r="P14" s="119"/>
      <c r="Q14" s="119"/>
    </row>
    <row r="15" spans="1:17">
      <c r="A15" s="119"/>
      <c r="B15" s="5" t="s">
        <v>61</v>
      </c>
      <c r="C15" s="95">
        <f>CECONY!CN17/1000</f>
        <v>0</v>
      </c>
      <c r="D15" s="75">
        <f>CECONY!CO17</f>
        <v>0</v>
      </c>
      <c r="G15" s="119"/>
      <c r="H15" s="119"/>
      <c r="I15" s="119"/>
      <c r="J15" s="119"/>
      <c r="K15" s="119"/>
      <c r="L15" s="119"/>
      <c r="M15" s="119"/>
      <c r="N15" s="119">
        <f t="shared" si="0"/>
        <v>0</v>
      </c>
      <c r="O15" s="119">
        <f t="shared" si="1"/>
        <v>0</v>
      </c>
      <c r="P15" s="119"/>
      <c r="Q15" s="119"/>
    </row>
    <row r="16" spans="1:17">
      <c r="A16" s="119"/>
      <c r="B16" s="5" t="s">
        <v>23</v>
      </c>
      <c r="C16" s="95">
        <f>CECONY!CN18/1000</f>
        <v>1.1772499999999999</v>
      </c>
      <c r="D16" s="75">
        <f>CECONY!CO18</f>
        <v>97.887337482166032</v>
      </c>
      <c r="G16" s="119"/>
      <c r="H16" s="119"/>
      <c r="I16" s="119"/>
      <c r="J16" s="119"/>
      <c r="K16" s="119"/>
      <c r="L16" s="119"/>
      <c r="M16" s="119"/>
      <c r="N16" s="119">
        <f t="shared" si="0"/>
        <v>62.731491774796034</v>
      </c>
      <c r="O16" s="119">
        <f t="shared" si="1"/>
        <v>0.49680996577907471</v>
      </c>
      <c r="P16" s="119"/>
      <c r="Q16" s="119"/>
    </row>
    <row r="17" spans="2:15">
      <c r="B17" s="5" t="s">
        <v>24</v>
      </c>
      <c r="C17" s="95">
        <f>CECONY!CN19/1000</f>
        <v>2.577</v>
      </c>
      <c r="D17" s="75">
        <f>CECONY!CO19</f>
        <v>33.719617257045861</v>
      </c>
      <c r="G17" s="119"/>
      <c r="H17" s="119"/>
      <c r="I17" s="119"/>
      <c r="J17" s="119"/>
      <c r="K17" s="119"/>
      <c r="L17" s="119"/>
      <c r="M17" s="119"/>
      <c r="N17" s="119">
        <f t="shared" si="0"/>
        <v>21.609351597646871</v>
      </c>
      <c r="O17" s="119">
        <f t="shared" si="1"/>
        <v>0.17113798706199893</v>
      </c>
    </row>
    <row r="18" spans="2:15">
      <c r="B18" s="5" t="s">
        <v>25</v>
      </c>
      <c r="C18" s="95">
        <f>CECONY!CN20/1000</f>
        <v>0.57399999999999995</v>
      </c>
      <c r="D18" s="75">
        <f>CECONY!CO20</f>
        <v>40.233115237517076</v>
      </c>
      <c r="G18" s="119"/>
      <c r="H18" s="119"/>
      <c r="I18" s="119"/>
      <c r="J18" s="119"/>
      <c r="K18" s="119"/>
      <c r="L18" s="119"/>
      <c r="M18" s="119"/>
      <c r="N18" s="119">
        <f t="shared" si="0"/>
        <v>25.783552832423769</v>
      </c>
      <c r="O18" s="119">
        <f t="shared" si="1"/>
        <v>0.20419610052197051</v>
      </c>
    </row>
    <row r="19" spans="2:15">
      <c r="B19" s="5" t="s">
        <v>27</v>
      </c>
      <c r="C19" s="95">
        <f>CECONY!CN21/1000</f>
        <v>1.1639999999999999</v>
      </c>
      <c r="D19" s="75">
        <f>CECONY!CO21</f>
        <v>18.359767903321202</v>
      </c>
      <c r="G19" s="119"/>
      <c r="H19" s="119"/>
      <c r="I19" s="119"/>
      <c r="J19" s="119"/>
      <c r="K19" s="119"/>
      <c r="L19" s="119"/>
      <c r="M19" s="119"/>
      <c r="N19" s="119">
        <f t="shared" si="0"/>
        <v>11.765930699915007</v>
      </c>
      <c r="O19" s="119">
        <f t="shared" si="1"/>
        <v>9.3181773029862636E-2</v>
      </c>
    </row>
    <row r="20" spans="2:15">
      <c r="B20" s="5" t="s">
        <v>67</v>
      </c>
      <c r="C20" s="95">
        <f>CECONY!CN22/1000</f>
        <v>0</v>
      </c>
      <c r="D20" s="75">
        <f>CECONY!CO22</f>
        <v>0</v>
      </c>
      <c r="G20" s="119"/>
      <c r="H20" s="119"/>
      <c r="I20" s="119"/>
      <c r="J20" s="119"/>
      <c r="K20" s="119"/>
      <c r="L20" s="119"/>
      <c r="M20" s="119"/>
      <c r="N20" s="119">
        <f t="shared" si="0"/>
        <v>0</v>
      </c>
      <c r="O20" s="119">
        <f t="shared" si="1"/>
        <v>0</v>
      </c>
    </row>
    <row r="21" spans="2:15">
      <c r="B21" s="5" t="s">
        <v>69</v>
      </c>
      <c r="C21" s="95">
        <f>CECONY!CN23/1000</f>
        <v>0</v>
      </c>
      <c r="D21" s="75">
        <f>CECONY!CO23</f>
        <v>0</v>
      </c>
      <c r="G21" s="119"/>
      <c r="H21" s="119"/>
      <c r="I21" s="119"/>
      <c r="J21" s="119"/>
      <c r="K21" s="119"/>
      <c r="L21" s="119"/>
      <c r="M21" s="119"/>
      <c r="N21" s="119">
        <f t="shared" si="0"/>
        <v>0</v>
      </c>
      <c r="O21" s="119">
        <f t="shared" si="1"/>
        <v>0</v>
      </c>
    </row>
    <row r="22" spans="2:15">
      <c r="B22" s="5" t="s">
        <v>28</v>
      </c>
      <c r="C22" s="95">
        <f>CECONY!CN24/1000</f>
        <v>0.5</v>
      </c>
      <c r="D22" s="75">
        <f>CECONY!CO24</f>
        <v>23.483628599520422</v>
      </c>
      <c r="G22" s="119"/>
      <c r="H22" s="119"/>
      <c r="I22" s="119"/>
      <c r="J22" s="119"/>
      <c r="K22" s="119"/>
      <c r="L22" s="119"/>
      <c r="M22" s="119"/>
      <c r="N22" s="119">
        <f t="shared" si="0"/>
        <v>15.049577322517061</v>
      </c>
      <c r="O22" s="119">
        <f t="shared" si="1"/>
        <v>0.11918702685137206</v>
      </c>
    </row>
    <row r="23" spans="2:15">
      <c r="B23" s="5" t="s">
        <v>29</v>
      </c>
      <c r="C23" s="95">
        <f>CECONY!CN25/1000</f>
        <v>2.0910000000000002</v>
      </c>
      <c r="D23" s="75">
        <f>CECONY!CO25</f>
        <v>32.232160948657857</v>
      </c>
      <c r="G23" s="119"/>
      <c r="H23" s="119"/>
      <c r="I23" s="119"/>
      <c r="J23" s="119"/>
      <c r="K23" s="119"/>
      <c r="L23" s="119"/>
      <c r="M23" s="119"/>
      <c r="N23" s="119">
        <f t="shared" si="0"/>
        <v>20.656109272591184</v>
      </c>
      <c r="O23" s="119">
        <f t="shared" si="1"/>
        <v>0.16358866417023318</v>
      </c>
    </row>
    <row r="24" spans="2:15">
      <c r="B24" s="5" t="s">
        <v>30</v>
      </c>
      <c r="C24" s="95">
        <f>CECONY!CN26/1000</f>
        <v>0.81</v>
      </c>
      <c r="D24" s="75">
        <f>CECONY!CO26</f>
        <v>59.195794035960724</v>
      </c>
      <c r="G24" s="119"/>
      <c r="H24" s="119"/>
      <c r="I24" s="119"/>
      <c r="J24" s="119"/>
      <c r="K24" s="119"/>
      <c r="L24" s="119"/>
      <c r="M24" s="119"/>
      <c r="N24" s="119">
        <f t="shared" si="0"/>
        <v>37.935861391121577</v>
      </c>
      <c r="O24" s="119">
        <f t="shared" si="1"/>
        <v>0.30043784176506794</v>
      </c>
    </row>
    <row r="25" spans="2:15">
      <c r="B25" s="5" t="s">
        <v>70</v>
      </c>
      <c r="C25" s="95">
        <f>CECONY!CN27/1000</f>
        <v>0</v>
      </c>
      <c r="D25" s="75">
        <f>CECONY!CO27</f>
        <v>0</v>
      </c>
      <c r="G25" s="119"/>
      <c r="H25" s="119"/>
      <c r="I25" s="119"/>
      <c r="J25" s="119"/>
      <c r="K25" s="119"/>
      <c r="L25" s="119"/>
      <c r="M25" s="119"/>
      <c r="N25" s="119">
        <f t="shared" si="0"/>
        <v>0</v>
      </c>
      <c r="O25" s="119">
        <f t="shared" si="1"/>
        <v>0</v>
      </c>
    </row>
    <row r="26" spans="2:15">
      <c r="B26" s="5" t="s">
        <v>31</v>
      </c>
      <c r="C26" s="95">
        <f>CECONY!CN28/1000</f>
        <v>9.7260000000000009</v>
      </c>
      <c r="D26" s="75">
        <f>CECONY!CO28</f>
        <v>143.43945748196464</v>
      </c>
      <c r="G26" s="119"/>
      <c r="H26" s="119"/>
      <c r="I26" s="119"/>
      <c r="J26" s="119"/>
      <c r="K26" s="119"/>
      <c r="L26" s="119"/>
      <c r="M26" s="119"/>
      <c r="N26" s="119">
        <f t="shared" si="0"/>
        <v>91.923750085146978</v>
      </c>
      <c r="O26" s="119">
        <f t="shared" si="1"/>
        <v>0.72800173950963842</v>
      </c>
    </row>
    <row r="27" spans="2:15">
      <c r="B27" s="5" t="s">
        <v>32</v>
      </c>
      <c r="C27" s="95">
        <f>CECONY!CN29/1000</f>
        <v>6.3155000000000001</v>
      </c>
      <c r="D27" s="75">
        <f>CECONY!CO29</f>
        <v>18.808303705133991</v>
      </c>
      <c r="G27" s="119"/>
      <c r="H27" s="119"/>
      <c r="I27" s="119"/>
      <c r="J27" s="119"/>
      <c r="K27" s="119"/>
      <c r="L27" s="119"/>
      <c r="M27" s="119"/>
      <c r="N27" s="119">
        <f t="shared" si="0"/>
        <v>12.053376662649939</v>
      </c>
      <c r="O27" s="119">
        <f t="shared" si="1"/>
        <v>9.5458237607213101E-2</v>
      </c>
    </row>
    <row r="28" spans="2:15">
      <c r="B28" s="5" t="s">
        <v>33</v>
      </c>
      <c r="C28" s="95">
        <f>CECONY!CN30/1000</f>
        <v>358</v>
      </c>
      <c r="D28" s="75">
        <f>CECONY!CO30</f>
        <v>493.18022584767357</v>
      </c>
      <c r="G28" s="119"/>
      <c r="H28" s="119"/>
      <c r="I28" s="119"/>
      <c r="J28" s="119"/>
      <c r="K28" s="119"/>
      <c r="L28" s="119"/>
      <c r="M28" s="119"/>
      <c r="N28" s="119">
        <f t="shared" si="0"/>
        <v>316.056520455385</v>
      </c>
      <c r="O28" s="119">
        <f t="shared" si="1"/>
        <v>2.5030494998491335</v>
      </c>
    </row>
    <row r="29" spans="2:15">
      <c r="B29" s="5" t="s">
        <v>34</v>
      </c>
      <c r="C29" s="95">
        <f>CECONY!CN31/1000</f>
        <v>130.21895000000001</v>
      </c>
      <c r="D29" s="75">
        <f>CECONY!CO31</f>
        <v>150.68364487658209</v>
      </c>
      <c r="G29" s="119"/>
      <c r="H29" s="119"/>
      <c r="I29" s="119"/>
      <c r="J29" s="119"/>
      <c r="K29" s="119"/>
      <c r="L29" s="119"/>
      <c r="M29" s="119"/>
      <c r="N29" s="119">
        <f t="shared" si="0"/>
        <v>96.566216553737149</v>
      </c>
      <c r="O29" s="119">
        <f t="shared" si="1"/>
        <v>0.76476833858352566</v>
      </c>
    </row>
    <row r="30" spans="2:15">
      <c r="B30" s="5" t="s">
        <v>71</v>
      </c>
      <c r="C30" s="95">
        <f>CECONY!CN32/1000</f>
        <v>0</v>
      </c>
      <c r="D30" s="75">
        <f>CECONY!CO32</f>
        <v>0</v>
      </c>
      <c r="G30" s="119"/>
      <c r="H30" s="119"/>
      <c r="I30" s="119"/>
      <c r="J30" s="119"/>
      <c r="K30" s="119"/>
      <c r="L30" s="119"/>
      <c r="M30" s="119"/>
      <c r="N30" s="119">
        <f t="shared" si="0"/>
        <v>0</v>
      </c>
      <c r="O30" s="119">
        <f t="shared" si="1"/>
        <v>0</v>
      </c>
    </row>
    <row r="31" spans="2:15">
      <c r="B31" s="5" t="s">
        <v>35</v>
      </c>
      <c r="C31" s="95">
        <f>CECONY!CN33/1000</f>
        <v>82</v>
      </c>
      <c r="D31" s="75">
        <f>CECONY!CO33</f>
        <v>82.966867314449644</v>
      </c>
      <c r="G31" s="119"/>
      <c r="H31" s="119"/>
      <c r="I31" s="119"/>
      <c r="J31" s="119"/>
      <c r="K31" s="119"/>
      <c r="L31" s="119"/>
      <c r="M31" s="119"/>
      <c r="N31" s="119">
        <f t="shared" si="0"/>
        <v>53.169648785934314</v>
      </c>
      <c r="O31" s="119">
        <f t="shared" si="1"/>
        <v>0.42108374353116257</v>
      </c>
    </row>
    <row r="32" spans="2:15">
      <c r="B32" s="5" t="s">
        <v>36</v>
      </c>
      <c r="C32" s="95">
        <f>CECONY!CN34/1000</f>
        <v>9.0694999999999997</v>
      </c>
      <c r="D32" s="75">
        <f>CECONY!CO34</f>
        <v>56.323802447687406</v>
      </c>
      <c r="G32" s="119"/>
      <c r="H32" s="119"/>
      <c r="I32" s="119"/>
      <c r="J32" s="119"/>
      <c r="K32" s="119"/>
      <c r="L32" s="119"/>
      <c r="M32" s="119"/>
      <c r="N32" s="119">
        <f t="shared" si="0"/>
        <v>36.095334093810266</v>
      </c>
      <c r="O32" s="119">
        <f t="shared" si="1"/>
        <v>0.28586155356080645</v>
      </c>
    </row>
    <row r="33" spans="2:15">
      <c r="B33" s="5" t="s">
        <v>72</v>
      </c>
      <c r="C33" s="95">
        <f>CECONY!CN35/1000</f>
        <v>0</v>
      </c>
      <c r="D33" s="75">
        <f>CECONY!CO35</f>
        <v>0</v>
      </c>
      <c r="G33" s="119"/>
      <c r="H33" s="119"/>
      <c r="I33" s="119"/>
      <c r="J33" s="119"/>
      <c r="K33" s="119"/>
      <c r="L33" s="119"/>
      <c r="M33" s="119"/>
      <c r="N33" s="119">
        <f t="shared" si="0"/>
        <v>0</v>
      </c>
      <c r="O33" s="119">
        <f t="shared" si="1"/>
        <v>0</v>
      </c>
    </row>
    <row r="34" spans="2:15">
      <c r="B34" s="5" t="s">
        <v>73</v>
      </c>
      <c r="C34" s="95">
        <f>CECONY!CN36/1000</f>
        <v>0</v>
      </c>
      <c r="D34" s="75">
        <f>CECONY!CO36</f>
        <v>0</v>
      </c>
      <c r="G34" s="119"/>
      <c r="H34" s="119"/>
      <c r="I34" s="119"/>
      <c r="J34" s="119"/>
      <c r="K34" s="119"/>
      <c r="L34" s="119"/>
      <c r="M34" s="119"/>
      <c r="N34" s="119">
        <f t="shared" si="0"/>
        <v>0</v>
      </c>
      <c r="O34" s="119">
        <f t="shared" si="1"/>
        <v>0</v>
      </c>
    </row>
    <row r="35" spans="2:15">
      <c r="B35" s="5" t="s">
        <v>37</v>
      </c>
      <c r="C35" s="95">
        <f>CECONY!CN37/1000</f>
        <v>716</v>
      </c>
      <c r="D35" s="75">
        <f>CECONY!CO37</f>
        <v>248.67979268799635</v>
      </c>
      <c r="G35" s="119"/>
      <c r="H35" s="119"/>
      <c r="I35" s="119"/>
      <c r="J35" s="119"/>
      <c r="K35" s="119"/>
      <c r="L35" s="119"/>
      <c r="M35" s="119"/>
      <c r="N35" s="119">
        <f t="shared" si="0"/>
        <v>159.36743986327323</v>
      </c>
      <c r="O35" s="119">
        <f t="shared" si="1"/>
        <v>1.2621305520520432</v>
      </c>
    </row>
    <row r="36" spans="2:15">
      <c r="B36" s="5" t="s">
        <v>38</v>
      </c>
      <c r="C36" s="95">
        <f>CECONY!CN38/1000</f>
        <v>716</v>
      </c>
      <c r="D36" s="75">
        <f>CECONY!CO38</f>
        <v>213.70910012258565</v>
      </c>
      <c r="G36" s="119"/>
      <c r="H36" s="119"/>
      <c r="I36" s="119"/>
      <c r="J36" s="119"/>
      <c r="K36" s="119"/>
      <c r="L36" s="119"/>
      <c r="M36" s="119"/>
      <c r="N36" s="119">
        <f t="shared" si="0"/>
        <v>136.95633164995951</v>
      </c>
      <c r="O36" s="119">
        <f t="shared" si="1"/>
        <v>1.0846429522911696</v>
      </c>
    </row>
    <row r="37" spans="2:15">
      <c r="B37" s="5" t="s">
        <v>39</v>
      </c>
      <c r="C37" s="95">
        <f>CECONY!CN39/1000</f>
        <v>269</v>
      </c>
      <c r="D37" s="75">
        <f>CECONY!CO39</f>
        <v>249.87130599553203</v>
      </c>
      <c r="G37" s="119"/>
      <c r="H37" s="119"/>
      <c r="I37" s="119"/>
      <c r="J37" s="119"/>
      <c r="K37" s="119"/>
      <c r="L37" s="119"/>
      <c r="M37" s="119"/>
      <c r="N37" s="119">
        <f t="shared" si="0"/>
        <v>160.13102593246069</v>
      </c>
      <c r="O37" s="119">
        <f t="shared" si="1"/>
        <v>1.268177868290979</v>
      </c>
    </row>
    <row r="38" spans="2:15">
      <c r="B38" s="5" t="s">
        <v>74</v>
      </c>
      <c r="C38" s="95">
        <f>CECONY!CN40/1000</f>
        <v>0</v>
      </c>
      <c r="D38" s="75">
        <f>CECONY!CO40</f>
        <v>0</v>
      </c>
      <c r="G38" s="119"/>
      <c r="H38" s="119"/>
      <c r="I38" s="119"/>
      <c r="J38" s="119"/>
      <c r="K38" s="119"/>
      <c r="L38" s="119"/>
      <c r="M38" s="119"/>
      <c r="N38" s="119">
        <f t="shared" si="0"/>
        <v>0</v>
      </c>
      <c r="O38" s="119">
        <f t="shared" si="1"/>
        <v>0</v>
      </c>
    </row>
    <row r="39" spans="2:15">
      <c r="B39" s="5" t="s">
        <v>40</v>
      </c>
      <c r="C39" s="95">
        <f>CECONY!CN41/1000</f>
        <v>4.2000000000000003E-2</v>
      </c>
      <c r="D39" s="75">
        <f>CECONY!CO41</f>
        <v>201.93596448367052</v>
      </c>
      <c r="G39" s="119"/>
      <c r="H39" s="119"/>
      <c r="I39" s="119"/>
      <c r="J39" s="119"/>
      <c r="K39" s="119"/>
      <c r="L39" s="119"/>
      <c r="M39" s="119"/>
      <c r="N39" s="119">
        <f t="shared" si="0"/>
        <v>129.4114705832182</v>
      </c>
      <c r="O39" s="119">
        <f t="shared" si="1"/>
        <v>1.0248904729171397</v>
      </c>
    </row>
    <row r="40" spans="2:15">
      <c r="B40" s="5" t="s">
        <v>75</v>
      </c>
      <c r="C40" s="95">
        <f>CECONY!CN42/1000</f>
        <v>0</v>
      </c>
      <c r="D40" s="75">
        <f>CECONY!CO42</f>
        <v>0</v>
      </c>
      <c r="G40" s="119"/>
      <c r="H40" s="119"/>
      <c r="I40" s="119"/>
      <c r="J40" s="119"/>
      <c r="K40" s="119"/>
      <c r="L40" s="119"/>
      <c r="M40" s="119"/>
      <c r="N40" s="119">
        <f t="shared" si="0"/>
        <v>0</v>
      </c>
      <c r="O40" s="119">
        <f t="shared" si="1"/>
        <v>0</v>
      </c>
    </row>
    <row r="41" spans="2:15">
      <c r="B41" s="5" t="s">
        <v>41</v>
      </c>
      <c r="C41" s="95">
        <f>CECONY!CN43/1000</f>
        <v>79</v>
      </c>
      <c r="D41" s="75">
        <f>CECONY!CO43</f>
        <v>70.327798639962978</v>
      </c>
      <c r="G41" s="119"/>
      <c r="H41" s="119"/>
      <c r="I41" s="119"/>
      <c r="J41" s="119"/>
      <c r="K41" s="119"/>
      <c r="L41" s="119"/>
      <c r="M41" s="119"/>
      <c r="N41" s="119">
        <f t="shared" si="0"/>
        <v>45.069851069614835</v>
      </c>
      <c r="O41" s="119">
        <f t="shared" si="1"/>
        <v>0.35693637332819739</v>
      </c>
    </row>
    <row r="42" spans="2:15">
      <c r="B42" s="5" t="s">
        <v>42</v>
      </c>
      <c r="C42" s="95">
        <f>CECONY!CN44/1000</f>
        <v>86.128500000000003</v>
      </c>
      <c r="D42" s="75">
        <f>CECONY!CO44</f>
        <v>126.42271982009569</v>
      </c>
      <c r="G42" s="119"/>
      <c r="H42" s="119"/>
      <c r="I42" s="119"/>
      <c r="J42" s="119"/>
      <c r="K42" s="119"/>
      <c r="L42" s="119"/>
      <c r="M42" s="119"/>
      <c r="N42" s="119">
        <f t="shared" si="0"/>
        <v>81.018505687587606</v>
      </c>
      <c r="O42" s="119">
        <f t="shared" si="1"/>
        <v>0.64163628026926578</v>
      </c>
    </row>
    <row r="43" spans="2:15">
      <c r="B43" s="5" t="s">
        <v>44</v>
      </c>
      <c r="C43" s="95">
        <f>CECONY!CN45/1000</f>
        <v>2.23</v>
      </c>
      <c r="D43" s="75">
        <f>CECONY!CO45</f>
        <v>4.3312806000458099</v>
      </c>
      <c r="G43" s="119"/>
      <c r="H43" s="119"/>
      <c r="I43" s="119"/>
      <c r="J43" s="119"/>
      <c r="K43" s="119"/>
      <c r="L43" s="119"/>
      <c r="M43" s="119"/>
      <c r="N43" s="119">
        <f t="shared" si="0"/>
        <v>2.7757184976617575</v>
      </c>
      <c r="O43" s="119">
        <f t="shared" si="1"/>
        <v>2.1982652935885267E-2</v>
      </c>
    </row>
    <row r="44" spans="2:15">
      <c r="B44" s="5" t="s">
        <v>46</v>
      </c>
      <c r="C44" s="95">
        <f>CECONY!CN46/1000</f>
        <v>716</v>
      </c>
      <c r="D44" s="75">
        <f>CECONY!CO46</f>
        <v>329.98838316101359</v>
      </c>
      <c r="G44" s="119"/>
      <c r="H44" s="119"/>
      <c r="I44" s="119"/>
      <c r="J44" s="119"/>
      <c r="K44" s="119"/>
      <c r="L44" s="119"/>
      <c r="M44" s="119"/>
      <c r="N44" s="119">
        <f t="shared" si="0"/>
        <v>211.47437530226821</v>
      </c>
      <c r="O44" s="119">
        <f t="shared" si="1"/>
        <v>1.6747980031184693</v>
      </c>
    </row>
    <row r="45" spans="2:15">
      <c r="B45" s="5" t="s">
        <v>47</v>
      </c>
      <c r="C45" s="95">
        <f>CECONY!CN47/1000</f>
        <v>117.2427</v>
      </c>
      <c r="D45" s="75">
        <f>CECONY!CO47</f>
        <v>222.2840062357408</v>
      </c>
      <c r="G45" s="119"/>
      <c r="H45" s="119"/>
      <c r="I45" s="119"/>
      <c r="J45" s="119"/>
      <c r="K45" s="119"/>
      <c r="L45" s="119"/>
      <c r="M45" s="119"/>
      <c r="N45" s="119">
        <f t="shared" si="0"/>
        <v>142.45159453219944</v>
      </c>
      <c r="O45" s="119">
        <f t="shared" si="1"/>
        <v>1.1281633801852424</v>
      </c>
    </row>
    <row r="46" spans="2:15">
      <c r="B46" s="5" t="s">
        <v>48</v>
      </c>
      <c r="C46" s="95">
        <f>CECONY!CN48/1000</f>
        <v>4.6426999999999996</v>
      </c>
      <c r="D46" s="75">
        <f>CECONY!CO48</f>
        <v>50.343023075866157</v>
      </c>
      <c r="G46" s="119"/>
      <c r="H46" s="119"/>
      <c r="I46" s="119"/>
      <c r="J46" s="119"/>
      <c r="K46" s="119"/>
      <c r="L46" s="119"/>
      <c r="M46" s="119"/>
      <c r="N46" s="119">
        <f t="shared" si="0"/>
        <v>32.262527710261132</v>
      </c>
      <c r="O46" s="119">
        <f t="shared" si="1"/>
        <v>0.25550715970891474</v>
      </c>
    </row>
    <row r="47" spans="2:15">
      <c r="B47" s="5" t="s">
        <v>76</v>
      </c>
      <c r="C47" s="95">
        <f>CECONY!CN49/1000</f>
        <v>0</v>
      </c>
      <c r="D47" s="75">
        <f>CECONY!CO49</f>
        <v>0</v>
      </c>
      <c r="G47" s="119"/>
      <c r="H47" s="119"/>
      <c r="I47" s="119"/>
      <c r="J47" s="119"/>
      <c r="K47" s="119"/>
      <c r="L47" s="119"/>
      <c r="M47" s="119"/>
      <c r="N47" s="119">
        <f t="shared" si="0"/>
        <v>0</v>
      </c>
      <c r="O47" s="119">
        <f t="shared" si="1"/>
        <v>0</v>
      </c>
    </row>
    <row r="48" spans="2:15">
      <c r="B48" s="5" t="s">
        <v>49</v>
      </c>
      <c r="C48" s="95">
        <f>CECONY!CN50/1000</f>
        <v>1.41</v>
      </c>
      <c r="D48" s="75">
        <f>CECONY!CO50</f>
        <v>216.15052913874314</v>
      </c>
      <c r="G48" s="119"/>
      <c r="H48" s="119"/>
      <c r="I48" s="119"/>
      <c r="J48" s="119"/>
      <c r="K48" s="119"/>
      <c r="L48" s="119"/>
      <c r="M48" s="119"/>
      <c r="N48" s="119">
        <f t="shared" si="0"/>
        <v>138.52093120068011</v>
      </c>
      <c r="O48" s="119">
        <f t="shared" si="1"/>
        <v>1.0970339958844253</v>
      </c>
    </row>
    <row r="49" spans="2:15">
      <c r="B49" s="5" t="s">
        <v>50</v>
      </c>
      <c r="C49" s="95">
        <f>CECONY!CN51/1000</f>
        <v>1.968</v>
      </c>
      <c r="D49" s="75">
        <f>CECONY!CO51</f>
        <v>88.610418714533878</v>
      </c>
      <c r="G49" s="119"/>
      <c r="H49" s="119"/>
      <c r="I49" s="119"/>
      <c r="J49" s="119"/>
      <c r="K49" s="119"/>
      <c r="L49" s="119"/>
      <c r="M49" s="119"/>
      <c r="N49" s="119">
        <f t="shared" si="0"/>
        <v>56.786341274883895</v>
      </c>
      <c r="O49" s="119">
        <f t="shared" si="1"/>
        <v>0.44972659612135701</v>
      </c>
    </row>
    <row r="50" spans="2:15">
      <c r="B50" s="5" t="s">
        <v>51</v>
      </c>
      <c r="C50" s="95">
        <f>CECONY!CN52/1000</f>
        <v>85</v>
      </c>
      <c r="D50" s="75">
        <f>CECONY!CO52</f>
        <v>296.25949722554589</v>
      </c>
      <c r="G50" s="119"/>
      <c r="H50" s="119"/>
      <c r="I50" s="119"/>
      <c r="J50" s="119"/>
      <c r="K50" s="119"/>
      <c r="L50" s="119"/>
      <c r="M50" s="119"/>
      <c r="N50" s="119">
        <f t="shared" si="0"/>
        <v>189.85908383498</v>
      </c>
      <c r="O50" s="119">
        <f t="shared" si="1"/>
        <v>1.5036129745092384</v>
      </c>
    </row>
    <row r="51" spans="2:15">
      <c r="B51" s="5" t="s">
        <v>77</v>
      </c>
      <c r="C51" s="95">
        <f>CECONY!CN53/1000</f>
        <v>0</v>
      </c>
      <c r="D51" s="75">
        <f>CECONY!CO53</f>
        <v>0</v>
      </c>
      <c r="G51" s="119"/>
      <c r="H51" s="119"/>
      <c r="I51" s="119"/>
      <c r="J51" s="119"/>
      <c r="K51" s="119"/>
      <c r="L51" s="119"/>
      <c r="M51" s="119"/>
      <c r="N51" s="119">
        <f t="shared" si="0"/>
        <v>0</v>
      </c>
      <c r="O51" s="119">
        <f t="shared" si="1"/>
        <v>0</v>
      </c>
    </row>
    <row r="52" spans="2:15">
      <c r="B52" s="5" t="s">
        <v>52</v>
      </c>
      <c r="C52" s="95">
        <f>CECONY!CN54/1000</f>
        <v>4.7770000000000001</v>
      </c>
      <c r="D52" s="75">
        <f>CECONY!CO54</f>
        <v>60.121781917451003</v>
      </c>
      <c r="G52" s="119"/>
      <c r="H52" s="119"/>
      <c r="I52" s="119"/>
      <c r="J52" s="119"/>
      <c r="K52" s="119"/>
      <c r="L52" s="119"/>
      <c r="M52" s="119"/>
      <c r="N52" s="119">
        <f t="shared" si="0"/>
        <v>38.529284428926147</v>
      </c>
      <c r="O52" s="119">
        <f t="shared" si="1"/>
        <v>0.30513753040251645</v>
      </c>
    </row>
    <row r="53" spans="2:15">
      <c r="B53" s="5" t="s">
        <v>78</v>
      </c>
      <c r="C53" s="95">
        <f>CECONY!CN55/1000</f>
        <v>0</v>
      </c>
      <c r="D53" s="75">
        <f>CECONY!CO55</f>
        <v>0</v>
      </c>
      <c r="G53" s="119"/>
      <c r="H53" s="119"/>
      <c r="I53" s="119"/>
      <c r="J53" s="119"/>
      <c r="K53" s="119"/>
      <c r="L53" s="119"/>
      <c r="M53" s="119"/>
      <c r="N53" s="119">
        <f t="shared" si="0"/>
        <v>0</v>
      </c>
      <c r="O53" s="119">
        <f t="shared" si="1"/>
        <v>0</v>
      </c>
    </row>
    <row r="54" spans="2:15">
      <c r="B54" s="5" t="s">
        <v>79</v>
      </c>
      <c r="C54" s="95">
        <f>CECONY!CN56/1000</f>
        <v>0</v>
      </c>
      <c r="D54" s="75">
        <f>CECONY!CO56</f>
        <v>0</v>
      </c>
      <c r="G54" s="119"/>
      <c r="H54" s="119"/>
      <c r="I54" s="119"/>
      <c r="J54" s="119"/>
      <c r="K54" s="119"/>
      <c r="L54" s="119"/>
      <c r="M54" s="119"/>
      <c r="N54" s="119">
        <f t="shared" si="0"/>
        <v>0</v>
      </c>
      <c r="O54" s="119">
        <f t="shared" si="1"/>
        <v>0</v>
      </c>
    </row>
    <row r="55" spans="2:15">
      <c r="B55" s="5" t="s">
        <v>80</v>
      </c>
      <c r="C55" s="95">
        <f>CECONY!CN57/1000</f>
        <v>0</v>
      </c>
      <c r="D55" s="75">
        <f>CECONY!CO57</f>
        <v>0</v>
      </c>
      <c r="G55" s="119"/>
      <c r="H55" s="119"/>
      <c r="I55" s="119"/>
      <c r="J55" s="119"/>
      <c r="K55" s="119"/>
      <c r="L55" s="119"/>
      <c r="M55" s="119"/>
      <c r="N55" s="119">
        <f t="shared" si="0"/>
        <v>0</v>
      </c>
      <c r="O55" s="119">
        <f t="shared" si="1"/>
        <v>0</v>
      </c>
    </row>
    <row r="56" spans="2:15">
      <c r="B56" s="5" t="s">
        <v>53</v>
      </c>
      <c r="C56" s="95">
        <f>CECONY!CN58/1000</f>
        <v>3.048</v>
      </c>
      <c r="D56" s="75">
        <f>CECONY!CO58</f>
        <v>103.23809009937526</v>
      </c>
      <c r="G56" s="119"/>
      <c r="H56" s="119"/>
      <c r="I56" s="119"/>
      <c r="J56" s="119"/>
      <c r="K56" s="119"/>
      <c r="L56" s="119"/>
      <c r="M56" s="119"/>
      <c r="N56" s="119">
        <f t="shared" si="0"/>
        <v>66.160542992545032</v>
      </c>
      <c r="O56" s="119">
        <f t="shared" si="1"/>
        <v>0.52396676964180433</v>
      </c>
    </row>
    <row r="57" spans="2:15">
      <c r="B57" s="5" t="s">
        <v>81</v>
      </c>
      <c r="C57" s="95">
        <f>CECONY!CN59/1000</f>
        <v>0</v>
      </c>
      <c r="D57" s="75">
        <f>CECONY!CO59</f>
        <v>0</v>
      </c>
      <c r="G57" s="119"/>
      <c r="H57" s="119"/>
      <c r="I57" s="119"/>
      <c r="J57" s="119"/>
      <c r="K57" s="119"/>
      <c r="L57" s="119"/>
      <c r="M57" s="119"/>
      <c r="N57" s="119">
        <f t="shared" si="0"/>
        <v>0</v>
      </c>
      <c r="O57" s="119">
        <f t="shared" si="1"/>
        <v>0</v>
      </c>
    </row>
    <row r="58" spans="2:15">
      <c r="B58" s="5" t="s">
        <v>55</v>
      </c>
      <c r="C58" s="95">
        <f>CECONY!CN60/1000</f>
        <v>0.29664999999999997</v>
      </c>
      <c r="D58" s="75">
        <f>CECONY!CO60</f>
        <v>6.5556326993431897</v>
      </c>
      <c r="G58" s="119"/>
      <c r="H58" s="119"/>
      <c r="I58" s="119"/>
      <c r="J58" s="119"/>
      <c r="K58" s="119"/>
      <c r="L58" s="119"/>
      <c r="M58" s="119"/>
      <c r="N58" s="119">
        <f t="shared" si="0"/>
        <v>4.2012034379048808</v>
      </c>
      <c r="O58" s="119">
        <f t="shared" si="1"/>
        <v>3.3271960815302024E-2</v>
      </c>
    </row>
    <row r="59" spans="2:15">
      <c r="B59" s="5" t="s">
        <v>56</v>
      </c>
      <c r="C59" s="95">
        <f>CECONY!CN61/1000</f>
        <v>0.26400000000000001</v>
      </c>
      <c r="D59" s="75">
        <f>CECONY!CO61</f>
        <v>16.438570741433765</v>
      </c>
      <c r="G59" s="119"/>
      <c r="H59" s="119"/>
      <c r="I59" s="119"/>
      <c r="J59" s="119"/>
      <c r="K59" s="119"/>
      <c r="L59" s="119"/>
      <c r="M59" s="119"/>
      <c r="N59" s="119">
        <f t="shared" si="0"/>
        <v>10.534723813930794</v>
      </c>
      <c r="O59" s="119">
        <f t="shared" si="1"/>
        <v>8.3431074718898296E-2</v>
      </c>
    </row>
    <row r="60" spans="2:15">
      <c r="B60" s="5" t="s">
        <v>58</v>
      </c>
      <c r="C60" s="95">
        <f>CECONY!CN62/1000</f>
        <v>4.1675499999999994</v>
      </c>
      <c r="D60" s="75">
        <f>CECONY!CO62</f>
        <v>63.391895830716443</v>
      </c>
      <c r="G60" s="119"/>
      <c r="H60" s="119"/>
      <c r="I60" s="119"/>
      <c r="J60" s="119"/>
      <c r="K60" s="119"/>
      <c r="L60" s="119"/>
      <c r="M60" s="119"/>
      <c r="N60" s="119">
        <f t="shared" si="0"/>
        <v>40.624950010697958</v>
      </c>
      <c r="O60" s="119">
        <f t="shared" si="1"/>
        <v>0.32173441844882855</v>
      </c>
    </row>
    <row r="61" spans="2:15">
      <c r="B61" s="5" t="s">
        <v>60</v>
      </c>
      <c r="C61" s="95">
        <f>CECONY!CN63/1000</f>
        <v>2.44</v>
      </c>
      <c r="D61" s="75">
        <f>CECONY!CO63</f>
        <v>34.126866570942042</v>
      </c>
      <c r="G61" s="119"/>
      <c r="H61" s="119"/>
      <c r="I61" s="119"/>
      <c r="J61" s="119"/>
      <c r="K61" s="119"/>
      <c r="L61" s="119"/>
      <c r="M61" s="119"/>
      <c r="N61" s="119">
        <f t="shared" si="0"/>
        <v>21.870338949454492</v>
      </c>
      <c r="O61" s="119">
        <f t="shared" si="1"/>
        <v>0.17320490933105312</v>
      </c>
    </row>
    <row r="62" spans="2:15">
      <c r="B62" s="5" t="s">
        <v>82</v>
      </c>
      <c r="C62" s="95">
        <f>CECONY!CN64/1000</f>
        <v>0</v>
      </c>
      <c r="D62" s="75">
        <f>CECONY!CO64</f>
        <v>0</v>
      </c>
      <c r="G62" s="119"/>
      <c r="H62" s="119"/>
      <c r="I62" s="119"/>
      <c r="J62" s="119"/>
      <c r="K62" s="119"/>
      <c r="L62" s="119"/>
      <c r="M62" s="119"/>
      <c r="N62" s="119">
        <f t="shared" si="0"/>
        <v>0</v>
      </c>
      <c r="O62" s="119">
        <f t="shared" si="1"/>
        <v>0</v>
      </c>
    </row>
    <row r="63" spans="2:15">
      <c r="B63" s="5" t="s">
        <v>83</v>
      </c>
      <c r="C63" s="95">
        <f>CECONY!CN65/1000</f>
        <v>0</v>
      </c>
      <c r="D63" s="75">
        <f>CECONY!CO65</f>
        <v>0</v>
      </c>
      <c r="G63" s="119"/>
      <c r="H63" s="119"/>
      <c r="I63" s="119"/>
      <c r="J63" s="119"/>
      <c r="K63" s="119"/>
      <c r="L63" s="119"/>
      <c r="M63" s="119"/>
      <c r="N63" s="119">
        <f t="shared" si="0"/>
        <v>0</v>
      </c>
      <c r="O63" s="119">
        <f t="shared" si="1"/>
        <v>0</v>
      </c>
    </row>
    <row r="64" spans="2:15">
      <c r="B64" s="5" t="s">
        <v>84</v>
      </c>
      <c r="C64" s="95">
        <f>CECONY!CN66/1000</f>
        <v>0</v>
      </c>
      <c r="D64" s="75">
        <f>CECONY!CO66</f>
        <v>0</v>
      </c>
      <c r="G64" s="119"/>
      <c r="H64" s="119"/>
      <c r="I64" s="119"/>
      <c r="J64" s="119"/>
      <c r="K64" s="119"/>
      <c r="L64" s="119"/>
      <c r="M64" s="119"/>
      <c r="N64" s="119">
        <f t="shared" si="0"/>
        <v>0</v>
      </c>
      <c r="O64" s="119">
        <f t="shared" si="1"/>
        <v>0</v>
      </c>
    </row>
    <row r="65" spans="1:17">
      <c r="A65" s="119"/>
      <c r="B65" s="5" t="s">
        <v>62</v>
      </c>
      <c r="C65" s="95">
        <f>CECONY!CN67/1000</f>
        <v>2.7519999999999998</v>
      </c>
      <c r="D65" s="75">
        <f>CECONY!CO67</f>
        <v>32.745326025569781</v>
      </c>
      <c r="G65" s="119"/>
      <c r="H65" s="119"/>
      <c r="I65" s="119"/>
      <c r="J65" s="119"/>
      <c r="K65" s="119"/>
      <c r="L65" s="119"/>
      <c r="M65" s="119"/>
      <c r="N65" s="119">
        <f t="shared" si="0"/>
        <v>20.984973164790496</v>
      </c>
      <c r="O65" s="119">
        <f t="shared" si="1"/>
        <v>0.16619314326688933</v>
      </c>
      <c r="P65" s="119"/>
      <c r="Q65" s="119"/>
    </row>
    <row r="66" spans="1:17">
      <c r="A66" s="119"/>
      <c r="B66" s="5" t="s">
        <v>63</v>
      </c>
      <c r="C66" s="95">
        <f>CECONY!CN68/1000</f>
        <v>2.4249999999999998</v>
      </c>
      <c r="D66" s="75">
        <f>CECONY!CO68</f>
        <v>62.082431113594964</v>
      </c>
      <c r="G66" s="119"/>
      <c r="H66" s="119"/>
      <c r="I66" s="119"/>
      <c r="J66" s="119"/>
      <c r="K66" s="119"/>
      <c r="L66" s="119"/>
      <c r="M66" s="119"/>
      <c r="N66" s="119">
        <f t="shared" si="0"/>
        <v>39.785774308871787</v>
      </c>
      <c r="O66" s="119">
        <f t="shared" si="1"/>
        <v>0.31508846057485373</v>
      </c>
      <c r="P66" s="119"/>
      <c r="Q66" s="119"/>
    </row>
    <row r="67" spans="1:17">
      <c r="A67" s="119"/>
      <c r="B67" s="5" t="s">
        <v>64</v>
      </c>
      <c r="C67" s="95">
        <f>CECONY!CN69/1000</f>
        <v>1.748</v>
      </c>
      <c r="D67" s="75">
        <f>CECONY!CO69</f>
        <v>58.130546130387529</v>
      </c>
      <c r="G67" s="119"/>
      <c r="H67" s="119"/>
      <c r="I67" s="119"/>
      <c r="J67" s="119"/>
      <c r="K67" s="119"/>
      <c r="L67" s="119"/>
      <c r="M67" s="119"/>
      <c r="N67" s="119">
        <f t="shared" si="0"/>
        <v>37.253193009843372</v>
      </c>
      <c r="O67" s="119">
        <f t="shared" si="1"/>
        <v>0.29503136336728264</v>
      </c>
      <c r="P67" s="119"/>
      <c r="Q67" s="119"/>
    </row>
    <row r="68" spans="1:17">
      <c r="A68" s="119"/>
      <c r="B68" s="5" t="s">
        <v>65</v>
      </c>
      <c r="C68" s="95">
        <f>CECONY!CN70/1000</f>
        <v>1.167</v>
      </c>
      <c r="D68" s="75">
        <f>CECONY!CO70</f>
        <v>20.964767046435458</v>
      </c>
      <c r="G68" s="119"/>
      <c r="H68" s="119"/>
      <c r="I68" s="119"/>
      <c r="J68" s="119"/>
      <c r="K68" s="119"/>
      <c r="L68" s="119"/>
      <c r="M68" s="119"/>
      <c r="N68" s="119">
        <f t="shared" ref="N68:N131" si="2">0.640854*D68</f>
        <v>13.43535482077635</v>
      </c>
      <c r="O68" s="119">
        <f t="shared" si="1"/>
        <v>0.10640298803513233</v>
      </c>
      <c r="P68" s="119"/>
      <c r="Q68" s="119"/>
    </row>
    <row r="69" spans="1:17">
      <c r="A69" s="119"/>
      <c r="B69" s="5" t="s">
        <v>66</v>
      </c>
      <c r="C69" s="95">
        <f>CECONY!CN71/1000</f>
        <v>0.80800000000000005</v>
      </c>
      <c r="D69" s="75">
        <f>CECONY!CO71</f>
        <v>103.35866281743959</v>
      </c>
      <c r="G69" s="119"/>
      <c r="H69" s="119"/>
      <c r="I69" s="119"/>
      <c r="J69" s="119"/>
      <c r="K69" s="119"/>
      <c r="L69" s="119"/>
      <c r="M69" s="119"/>
      <c r="N69" s="119">
        <f t="shared" si="2"/>
        <v>66.237812501207443</v>
      </c>
      <c r="O69" s="119">
        <f t="shared" ref="O69:O71" si="3">N69/(0.5*E$2)</f>
        <v>0.52457871526701205</v>
      </c>
      <c r="P69" s="119"/>
      <c r="Q69" s="119"/>
    </row>
    <row r="70" spans="1:17">
      <c r="A70" s="119"/>
      <c r="B70" s="5" t="s">
        <v>85</v>
      </c>
      <c r="C70" s="95">
        <f>CECONY!CN72/1000</f>
        <v>0</v>
      </c>
      <c r="D70" s="75">
        <f>CECONY!CO72</f>
        <v>0</v>
      </c>
      <c r="G70" s="119"/>
      <c r="H70" s="119"/>
      <c r="I70" s="119"/>
      <c r="J70" s="119"/>
      <c r="K70" s="119"/>
      <c r="L70" s="119"/>
      <c r="M70" s="119"/>
      <c r="N70" s="119">
        <f t="shared" si="2"/>
        <v>0</v>
      </c>
      <c r="O70" s="119">
        <f t="shared" si="3"/>
        <v>0</v>
      </c>
      <c r="P70" s="119"/>
      <c r="Q70" s="119"/>
    </row>
    <row r="71" spans="1:17">
      <c r="A71" s="119"/>
      <c r="B71" s="5" t="s">
        <v>68</v>
      </c>
      <c r="C71" s="95">
        <f>CECONY!CN73/1000</f>
        <v>1.1628000000000001</v>
      </c>
      <c r="D71" s="75">
        <f>CECONY!CO73</f>
        <v>54.560309629071988</v>
      </c>
      <c r="G71" s="119"/>
      <c r="H71" s="119"/>
      <c r="I71" s="119"/>
      <c r="J71" s="119"/>
      <c r="K71" s="119"/>
      <c r="L71" s="119"/>
      <c r="M71" s="119"/>
      <c r="N71" s="119">
        <f t="shared" si="2"/>
        <v>34.965192667029299</v>
      </c>
      <c r="O71" s="119">
        <f t="shared" si="3"/>
        <v>0.27691125590838955</v>
      </c>
      <c r="P71" s="119"/>
      <c r="Q71" s="119"/>
    </row>
    <row r="72" spans="1:17">
      <c r="A72" s="119" t="s">
        <v>574</v>
      </c>
      <c r="B72" s="97" t="s">
        <v>575</v>
      </c>
      <c r="C72" s="119"/>
      <c r="D72" s="119"/>
      <c r="E72" s="9">
        <f>SUMPRODUCT(D73:D136,'data for stata'!C71:C134)/SUM('data for stata'!C71:C134)</f>
        <v>21.637211580243036</v>
      </c>
      <c r="F72" s="11">
        <f>_xlfn.STDEV.S(D73:D136)</f>
        <v>21.338017165671697</v>
      </c>
      <c r="G72" s="119">
        <f>F72/SQRT(M72)</f>
        <v>5.9181011544276991</v>
      </c>
      <c r="H72" s="119">
        <f>G72*$D$1</f>
        <v>9.735276399033566</v>
      </c>
      <c r="I72" s="119">
        <f>H72+E72</f>
        <v>31.372487979276602</v>
      </c>
      <c r="J72" s="119">
        <f>COUNTIF(D73:D136,"&gt;31.3725")</f>
        <v>4</v>
      </c>
      <c r="K72" s="119"/>
      <c r="L72" s="119">
        <f>COUNTA(B73:B136)</f>
        <v>64</v>
      </c>
      <c r="M72" s="119">
        <f>ROUND(L72/5,0)</f>
        <v>13</v>
      </c>
      <c r="N72" s="119"/>
      <c r="O72" s="119"/>
      <c r="P72" s="119">
        <f>COUNTIF(O73:O136,"&gt;1")-COUNTIF(O73:O136,"&gt;2")</f>
        <v>0</v>
      </c>
      <c r="Q72" s="119">
        <f>COUNTIF(O73:O136,"&gt;2")</f>
        <v>4</v>
      </c>
    </row>
    <row r="73" spans="1:17">
      <c r="A73" s="119"/>
      <c r="B73" s="119" t="s">
        <v>576</v>
      </c>
      <c r="C73" s="95">
        <v>0</v>
      </c>
      <c r="D73" s="119">
        <f>'CEN HUD'!F5</f>
        <v>9.14</v>
      </c>
      <c r="G73" s="119"/>
      <c r="H73" s="119"/>
      <c r="I73" s="119"/>
      <c r="J73" s="119"/>
      <c r="K73" s="119"/>
      <c r="L73" s="119"/>
      <c r="M73" s="119"/>
      <c r="N73" s="119">
        <f t="shared" si="2"/>
        <v>5.857405560000001</v>
      </c>
      <c r="O73" s="119">
        <f>N73/(0.5*E$72)</f>
        <v>0.54141963147861483</v>
      </c>
      <c r="P73" s="119"/>
      <c r="Q73" s="119"/>
    </row>
    <row r="74" spans="1:17">
      <c r="A74" s="119"/>
      <c r="B74" s="119" t="s">
        <v>577</v>
      </c>
      <c r="C74" s="95">
        <v>0</v>
      </c>
      <c r="D74" s="119">
        <f>'CEN HUD'!F6</f>
        <v>9.16</v>
      </c>
      <c r="G74" s="119"/>
      <c r="H74" s="119"/>
      <c r="I74" s="119"/>
      <c r="J74" s="119"/>
      <c r="K74" s="119"/>
      <c r="L74" s="119"/>
      <c r="M74" s="119"/>
      <c r="N74" s="119">
        <f t="shared" si="2"/>
        <v>5.8702226400000006</v>
      </c>
      <c r="O74" s="119">
        <f t="shared" ref="O74:O136" si="4">N74/(0.5*E$72)</f>
        <v>0.54260435714924637</v>
      </c>
      <c r="P74" s="119"/>
      <c r="Q74" s="119"/>
    </row>
    <row r="75" spans="1:17">
      <c r="A75" s="119"/>
      <c r="B75" s="119" t="s">
        <v>578</v>
      </c>
      <c r="C75" s="95">
        <v>0</v>
      </c>
      <c r="D75" s="119">
        <f>'CEN HUD'!F7</f>
        <v>9.3699999999999992</v>
      </c>
      <c r="G75" s="119"/>
      <c r="H75" s="119"/>
      <c r="I75" s="119"/>
      <c r="J75" s="119"/>
      <c r="K75" s="119"/>
      <c r="L75" s="119"/>
      <c r="M75" s="119"/>
      <c r="N75" s="119">
        <f t="shared" si="2"/>
        <v>6.0048019799999999</v>
      </c>
      <c r="O75" s="119">
        <f t="shared" si="4"/>
        <v>0.55504397669087746</v>
      </c>
      <c r="P75" s="119"/>
      <c r="Q75" s="119"/>
    </row>
    <row r="76" spans="1:17">
      <c r="A76" s="119"/>
      <c r="B76" s="119" t="s">
        <v>579</v>
      </c>
      <c r="C76" s="95">
        <v>0</v>
      </c>
      <c r="D76" s="119">
        <f>'CEN HUD'!F8</f>
        <v>9.129999999999999</v>
      </c>
      <c r="G76" s="119"/>
      <c r="H76" s="119"/>
      <c r="I76" s="119"/>
      <c r="J76" s="119"/>
      <c r="K76" s="119"/>
      <c r="L76" s="119"/>
      <c r="M76" s="119"/>
      <c r="N76" s="119">
        <f t="shared" si="2"/>
        <v>5.8509970199999994</v>
      </c>
      <c r="O76" s="119">
        <f t="shared" si="4"/>
        <v>0.54082726864329889</v>
      </c>
      <c r="P76" s="119"/>
      <c r="Q76" s="119"/>
    </row>
    <row r="77" spans="1:17">
      <c r="A77" s="119"/>
      <c r="B77" s="119" t="s">
        <v>580</v>
      </c>
      <c r="C77" s="95">
        <v>0</v>
      </c>
      <c r="D77" s="119">
        <f>'CEN HUD'!F9</f>
        <v>7.8699999999999992</v>
      </c>
      <c r="G77" s="119"/>
      <c r="H77" s="119"/>
      <c r="I77" s="119"/>
      <c r="J77" s="119"/>
      <c r="K77" s="119"/>
      <c r="L77" s="119"/>
      <c r="M77" s="119"/>
      <c r="N77" s="119">
        <f t="shared" si="2"/>
        <v>5.0435209799999994</v>
      </c>
      <c r="O77" s="119">
        <f t="shared" si="4"/>
        <v>0.46618955139351176</v>
      </c>
      <c r="P77" s="119"/>
      <c r="Q77" s="119"/>
    </row>
    <row r="78" spans="1:17">
      <c r="A78" s="119"/>
      <c r="B78" s="119" t="s">
        <v>581</v>
      </c>
      <c r="C78" s="95">
        <v>0</v>
      </c>
      <c r="D78" s="119">
        <f>'CEN HUD'!F10</f>
        <v>9.17</v>
      </c>
      <c r="G78" s="119"/>
      <c r="H78" s="119"/>
      <c r="I78" s="119"/>
      <c r="J78" s="119"/>
      <c r="K78" s="119"/>
      <c r="L78" s="119"/>
      <c r="M78" s="119"/>
      <c r="N78" s="119">
        <f t="shared" si="2"/>
        <v>5.8766311800000004</v>
      </c>
      <c r="O78" s="119">
        <f t="shared" si="4"/>
        <v>0.54319671998456209</v>
      </c>
      <c r="P78" s="119"/>
      <c r="Q78" s="119"/>
    </row>
    <row r="79" spans="1:17">
      <c r="A79" s="119"/>
      <c r="B79" s="119" t="s">
        <v>582</v>
      </c>
      <c r="C79" s="95">
        <v>0</v>
      </c>
      <c r="D79" s="119">
        <f>'CEN HUD'!F11</f>
        <v>9.129999999999999</v>
      </c>
      <c r="G79" s="119"/>
      <c r="H79" s="119"/>
      <c r="I79" s="119"/>
      <c r="J79" s="119"/>
      <c r="K79" s="119"/>
      <c r="L79" s="119"/>
      <c r="M79" s="119"/>
      <c r="N79" s="119">
        <f t="shared" si="2"/>
        <v>5.8509970199999994</v>
      </c>
      <c r="O79" s="119">
        <f t="shared" si="4"/>
        <v>0.54082726864329889</v>
      </c>
      <c r="P79" s="119"/>
      <c r="Q79" s="119"/>
    </row>
    <row r="80" spans="1:17">
      <c r="A80" s="119"/>
      <c r="B80" s="119" t="s">
        <v>583</v>
      </c>
      <c r="C80" s="95">
        <v>0</v>
      </c>
      <c r="D80" s="119">
        <f>'CEN HUD'!F12</f>
        <v>9.1999999999999993</v>
      </c>
      <c r="G80" s="119"/>
      <c r="H80" s="119"/>
      <c r="I80" s="119"/>
      <c r="J80" s="119"/>
      <c r="K80" s="119"/>
      <c r="L80" s="119"/>
      <c r="M80" s="119"/>
      <c r="N80" s="119">
        <f t="shared" si="2"/>
        <v>5.8958567999999998</v>
      </c>
      <c r="O80" s="119">
        <f t="shared" si="4"/>
        <v>0.54497380849050936</v>
      </c>
      <c r="P80" s="119"/>
      <c r="Q80" s="119"/>
    </row>
    <row r="81" spans="1:15">
      <c r="A81" s="119"/>
      <c r="B81" s="119" t="s">
        <v>450</v>
      </c>
      <c r="C81" s="95">
        <v>0</v>
      </c>
      <c r="D81" s="119">
        <f>'CEN HUD'!F13</f>
        <v>9.1499999999999986</v>
      </c>
      <c r="G81" s="119"/>
      <c r="H81" s="119"/>
      <c r="I81" s="119"/>
      <c r="J81" s="119"/>
      <c r="K81" s="119"/>
      <c r="L81" s="119"/>
      <c r="M81" s="119"/>
      <c r="N81" s="119">
        <f t="shared" si="2"/>
        <v>5.863814099999999</v>
      </c>
      <c r="O81" s="119">
        <f t="shared" si="4"/>
        <v>0.54201199431393043</v>
      </c>
    </row>
    <row r="82" spans="1:15">
      <c r="A82" s="119"/>
      <c r="B82" s="119" t="s">
        <v>584</v>
      </c>
      <c r="C82" s="95">
        <v>0</v>
      </c>
      <c r="D82" s="119">
        <f>'CEN HUD'!F14</f>
        <v>9.129999999999999</v>
      </c>
      <c r="G82" s="119"/>
      <c r="H82" s="119"/>
      <c r="I82" s="119"/>
      <c r="J82" s="119"/>
      <c r="K82" s="119"/>
      <c r="L82" s="119"/>
      <c r="M82" s="119"/>
      <c r="N82" s="119">
        <f t="shared" si="2"/>
        <v>5.8509970199999994</v>
      </c>
      <c r="O82" s="119">
        <f t="shared" si="4"/>
        <v>0.54082726864329889</v>
      </c>
    </row>
    <row r="83" spans="1:15">
      <c r="A83" s="119"/>
      <c r="B83" s="119" t="s">
        <v>585</v>
      </c>
      <c r="C83" s="95">
        <v>0</v>
      </c>
      <c r="D83" s="119">
        <f>'CEN HUD'!F15</f>
        <v>9.1999999999999993</v>
      </c>
      <c r="G83" s="119"/>
      <c r="H83" s="119"/>
      <c r="I83" s="119"/>
      <c r="J83" s="119"/>
      <c r="K83" s="119"/>
      <c r="L83" s="119"/>
      <c r="M83" s="119"/>
      <c r="N83" s="119">
        <f t="shared" si="2"/>
        <v>5.8958567999999998</v>
      </c>
      <c r="O83" s="119">
        <f t="shared" si="4"/>
        <v>0.54497380849050936</v>
      </c>
    </row>
    <row r="84" spans="1:15">
      <c r="A84" s="119"/>
      <c r="B84" s="119" t="s">
        <v>133</v>
      </c>
      <c r="C84" s="95">
        <v>0</v>
      </c>
      <c r="D84" s="119">
        <f>'CEN HUD'!F16</f>
        <v>9.32</v>
      </c>
      <c r="G84" s="119"/>
      <c r="H84" s="119"/>
      <c r="I84" s="119"/>
      <c r="J84" s="119"/>
      <c r="K84" s="119"/>
      <c r="L84" s="119"/>
      <c r="M84" s="119"/>
      <c r="N84" s="119">
        <f t="shared" si="2"/>
        <v>5.9727592800000009</v>
      </c>
      <c r="O84" s="119">
        <f t="shared" si="4"/>
        <v>0.55208216251429865</v>
      </c>
    </row>
    <row r="85" spans="1:15">
      <c r="A85" s="119"/>
      <c r="B85" s="119" t="s">
        <v>135</v>
      </c>
      <c r="C85" s="95">
        <v>0</v>
      </c>
      <c r="D85" s="119">
        <f>'CEN HUD'!F17</f>
        <v>9.33</v>
      </c>
      <c r="G85" s="119"/>
      <c r="H85" s="119"/>
      <c r="I85" s="119"/>
      <c r="J85" s="119"/>
      <c r="K85" s="119"/>
      <c r="L85" s="119"/>
      <c r="M85" s="119"/>
      <c r="N85" s="119">
        <f t="shared" si="2"/>
        <v>5.9791678200000007</v>
      </c>
      <c r="O85" s="119">
        <f t="shared" si="4"/>
        <v>0.55267452534961448</v>
      </c>
    </row>
    <row r="86" spans="1:15">
      <c r="A86" s="119"/>
      <c r="B86" s="119" t="s">
        <v>586</v>
      </c>
      <c r="C86" s="95">
        <v>0</v>
      </c>
      <c r="D86" s="119">
        <f>'CEN HUD'!F18</f>
        <v>9.129999999999999</v>
      </c>
      <c r="G86" s="119"/>
      <c r="H86" s="119"/>
      <c r="I86" s="119"/>
      <c r="J86" s="119"/>
      <c r="K86" s="119"/>
      <c r="L86" s="119"/>
      <c r="M86" s="119"/>
      <c r="N86" s="119">
        <f t="shared" si="2"/>
        <v>5.8509970199999994</v>
      </c>
      <c r="O86" s="119">
        <f t="shared" si="4"/>
        <v>0.54082726864329889</v>
      </c>
    </row>
    <row r="87" spans="1:15">
      <c r="A87" s="119"/>
      <c r="B87" s="119" t="s">
        <v>587</v>
      </c>
      <c r="C87" s="95">
        <v>0</v>
      </c>
      <c r="D87" s="119">
        <f>'CEN HUD'!F19</f>
        <v>9.129999999999999</v>
      </c>
      <c r="G87" s="119"/>
      <c r="H87" s="119"/>
      <c r="I87" s="119"/>
      <c r="J87" s="119"/>
      <c r="K87" s="119"/>
      <c r="L87" s="119"/>
      <c r="M87" s="119"/>
      <c r="N87" s="119">
        <f t="shared" si="2"/>
        <v>5.8509970199999994</v>
      </c>
      <c r="O87" s="119">
        <f t="shared" si="4"/>
        <v>0.54082726864329889</v>
      </c>
    </row>
    <row r="88" spans="1:15">
      <c r="A88" s="119"/>
      <c r="B88" s="119" t="s">
        <v>588</v>
      </c>
      <c r="C88" s="95">
        <v>0</v>
      </c>
      <c r="D88" s="119">
        <f>'CEN HUD'!F20</f>
        <v>9.129999999999999</v>
      </c>
      <c r="G88" s="119"/>
      <c r="H88" s="119"/>
      <c r="I88" s="119"/>
      <c r="J88" s="119"/>
      <c r="K88" s="119"/>
      <c r="L88" s="119"/>
      <c r="M88" s="119"/>
      <c r="N88" s="119">
        <f t="shared" si="2"/>
        <v>5.8509970199999994</v>
      </c>
      <c r="O88" s="119">
        <f t="shared" si="4"/>
        <v>0.54082726864329889</v>
      </c>
    </row>
    <row r="89" spans="1:15">
      <c r="A89" s="119"/>
      <c r="B89" s="119" t="s">
        <v>139</v>
      </c>
      <c r="C89" s="95">
        <v>0</v>
      </c>
      <c r="D89" s="119">
        <f>'CEN HUD'!F21</f>
        <v>9.129999999999999</v>
      </c>
      <c r="G89" s="119"/>
      <c r="H89" s="119"/>
      <c r="I89" s="119"/>
      <c r="J89" s="119"/>
      <c r="K89" s="119"/>
      <c r="L89" s="119"/>
      <c r="M89" s="119"/>
      <c r="N89" s="119">
        <f t="shared" si="2"/>
        <v>5.8509970199999994</v>
      </c>
      <c r="O89" s="119">
        <f t="shared" si="4"/>
        <v>0.54082726864329889</v>
      </c>
    </row>
    <row r="90" spans="1:15">
      <c r="A90" s="119"/>
      <c r="B90" s="119" t="s">
        <v>141</v>
      </c>
      <c r="C90" s="95">
        <v>0</v>
      </c>
      <c r="D90" s="119">
        <f>'CEN HUD'!F22</f>
        <v>6.49</v>
      </c>
      <c r="G90" s="119"/>
      <c r="H90" s="119"/>
      <c r="I90" s="119"/>
      <c r="J90" s="119"/>
      <c r="K90" s="119"/>
      <c r="L90" s="119"/>
      <c r="M90" s="119"/>
      <c r="N90" s="119">
        <f t="shared" si="2"/>
        <v>4.15914246</v>
      </c>
      <c r="O90" s="119">
        <f t="shared" si="4"/>
        <v>0.3844434801199354</v>
      </c>
    </row>
    <row r="91" spans="1:15">
      <c r="A91" s="119">
        <v>6.8</v>
      </c>
      <c r="B91" s="119" t="s">
        <v>143</v>
      </c>
      <c r="C91" s="95">
        <v>6.8</v>
      </c>
      <c r="D91" s="119">
        <f>'CEN HUD'!F23</f>
        <v>145.99</v>
      </c>
      <c r="G91" s="119"/>
      <c r="H91" s="119"/>
      <c r="I91" s="119"/>
      <c r="J91" s="119"/>
      <c r="K91" s="119"/>
      <c r="L91" s="119"/>
      <c r="M91" s="119"/>
      <c r="N91" s="119">
        <f t="shared" si="2"/>
        <v>93.558275460000004</v>
      </c>
      <c r="O91" s="119">
        <f t="shared" si="4"/>
        <v>8.6479050327749416</v>
      </c>
    </row>
    <row r="92" spans="1:15">
      <c r="A92" s="119"/>
      <c r="B92" s="119" t="s">
        <v>145</v>
      </c>
      <c r="C92" s="95">
        <v>0</v>
      </c>
      <c r="D92" s="119">
        <f>'CEN HUD'!F24</f>
        <v>9.24</v>
      </c>
      <c r="G92" s="119"/>
      <c r="H92" s="119"/>
      <c r="I92" s="119"/>
      <c r="J92" s="119"/>
      <c r="K92" s="119"/>
      <c r="L92" s="119"/>
      <c r="M92" s="119"/>
      <c r="N92" s="119">
        <f t="shared" si="2"/>
        <v>5.9214909600000007</v>
      </c>
      <c r="O92" s="119">
        <f t="shared" si="4"/>
        <v>0.54734325983177257</v>
      </c>
    </row>
    <row r="93" spans="1:15">
      <c r="A93" s="119"/>
      <c r="B93" s="119" t="s">
        <v>147</v>
      </c>
      <c r="C93" s="95">
        <v>0</v>
      </c>
      <c r="D93" s="119">
        <f>'CEN HUD'!F25</f>
        <v>9.129999999999999</v>
      </c>
      <c r="G93" s="119"/>
      <c r="H93" s="119"/>
      <c r="I93" s="119"/>
      <c r="J93" s="119"/>
      <c r="K93" s="119"/>
      <c r="L93" s="119"/>
      <c r="M93" s="119"/>
      <c r="N93" s="119">
        <f t="shared" si="2"/>
        <v>5.8509970199999994</v>
      </c>
      <c r="O93" s="119">
        <f t="shared" si="4"/>
        <v>0.54082726864329889</v>
      </c>
    </row>
    <row r="94" spans="1:15">
      <c r="A94" s="119"/>
      <c r="B94" s="119" t="s">
        <v>589</v>
      </c>
      <c r="C94" s="95">
        <v>0</v>
      </c>
      <c r="D94" s="119">
        <f>'CEN HUD'!F26</f>
        <v>9.129999999999999</v>
      </c>
      <c r="G94" s="119"/>
      <c r="H94" s="119"/>
      <c r="I94" s="119"/>
      <c r="J94" s="119"/>
      <c r="K94" s="119"/>
      <c r="L94" s="119"/>
      <c r="M94" s="119"/>
      <c r="N94" s="119">
        <f t="shared" si="2"/>
        <v>5.8509970199999994</v>
      </c>
      <c r="O94" s="119">
        <f t="shared" si="4"/>
        <v>0.54082726864329889</v>
      </c>
    </row>
    <row r="95" spans="1:15">
      <c r="A95" s="119"/>
      <c r="B95" s="119" t="s">
        <v>590</v>
      </c>
      <c r="C95" s="95">
        <v>0</v>
      </c>
      <c r="D95" s="119">
        <f>'CEN HUD'!F27</f>
        <v>9.2099999999999991</v>
      </c>
      <c r="G95" s="119"/>
      <c r="H95" s="119"/>
      <c r="I95" s="119"/>
      <c r="J95" s="119"/>
      <c r="K95" s="119"/>
      <c r="L95" s="119"/>
      <c r="M95" s="119"/>
      <c r="N95" s="119">
        <f t="shared" si="2"/>
        <v>5.9022653399999996</v>
      </c>
      <c r="O95" s="119">
        <f t="shared" si="4"/>
        <v>0.54556617132582508</v>
      </c>
    </row>
    <row r="96" spans="1:15">
      <c r="A96" s="119"/>
      <c r="B96" s="119" t="s">
        <v>591</v>
      </c>
      <c r="C96" s="95">
        <v>0</v>
      </c>
      <c r="D96" s="119">
        <f>'CEN HUD'!F28</f>
        <v>9.129999999999999</v>
      </c>
      <c r="G96" s="119"/>
      <c r="H96" s="119"/>
      <c r="I96" s="119"/>
      <c r="J96" s="119"/>
      <c r="K96" s="119"/>
      <c r="L96" s="119"/>
      <c r="M96" s="119"/>
      <c r="N96" s="119">
        <f t="shared" si="2"/>
        <v>5.8509970199999994</v>
      </c>
      <c r="O96" s="119">
        <f t="shared" si="4"/>
        <v>0.54082726864329889</v>
      </c>
    </row>
    <row r="97" spans="1:15">
      <c r="A97" s="119">
        <v>7.25</v>
      </c>
      <c r="B97" s="119" t="s">
        <v>155</v>
      </c>
      <c r="C97" s="95">
        <v>7.25</v>
      </c>
      <c r="D97" s="119">
        <f>'CEN HUD'!F29</f>
        <v>87.550000000000011</v>
      </c>
      <c r="G97" s="119"/>
      <c r="H97" s="119"/>
      <c r="I97" s="119"/>
      <c r="J97" s="119"/>
      <c r="K97" s="119"/>
      <c r="L97" s="119"/>
      <c r="M97" s="119"/>
      <c r="N97" s="119">
        <f t="shared" si="2"/>
        <v>56.106767700000013</v>
      </c>
      <c r="O97" s="119">
        <f t="shared" si="4"/>
        <v>5.1861366231895767</v>
      </c>
    </row>
    <row r="98" spans="1:15">
      <c r="A98" s="119"/>
      <c r="B98" s="119" t="s">
        <v>592</v>
      </c>
      <c r="C98" s="95">
        <v>0</v>
      </c>
      <c r="D98" s="119">
        <f>'CEN HUD'!F30</f>
        <v>9.129999999999999</v>
      </c>
      <c r="G98" s="119"/>
      <c r="H98" s="119"/>
      <c r="I98" s="119"/>
      <c r="J98" s="119"/>
      <c r="K98" s="119"/>
      <c r="L98" s="119"/>
      <c r="M98" s="119"/>
      <c r="N98" s="119">
        <f t="shared" si="2"/>
        <v>5.8509970199999994</v>
      </c>
      <c r="O98" s="119">
        <f t="shared" si="4"/>
        <v>0.54082726864329889</v>
      </c>
    </row>
    <row r="99" spans="1:15">
      <c r="A99" s="119"/>
      <c r="B99" s="119" t="s">
        <v>593</v>
      </c>
      <c r="C99" s="95">
        <v>0</v>
      </c>
      <c r="D99" s="119">
        <f>'CEN HUD'!F31</f>
        <v>9.129999999999999</v>
      </c>
      <c r="G99" s="119"/>
      <c r="H99" s="119"/>
      <c r="I99" s="119"/>
      <c r="J99" s="119"/>
      <c r="K99" s="119"/>
      <c r="L99" s="119"/>
      <c r="M99" s="119"/>
      <c r="N99" s="119">
        <f t="shared" si="2"/>
        <v>5.8509970199999994</v>
      </c>
      <c r="O99" s="119">
        <f t="shared" si="4"/>
        <v>0.54082726864329889</v>
      </c>
    </row>
    <row r="100" spans="1:15">
      <c r="A100" s="119"/>
      <c r="B100" s="119" t="s">
        <v>594</v>
      </c>
      <c r="C100" s="95">
        <v>0</v>
      </c>
      <c r="D100" s="119">
        <f>'CEN HUD'!F32</f>
        <v>9.14</v>
      </c>
      <c r="G100" s="119"/>
      <c r="H100" s="119"/>
      <c r="I100" s="119"/>
      <c r="J100" s="119"/>
      <c r="K100" s="119"/>
      <c r="L100" s="119"/>
      <c r="M100" s="119"/>
      <c r="N100" s="119">
        <f t="shared" si="2"/>
        <v>5.857405560000001</v>
      </c>
      <c r="O100" s="119">
        <f t="shared" si="4"/>
        <v>0.54141963147861483</v>
      </c>
    </row>
    <row r="101" spans="1:15">
      <c r="A101" s="119"/>
      <c r="B101" s="119" t="s">
        <v>595</v>
      </c>
      <c r="C101" s="95">
        <v>0</v>
      </c>
      <c r="D101" s="119">
        <f>'CEN HUD'!F33</f>
        <v>9.64</v>
      </c>
      <c r="G101" s="119"/>
      <c r="H101" s="119"/>
      <c r="I101" s="119"/>
      <c r="J101" s="119"/>
      <c r="K101" s="119"/>
      <c r="L101" s="119"/>
      <c r="M101" s="119"/>
      <c r="N101" s="119">
        <f t="shared" si="2"/>
        <v>6.1778325600000006</v>
      </c>
      <c r="O101" s="119">
        <f t="shared" si="4"/>
        <v>0.5710377732444033</v>
      </c>
    </row>
    <row r="102" spans="1:15">
      <c r="A102" s="119"/>
      <c r="B102" s="119" t="s">
        <v>596</v>
      </c>
      <c r="C102" s="95">
        <v>0</v>
      </c>
      <c r="D102" s="119">
        <f>'CEN HUD'!F34</f>
        <v>9.1499999999999986</v>
      </c>
      <c r="G102" s="119"/>
      <c r="H102" s="119"/>
      <c r="I102" s="119"/>
      <c r="J102" s="119"/>
      <c r="K102" s="119"/>
      <c r="L102" s="119"/>
      <c r="M102" s="119"/>
      <c r="N102" s="119">
        <f t="shared" si="2"/>
        <v>5.863814099999999</v>
      </c>
      <c r="O102" s="119">
        <f t="shared" si="4"/>
        <v>0.54201199431393043</v>
      </c>
    </row>
    <row r="103" spans="1:15">
      <c r="A103" s="119"/>
      <c r="B103" s="119" t="s">
        <v>167</v>
      </c>
      <c r="C103" s="95">
        <v>0</v>
      </c>
      <c r="D103" s="119">
        <f>'CEN HUD'!F35</f>
        <v>6.62</v>
      </c>
      <c r="G103" s="119"/>
      <c r="H103" s="119"/>
      <c r="I103" s="119"/>
      <c r="J103" s="119"/>
      <c r="K103" s="119"/>
      <c r="L103" s="119"/>
      <c r="M103" s="119"/>
      <c r="N103" s="119">
        <f t="shared" si="2"/>
        <v>4.24245348</v>
      </c>
      <c r="O103" s="119">
        <f t="shared" si="4"/>
        <v>0.3921441969790404</v>
      </c>
    </row>
    <row r="104" spans="1:15">
      <c r="A104" s="119"/>
      <c r="B104" s="119" t="s">
        <v>168</v>
      </c>
      <c r="C104" s="95">
        <v>0</v>
      </c>
      <c r="D104" s="119">
        <f>'CEN HUD'!F36</f>
        <v>6.6</v>
      </c>
      <c r="G104" s="119"/>
      <c r="H104" s="119"/>
      <c r="I104" s="119"/>
      <c r="J104" s="119"/>
      <c r="K104" s="119"/>
      <c r="L104" s="119"/>
      <c r="M104" s="119"/>
      <c r="N104" s="119">
        <f t="shared" si="2"/>
        <v>4.2296364000000004</v>
      </c>
      <c r="O104" s="119">
        <f t="shared" si="4"/>
        <v>0.39095947130840891</v>
      </c>
    </row>
    <row r="105" spans="1:15">
      <c r="A105" s="119"/>
      <c r="B105" s="119" t="s">
        <v>170</v>
      </c>
      <c r="C105" s="95">
        <v>0</v>
      </c>
      <c r="D105" s="119">
        <f>'CEN HUD'!F37</f>
        <v>9.6499999999999986</v>
      </c>
      <c r="G105" s="119"/>
      <c r="H105" s="119"/>
      <c r="I105" s="119"/>
      <c r="J105" s="119"/>
      <c r="K105" s="119"/>
      <c r="L105" s="119"/>
      <c r="M105" s="119"/>
      <c r="N105" s="119">
        <f t="shared" si="2"/>
        <v>6.1842410999999995</v>
      </c>
      <c r="O105" s="119">
        <f t="shared" si="4"/>
        <v>0.57163013607971902</v>
      </c>
    </row>
    <row r="106" spans="1:15">
      <c r="A106" s="119"/>
      <c r="B106" s="119" t="s">
        <v>171</v>
      </c>
      <c r="C106" s="95">
        <v>0</v>
      </c>
      <c r="D106" s="119">
        <f>'CEN HUD'!F38</f>
        <v>9.3000000000000007</v>
      </c>
      <c r="G106" s="119"/>
      <c r="H106" s="119"/>
      <c r="I106" s="119"/>
      <c r="J106" s="119"/>
      <c r="K106" s="119"/>
      <c r="L106" s="119"/>
      <c r="M106" s="119"/>
      <c r="N106" s="119">
        <f t="shared" si="2"/>
        <v>5.9599422000000004</v>
      </c>
      <c r="O106" s="119">
        <f t="shared" si="4"/>
        <v>0.5508974368436671</v>
      </c>
    </row>
    <row r="107" spans="1:15">
      <c r="A107" s="119"/>
      <c r="B107" s="119" t="s">
        <v>172</v>
      </c>
      <c r="C107" s="95">
        <v>0</v>
      </c>
      <c r="D107" s="119">
        <f>'CEN HUD'!F39</f>
        <v>9.129999999999999</v>
      </c>
      <c r="G107" s="119"/>
      <c r="H107" s="119"/>
      <c r="I107" s="119"/>
      <c r="J107" s="119"/>
      <c r="K107" s="119"/>
      <c r="L107" s="119"/>
      <c r="M107" s="119"/>
      <c r="N107" s="119">
        <f t="shared" si="2"/>
        <v>5.8509970199999994</v>
      </c>
      <c r="O107" s="119">
        <f t="shared" si="4"/>
        <v>0.54082726864329889</v>
      </c>
    </row>
    <row r="108" spans="1:15">
      <c r="A108" s="119"/>
      <c r="B108" s="119" t="s">
        <v>173</v>
      </c>
      <c r="C108" s="95">
        <v>0</v>
      </c>
      <c r="D108" s="119">
        <f>'CEN HUD'!F40</f>
        <v>9.35</v>
      </c>
      <c r="G108" s="119"/>
      <c r="H108" s="119"/>
      <c r="I108" s="119"/>
      <c r="J108" s="119"/>
      <c r="K108" s="119"/>
      <c r="L108" s="119"/>
      <c r="M108" s="119"/>
      <c r="N108" s="119">
        <f t="shared" si="2"/>
        <v>5.9919849000000003</v>
      </c>
      <c r="O108" s="119">
        <f t="shared" si="4"/>
        <v>0.55385925102024591</v>
      </c>
    </row>
    <row r="109" spans="1:15">
      <c r="A109" s="119"/>
      <c r="B109" s="119" t="s">
        <v>174</v>
      </c>
      <c r="C109" s="95">
        <v>0</v>
      </c>
      <c r="D109" s="119">
        <f>'CEN HUD'!F41</f>
        <v>14.76</v>
      </c>
      <c r="G109" s="119"/>
      <c r="H109" s="119"/>
      <c r="I109" s="119"/>
      <c r="J109" s="119"/>
      <c r="K109" s="119"/>
      <c r="L109" s="119"/>
      <c r="M109" s="119"/>
      <c r="N109" s="119">
        <f t="shared" si="2"/>
        <v>9.459005040000001</v>
      </c>
      <c r="O109" s="119">
        <f t="shared" si="4"/>
        <v>0.87432754492607812</v>
      </c>
    </row>
    <row r="110" spans="1:15">
      <c r="A110" s="119"/>
      <c r="B110" s="119" t="s">
        <v>176</v>
      </c>
      <c r="C110" s="95">
        <v>0</v>
      </c>
      <c r="D110" s="119">
        <f>'CEN HUD'!F42</f>
        <v>9.18</v>
      </c>
      <c r="G110" s="119"/>
      <c r="H110" s="119"/>
      <c r="I110" s="119"/>
      <c r="J110" s="119"/>
      <c r="K110" s="119"/>
      <c r="L110" s="119"/>
      <c r="M110" s="119"/>
      <c r="N110" s="119">
        <f t="shared" si="2"/>
        <v>5.8830397200000002</v>
      </c>
      <c r="O110" s="119">
        <f t="shared" si="4"/>
        <v>0.54378908281987781</v>
      </c>
    </row>
    <row r="111" spans="1:15">
      <c r="A111" s="119"/>
      <c r="B111" s="119" t="s">
        <v>177</v>
      </c>
      <c r="C111" s="95">
        <v>0</v>
      </c>
      <c r="D111" s="119">
        <f>'CEN HUD'!F43</f>
        <v>9.16</v>
      </c>
      <c r="G111" s="119"/>
      <c r="H111" s="119"/>
      <c r="I111" s="119"/>
      <c r="J111" s="119"/>
      <c r="K111" s="119"/>
      <c r="L111" s="119"/>
      <c r="M111" s="119"/>
      <c r="N111" s="119">
        <f t="shared" si="2"/>
        <v>5.8702226400000006</v>
      </c>
      <c r="O111" s="119">
        <f t="shared" si="4"/>
        <v>0.54260435714924637</v>
      </c>
    </row>
    <row r="112" spans="1:15">
      <c r="A112" s="119"/>
      <c r="B112" s="119" t="s">
        <v>178</v>
      </c>
      <c r="C112" s="95">
        <v>0</v>
      </c>
      <c r="D112" s="119">
        <f>'CEN HUD'!F44</f>
        <v>9.129999999999999</v>
      </c>
      <c r="G112" s="119"/>
      <c r="H112" s="119"/>
      <c r="I112" s="119"/>
      <c r="J112" s="119"/>
      <c r="K112" s="119"/>
      <c r="L112" s="119"/>
      <c r="M112" s="119"/>
      <c r="N112" s="119">
        <f t="shared" si="2"/>
        <v>5.8509970199999994</v>
      </c>
      <c r="O112" s="119">
        <f t="shared" si="4"/>
        <v>0.54082726864329889</v>
      </c>
    </row>
    <row r="113" spans="1:15">
      <c r="A113" s="119"/>
      <c r="B113" s="119" t="s">
        <v>179</v>
      </c>
      <c r="C113" s="95">
        <v>0</v>
      </c>
      <c r="D113" s="119">
        <f>'CEN HUD'!F45</f>
        <v>9.129999999999999</v>
      </c>
      <c r="G113" s="119"/>
      <c r="H113" s="119"/>
      <c r="I113" s="119"/>
      <c r="J113" s="119"/>
      <c r="K113" s="119"/>
      <c r="L113" s="119"/>
      <c r="M113" s="119"/>
      <c r="N113" s="119">
        <f t="shared" si="2"/>
        <v>5.8509970199999994</v>
      </c>
      <c r="O113" s="119">
        <f t="shared" si="4"/>
        <v>0.54082726864329889</v>
      </c>
    </row>
    <row r="114" spans="1:15">
      <c r="A114" s="119"/>
      <c r="B114" s="119" t="s">
        <v>180</v>
      </c>
      <c r="C114" s="95">
        <v>0</v>
      </c>
      <c r="D114" s="119">
        <f>'CEN HUD'!F46</f>
        <v>9.16</v>
      </c>
      <c r="G114" s="119"/>
      <c r="H114" s="119"/>
      <c r="I114" s="119"/>
      <c r="J114" s="119"/>
      <c r="K114" s="119"/>
      <c r="L114" s="119"/>
      <c r="M114" s="119"/>
      <c r="N114" s="119">
        <f t="shared" si="2"/>
        <v>5.8702226400000006</v>
      </c>
      <c r="O114" s="119">
        <f t="shared" si="4"/>
        <v>0.54260435714924637</v>
      </c>
    </row>
    <row r="115" spans="1:15">
      <c r="A115" s="119">
        <v>10.4</v>
      </c>
      <c r="B115" s="119" t="s">
        <v>181</v>
      </c>
      <c r="C115" s="95">
        <v>10.4</v>
      </c>
      <c r="D115" s="119">
        <f>'CEN HUD'!F47</f>
        <v>63.6</v>
      </c>
      <c r="G115" s="119"/>
      <c r="H115" s="119"/>
      <c r="I115" s="119"/>
      <c r="J115" s="119"/>
      <c r="K115" s="119"/>
      <c r="L115" s="119"/>
      <c r="M115" s="119"/>
      <c r="N115" s="119">
        <f t="shared" si="2"/>
        <v>40.758314400000003</v>
      </c>
      <c r="O115" s="119">
        <f t="shared" si="4"/>
        <v>3.767427632608304</v>
      </c>
    </row>
    <row r="116" spans="1:15">
      <c r="A116" s="119"/>
      <c r="B116" s="119" t="s">
        <v>182</v>
      </c>
      <c r="C116" s="95">
        <v>0</v>
      </c>
      <c r="D116" s="119">
        <f>'CEN HUD'!F48</f>
        <v>9.2099999999999991</v>
      </c>
      <c r="G116" s="119"/>
      <c r="H116" s="119"/>
      <c r="I116" s="119"/>
      <c r="J116" s="119"/>
      <c r="K116" s="119"/>
      <c r="L116" s="119"/>
      <c r="M116" s="119"/>
      <c r="N116" s="119">
        <f t="shared" si="2"/>
        <v>5.9022653399999996</v>
      </c>
      <c r="O116" s="119">
        <f t="shared" si="4"/>
        <v>0.54556617132582508</v>
      </c>
    </row>
    <row r="117" spans="1:15">
      <c r="A117" s="119"/>
      <c r="B117" s="119" t="s">
        <v>183</v>
      </c>
      <c r="C117" s="95">
        <v>0</v>
      </c>
      <c r="D117" s="119">
        <f>'CEN HUD'!F49</f>
        <v>9.1999999999999993</v>
      </c>
      <c r="G117" s="119"/>
      <c r="H117" s="119"/>
      <c r="I117" s="119"/>
      <c r="J117" s="119"/>
      <c r="K117" s="119"/>
      <c r="L117" s="119"/>
      <c r="M117" s="119"/>
      <c r="N117" s="119">
        <f t="shared" si="2"/>
        <v>5.8958567999999998</v>
      </c>
      <c r="O117" s="119">
        <f t="shared" si="4"/>
        <v>0.54497380849050936</v>
      </c>
    </row>
    <row r="118" spans="1:15">
      <c r="A118" s="119"/>
      <c r="B118" s="119" t="s">
        <v>184</v>
      </c>
      <c r="C118" s="95">
        <v>0</v>
      </c>
      <c r="D118" s="119">
        <f>'CEN HUD'!F50</f>
        <v>9.14</v>
      </c>
      <c r="G118" s="119"/>
      <c r="H118" s="119"/>
      <c r="I118" s="119"/>
      <c r="J118" s="119"/>
      <c r="K118" s="119"/>
      <c r="L118" s="119"/>
      <c r="M118" s="119"/>
      <c r="N118" s="119">
        <f t="shared" si="2"/>
        <v>5.857405560000001</v>
      </c>
      <c r="O118" s="119">
        <f t="shared" si="4"/>
        <v>0.54141963147861483</v>
      </c>
    </row>
    <row r="119" spans="1:15">
      <c r="A119" s="119"/>
      <c r="B119" s="119" t="s">
        <v>185</v>
      </c>
      <c r="C119" s="95">
        <v>0</v>
      </c>
      <c r="D119" s="119">
        <f>'CEN HUD'!F51</f>
        <v>9.51</v>
      </c>
      <c r="G119" s="119"/>
      <c r="H119" s="119"/>
      <c r="I119" s="119"/>
      <c r="J119" s="119"/>
      <c r="K119" s="119"/>
      <c r="L119" s="119"/>
      <c r="M119" s="119"/>
      <c r="N119" s="119">
        <f t="shared" si="2"/>
        <v>6.0945215400000006</v>
      </c>
      <c r="O119" s="119">
        <f t="shared" si="4"/>
        <v>0.5633370563852983</v>
      </c>
    </row>
    <row r="120" spans="1:15">
      <c r="A120" s="119"/>
      <c r="B120" s="119" t="s">
        <v>186</v>
      </c>
      <c r="C120" s="95">
        <v>0</v>
      </c>
      <c r="D120" s="119">
        <f>'CEN HUD'!F52</f>
        <v>9.14</v>
      </c>
      <c r="G120" s="119"/>
      <c r="H120" s="119"/>
      <c r="I120" s="119"/>
      <c r="J120" s="119"/>
      <c r="K120" s="119"/>
      <c r="L120" s="119"/>
      <c r="M120" s="119"/>
      <c r="N120" s="119">
        <f t="shared" si="2"/>
        <v>5.857405560000001</v>
      </c>
      <c r="O120" s="119">
        <f t="shared" si="4"/>
        <v>0.54141963147861483</v>
      </c>
    </row>
    <row r="121" spans="1:15">
      <c r="A121" s="119"/>
      <c r="B121" s="119" t="s">
        <v>187</v>
      </c>
      <c r="C121" s="95">
        <v>0</v>
      </c>
      <c r="D121" s="119">
        <f>'CEN HUD'!F53</f>
        <v>9.3999999999999986</v>
      </c>
      <c r="G121" s="119"/>
      <c r="H121" s="119"/>
      <c r="I121" s="119"/>
      <c r="J121" s="119"/>
      <c r="K121" s="119"/>
      <c r="L121" s="119"/>
      <c r="M121" s="119"/>
      <c r="N121" s="119">
        <f t="shared" si="2"/>
        <v>6.0240275999999993</v>
      </c>
      <c r="O121" s="119">
        <f t="shared" si="4"/>
        <v>0.55682106519682473</v>
      </c>
    </row>
    <row r="122" spans="1:15">
      <c r="A122" s="119"/>
      <c r="B122" s="119" t="s">
        <v>188</v>
      </c>
      <c r="C122" s="95">
        <v>0</v>
      </c>
      <c r="D122" s="119">
        <f>'CEN HUD'!F54</f>
        <v>9.1499999999999986</v>
      </c>
      <c r="G122" s="119"/>
      <c r="H122" s="119"/>
      <c r="I122" s="119"/>
      <c r="J122" s="119"/>
      <c r="K122" s="119"/>
      <c r="L122" s="119"/>
      <c r="M122" s="119"/>
      <c r="N122" s="119">
        <f t="shared" si="2"/>
        <v>5.863814099999999</v>
      </c>
      <c r="O122" s="119">
        <f t="shared" si="4"/>
        <v>0.54201199431393043</v>
      </c>
    </row>
    <row r="123" spans="1:15">
      <c r="A123" s="119"/>
      <c r="B123" s="119" t="s">
        <v>189</v>
      </c>
      <c r="C123" s="95">
        <v>0</v>
      </c>
      <c r="D123" s="119">
        <f>'CEN HUD'!F55</f>
        <v>9.19</v>
      </c>
      <c r="G123" s="119"/>
      <c r="H123" s="119"/>
      <c r="I123" s="119"/>
      <c r="J123" s="119"/>
      <c r="K123" s="119"/>
      <c r="L123" s="119"/>
      <c r="M123" s="119"/>
      <c r="N123" s="119">
        <f t="shared" si="2"/>
        <v>5.88944826</v>
      </c>
      <c r="O123" s="119">
        <f t="shared" si="4"/>
        <v>0.54438144565519364</v>
      </c>
    </row>
    <row r="124" spans="1:15">
      <c r="A124" s="119"/>
      <c r="B124" s="119" t="s">
        <v>190</v>
      </c>
      <c r="C124" s="95">
        <v>0</v>
      </c>
      <c r="D124" s="119">
        <f>'CEN HUD'!F56</f>
        <v>9.129999999999999</v>
      </c>
      <c r="G124" s="119"/>
      <c r="H124" s="119"/>
      <c r="I124" s="119"/>
      <c r="J124" s="119"/>
      <c r="K124" s="119"/>
      <c r="L124" s="119"/>
      <c r="M124" s="119"/>
      <c r="N124" s="119">
        <f t="shared" si="2"/>
        <v>5.8509970199999994</v>
      </c>
      <c r="O124" s="119">
        <f t="shared" si="4"/>
        <v>0.54082726864329889</v>
      </c>
    </row>
    <row r="125" spans="1:15">
      <c r="A125" s="119"/>
      <c r="B125" s="119" t="s">
        <v>191</v>
      </c>
      <c r="C125" s="95">
        <v>0</v>
      </c>
      <c r="D125" s="119">
        <f>'CEN HUD'!F57</f>
        <v>9.48</v>
      </c>
      <c r="G125" s="119"/>
      <c r="H125" s="119"/>
      <c r="I125" s="119"/>
      <c r="J125" s="119"/>
      <c r="K125" s="119"/>
      <c r="L125" s="119"/>
      <c r="M125" s="119"/>
      <c r="N125" s="119">
        <f t="shared" si="2"/>
        <v>6.0752959200000003</v>
      </c>
      <c r="O125" s="119">
        <f t="shared" si="4"/>
        <v>0.56155996787935103</v>
      </c>
    </row>
    <row r="126" spans="1:15">
      <c r="A126" s="119"/>
      <c r="B126" s="119" t="s">
        <v>192</v>
      </c>
      <c r="C126" s="95">
        <v>0</v>
      </c>
      <c r="D126" s="119">
        <f>'CEN HUD'!F58</f>
        <v>9.2099999999999991</v>
      </c>
      <c r="G126" s="119"/>
      <c r="H126" s="119"/>
      <c r="I126" s="119"/>
      <c r="J126" s="119"/>
      <c r="K126" s="119"/>
      <c r="L126" s="119"/>
      <c r="M126" s="119"/>
      <c r="N126" s="119">
        <f t="shared" si="2"/>
        <v>5.9022653399999996</v>
      </c>
      <c r="O126" s="119">
        <f t="shared" si="4"/>
        <v>0.54556617132582508</v>
      </c>
    </row>
    <row r="127" spans="1:15">
      <c r="A127" s="119">
        <v>24</v>
      </c>
      <c r="B127" s="119" t="s">
        <v>194</v>
      </c>
      <c r="C127" s="95">
        <v>24</v>
      </c>
      <c r="D127" s="119">
        <f>'CEN HUD'!F59</f>
        <v>58.04</v>
      </c>
      <c r="G127" s="119"/>
      <c r="H127" s="119"/>
      <c r="I127" s="119"/>
      <c r="J127" s="119"/>
      <c r="K127" s="119"/>
      <c r="L127" s="119"/>
      <c r="M127" s="119"/>
      <c r="N127" s="119">
        <f t="shared" si="2"/>
        <v>37.195166159999999</v>
      </c>
      <c r="O127" s="119">
        <f t="shared" si="4"/>
        <v>3.4380738961727353</v>
      </c>
    </row>
    <row r="128" spans="1:15">
      <c r="A128" s="119"/>
      <c r="B128" s="119" t="s">
        <v>195</v>
      </c>
      <c r="C128" s="95">
        <v>0</v>
      </c>
      <c r="D128" s="119">
        <f>'CEN HUD'!F60</f>
        <v>9.2899999999999991</v>
      </c>
      <c r="G128" s="119"/>
      <c r="H128" s="119"/>
      <c r="I128" s="119"/>
      <c r="J128" s="119"/>
      <c r="K128" s="119"/>
      <c r="L128" s="119"/>
      <c r="M128" s="119"/>
      <c r="N128" s="119">
        <f t="shared" si="2"/>
        <v>5.9535336599999997</v>
      </c>
      <c r="O128" s="119">
        <f t="shared" si="4"/>
        <v>0.55030507400835127</v>
      </c>
    </row>
    <row r="129" spans="1:17">
      <c r="A129" s="119"/>
      <c r="B129" s="119" t="s">
        <v>197</v>
      </c>
      <c r="C129" s="95">
        <v>0</v>
      </c>
      <c r="D129" s="119">
        <f>'CEN HUD'!F61</f>
        <v>9.26</v>
      </c>
      <c r="G129" s="119"/>
      <c r="H129" s="119"/>
      <c r="I129" s="119"/>
      <c r="J129" s="119"/>
      <c r="K129" s="119"/>
      <c r="L129" s="119"/>
      <c r="M129" s="119"/>
      <c r="N129" s="119">
        <f t="shared" si="2"/>
        <v>5.9343080400000003</v>
      </c>
      <c r="O129" s="119">
        <f t="shared" si="4"/>
        <v>0.548527985502404</v>
      </c>
      <c r="P129" s="119"/>
      <c r="Q129" s="119"/>
    </row>
    <row r="130" spans="1:17">
      <c r="A130" s="119"/>
      <c r="B130" s="119" t="s">
        <v>198</v>
      </c>
      <c r="C130" s="95">
        <v>0</v>
      </c>
      <c r="D130" s="119">
        <f>'CEN HUD'!F62</f>
        <v>9.3099999999999987</v>
      </c>
      <c r="G130" s="119"/>
      <c r="H130" s="119"/>
      <c r="I130" s="119"/>
      <c r="J130" s="119"/>
      <c r="K130" s="119"/>
      <c r="L130" s="119"/>
      <c r="M130" s="119"/>
      <c r="N130" s="119">
        <f t="shared" si="2"/>
        <v>5.9663507399999993</v>
      </c>
      <c r="O130" s="119">
        <f t="shared" si="4"/>
        <v>0.55148979967898282</v>
      </c>
      <c r="P130" s="119"/>
      <c r="Q130" s="119"/>
    </row>
    <row r="131" spans="1:17">
      <c r="A131" s="119"/>
      <c r="B131" s="119" t="s">
        <v>199</v>
      </c>
      <c r="C131" s="95">
        <v>0</v>
      </c>
      <c r="D131" s="119">
        <f>'CEN HUD'!F63</f>
        <v>9.129999999999999</v>
      </c>
      <c r="G131" s="119"/>
      <c r="H131" s="119"/>
      <c r="I131" s="119"/>
      <c r="J131" s="119"/>
      <c r="K131" s="119"/>
      <c r="L131" s="119"/>
      <c r="M131" s="119"/>
      <c r="N131" s="119">
        <f t="shared" si="2"/>
        <v>5.8509970199999994</v>
      </c>
      <c r="O131" s="119">
        <f t="shared" si="4"/>
        <v>0.54082726864329889</v>
      </c>
      <c r="P131" s="119"/>
      <c r="Q131" s="119"/>
    </row>
    <row r="132" spans="1:17">
      <c r="A132" s="119"/>
      <c r="B132" s="119" t="s">
        <v>200</v>
      </c>
      <c r="C132" s="95">
        <v>0</v>
      </c>
      <c r="D132" s="119">
        <f>'CEN HUD'!F64</f>
        <v>9.129999999999999</v>
      </c>
      <c r="G132" s="119"/>
      <c r="H132" s="119"/>
      <c r="I132" s="119"/>
      <c r="J132" s="119"/>
      <c r="K132" s="119"/>
      <c r="L132" s="119"/>
      <c r="M132" s="119"/>
      <c r="N132" s="119">
        <f t="shared" ref="N132:N195" si="5">0.640854*D132</f>
        <v>5.8509970199999994</v>
      </c>
      <c r="O132" s="119">
        <f t="shared" si="4"/>
        <v>0.54082726864329889</v>
      </c>
      <c r="P132" s="119"/>
      <c r="Q132" s="119"/>
    </row>
    <row r="133" spans="1:17">
      <c r="A133" s="119">
        <v>13.4</v>
      </c>
      <c r="B133" s="119" t="s">
        <v>201</v>
      </c>
      <c r="C133" s="95">
        <v>13.4</v>
      </c>
      <c r="D133" s="119">
        <f>'CEN HUD'!F65</f>
        <v>10.220000000000001</v>
      </c>
      <c r="G133" s="119"/>
      <c r="H133" s="119"/>
      <c r="I133" s="119"/>
      <c r="J133" s="119"/>
      <c r="K133" s="119"/>
      <c r="L133" s="119"/>
      <c r="M133" s="119"/>
      <c r="N133" s="119">
        <f t="shared" si="5"/>
        <v>6.5495278800000012</v>
      </c>
      <c r="O133" s="119">
        <f t="shared" si="4"/>
        <v>0.60539481769271808</v>
      </c>
      <c r="P133" s="119"/>
      <c r="Q133" s="119"/>
    </row>
    <row r="134" spans="1:17">
      <c r="A134" s="119"/>
      <c r="B134" s="119" t="s">
        <v>202</v>
      </c>
      <c r="C134" s="95">
        <v>0</v>
      </c>
      <c r="D134" s="119">
        <f>'CEN HUD'!F66</f>
        <v>9.2899999999999991</v>
      </c>
      <c r="G134" s="119"/>
      <c r="H134" s="119"/>
      <c r="I134" s="119"/>
      <c r="J134" s="119"/>
      <c r="K134" s="119"/>
      <c r="L134" s="119"/>
      <c r="M134" s="119"/>
      <c r="N134" s="119">
        <f t="shared" si="5"/>
        <v>5.9535336599999997</v>
      </c>
      <c r="O134" s="119">
        <f t="shared" si="4"/>
        <v>0.55030507400835127</v>
      </c>
      <c r="P134" s="119"/>
      <c r="Q134" s="119"/>
    </row>
    <row r="135" spans="1:17">
      <c r="A135" s="119"/>
      <c r="B135" s="119" t="s">
        <v>203</v>
      </c>
      <c r="C135" s="95">
        <v>0</v>
      </c>
      <c r="D135" s="119">
        <f>'CEN HUD'!F67</f>
        <v>9.129999999999999</v>
      </c>
      <c r="G135" s="119"/>
      <c r="H135" s="119"/>
      <c r="I135" s="119"/>
      <c r="J135" s="119"/>
      <c r="K135" s="119"/>
      <c r="L135" s="119"/>
      <c r="M135" s="119"/>
      <c r="N135" s="119">
        <f t="shared" si="5"/>
        <v>5.8509970199999994</v>
      </c>
      <c r="O135" s="119">
        <f t="shared" si="4"/>
        <v>0.54082726864329889</v>
      </c>
      <c r="P135" s="119"/>
      <c r="Q135" s="119"/>
    </row>
    <row r="136" spans="1:17">
      <c r="A136" s="119"/>
      <c r="B136" s="119" t="s">
        <v>204</v>
      </c>
      <c r="C136" s="95">
        <v>0</v>
      </c>
      <c r="D136" s="119">
        <f>'CEN HUD'!F68</f>
        <v>9.14</v>
      </c>
      <c r="G136" s="119"/>
      <c r="H136" s="119"/>
      <c r="I136" s="119"/>
      <c r="J136" s="119"/>
      <c r="K136" s="119"/>
      <c r="L136" s="119"/>
      <c r="M136" s="119"/>
      <c r="N136" s="119">
        <f t="shared" si="5"/>
        <v>5.857405560000001</v>
      </c>
      <c r="O136" s="119">
        <f t="shared" si="4"/>
        <v>0.54141963147861483</v>
      </c>
      <c r="P136" s="119"/>
      <c r="Q136" s="119"/>
    </row>
    <row r="137" spans="1:17">
      <c r="A137" s="119" t="s">
        <v>597</v>
      </c>
      <c r="B137" s="119"/>
      <c r="C137" s="119"/>
      <c r="D137" s="119"/>
      <c r="E137" s="104">
        <f>'data for stata'!G136</f>
        <v>146.59043157784325</v>
      </c>
      <c r="F137" s="11">
        <f>_xlfn.STDEV.S(D138:D142,D143:D147,D149:D155,D162:D175,D176:D177,D178,D181:D194,D195:D197,D199:D200,D202:D206,D208:D212,D217:D220,D223,D227,D229:D230,D231:D236,D237:D238,D239:D241,D245,D247:D249,D250,D252:D256,D258:D273,D275:D276,D278:D282,D283,D285:D287,D288)</f>
        <v>119.1532505119675</v>
      </c>
      <c r="G137" s="119">
        <f>F137/SQRT(M137)</f>
        <v>26.001370941482229</v>
      </c>
      <c r="H137" s="119">
        <f>G137*$D$1</f>
        <v>42.772255198738264</v>
      </c>
      <c r="I137" s="119">
        <f>H137+E137</f>
        <v>189.36268677658151</v>
      </c>
      <c r="J137" s="119">
        <f>COUNTIF(D138:D288,"&gt;153.996")</f>
        <v>28</v>
      </c>
      <c r="K137" s="119"/>
      <c r="L137" s="119">
        <f>COUNTA(D138:D142,D144:D147,D149:D155,D162:D173,D176,D178,D182:D193,D195:D197,D199:D200,D202:D206,D208:D212,D217:D220,D223,D227,D229,D231:D235,D237,D239:D241,D245,D247:D248,D250,D252:D256,D258:D273,D275:D276,D278:D281,D283,D286,D288)</f>
        <v>107</v>
      </c>
      <c r="M137" s="119">
        <f>ROUND(L137/5,0)</f>
        <v>21</v>
      </c>
      <c r="N137" s="119"/>
      <c r="O137" s="119"/>
      <c r="P137" s="119">
        <f>COUNTIF(O138:O288,"&gt;1")-COUNTIF(O138:O288,"&gt;2")</f>
        <v>20</v>
      </c>
      <c r="Q137" s="119">
        <f>COUNTIF(O138:O288,"&gt;2")</f>
        <v>15</v>
      </c>
    </row>
    <row r="138" spans="1:17">
      <c r="A138" s="119"/>
      <c r="B138" s="1" t="s">
        <v>210</v>
      </c>
      <c r="C138" s="1">
        <f>SUMIFS('National Grid'!BT$6:BT$125,'National Grid'!BR$6:BR$125,'Aggregated Table'!B138)</f>
        <v>5.5</v>
      </c>
      <c r="D138" s="119">
        <f>SUMIFS('National Grid'!BS$6:BS$125,'National Grid'!BR$6:BR$125,'Aggregated Table'!B138)</f>
        <v>122.91380856601297</v>
      </c>
      <c r="G138" s="119"/>
      <c r="H138" s="119"/>
      <c r="I138" s="119"/>
      <c r="J138" s="119"/>
      <c r="K138" s="119"/>
      <c r="L138" s="119"/>
      <c r="M138" s="119"/>
      <c r="N138" s="119">
        <f>0.640854*D138</f>
        <v>78.769805874763676</v>
      </c>
      <c r="O138" s="4">
        <f>N138/(0.5*E$137)</f>
        <v>1.0746923250981071</v>
      </c>
      <c r="P138" s="119"/>
      <c r="Q138" s="119"/>
    </row>
    <row r="139" spans="1:17">
      <c r="A139" s="119"/>
      <c r="B139" s="1" t="s">
        <v>212</v>
      </c>
      <c r="C139" s="1">
        <f>SUMIFS('National Grid'!BT$6:BT$125,'National Grid'!BR$6:BR$125,'Aggregated Table'!B139)</f>
        <v>14.7</v>
      </c>
      <c r="D139" s="155">
        <f>SUMIFS('National Grid'!BS$6:BS$125,'National Grid'!BR$6:BR$125,'Aggregated Table'!B139)</f>
        <v>25.133660092228212</v>
      </c>
      <c r="G139" s="119"/>
      <c r="H139" s="119"/>
      <c r="I139" s="119"/>
      <c r="J139" s="119"/>
      <c r="K139" s="119"/>
      <c r="L139" s="119"/>
      <c r="M139" s="119"/>
      <c r="N139" s="119">
        <f t="shared" si="5"/>
        <v>16.107006604744818</v>
      </c>
      <c r="O139" s="119">
        <f t="shared" ref="O139:O202" si="6">N139/(0.5*E$137)</f>
        <v>0.21975522455831761</v>
      </c>
      <c r="P139" s="119"/>
      <c r="Q139" s="119"/>
    </row>
    <row r="140" spans="1:17">
      <c r="A140" s="119"/>
      <c r="B140" s="1" t="s">
        <v>214</v>
      </c>
      <c r="C140" s="1">
        <f>SUMIFS('National Grid'!BT$6:BT$125,'National Grid'!BR$6:BR$125,'Aggregated Table'!B140)</f>
        <v>32</v>
      </c>
      <c r="D140" s="155">
        <f>SUMIFS('National Grid'!BS$6:BS$125,'National Grid'!BR$6:BR$125,'Aggregated Table'!B140)</f>
        <v>27.365709704195883</v>
      </c>
      <c r="G140" s="119"/>
      <c r="H140" s="119"/>
      <c r="I140" s="119"/>
      <c r="J140" s="119"/>
      <c r="K140" s="119"/>
      <c r="L140" s="119"/>
      <c r="M140" s="119"/>
      <c r="N140" s="119">
        <f t="shared" si="5"/>
        <v>17.53742452677275</v>
      </c>
      <c r="O140" s="119">
        <f t="shared" si="6"/>
        <v>0.2392710675315794</v>
      </c>
      <c r="P140" s="119"/>
      <c r="Q140" s="119"/>
    </row>
    <row r="141" spans="1:17">
      <c r="A141" s="119"/>
      <c r="B141" s="1" t="s">
        <v>216</v>
      </c>
      <c r="C141" s="1">
        <f>SUMIFS('National Grid'!BT$6:BT$125,'National Grid'!BR$6:BR$125,'Aggregated Table'!B141)</f>
        <v>14.7</v>
      </c>
      <c r="D141" s="155">
        <f>SUMIFS('National Grid'!BS$6:BS$125,'National Grid'!BR$6:BR$125,'Aggregated Table'!B141)</f>
        <v>50.801065894863868</v>
      </c>
      <c r="G141" s="119"/>
      <c r="H141" s="119"/>
      <c r="I141" s="119"/>
      <c r="J141" s="119"/>
      <c r="K141" s="119"/>
      <c r="L141" s="119"/>
      <c r="M141" s="119"/>
      <c r="N141" s="119">
        <f t="shared" si="5"/>
        <v>32.556066282987089</v>
      </c>
      <c r="O141" s="119">
        <f t="shared" si="6"/>
        <v>0.44417723493363193</v>
      </c>
      <c r="P141" s="119"/>
      <c r="Q141" s="119"/>
    </row>
    <row r="142" spans="1:17">
      <c r="A142" s="119"/>
      <c r="B142" s="1" t="s">
        <v>218</v>
      </c>
      <c r="C142" s="1">
        <f>SUMIFS('National Grid'!BT$6:BT$125,'National Grid'!BR$6:BR$125,'Aggregated Table'!B142)</f>
        <v>2.6</v>
      </c>
      <c r="D142" s="155">
        <f>SUMIFS('National Grid'!BS$6:BS$125,'National Grid'!BR$6:BR$125,'Aggregated Table'!B142)</f>
        <v>63.42851166771748</v>
      </c>
      <c r="G142" s="119"/>
      <c r="H142" s="119"/>
      <c r="I142" s="119"/>
      <c r="J142" s="119"/>
      <c r="K142" s="119"/>
      <c r="L142" s="119"/>
      <c r="M142" s="119"/>
      <c r="N142" s="119">
        <f t="shared" si="5"/>
        <v>40.648415416303422</v>
      </c>
      <c r="O142" s="119">
        <f t="shared" si="6"/>
        <v>0.55458483857069596</v>
      </c>
      <c r="P142" s="119"/>
      <c r="Q142" s="119"/>
    </row>
    <row r="143" spans="1:17">
      <c r="A143" s="119"/>
      <c r="B143" s="1" t="s">
        <v>220</v>
      </c>
      <c r="C143" s="1">
        <f>SUMIFS('National Grid'!BT$6:BT$125,'National Grid'!BR$6:BR$125,'Aggregated Table'!B143)</f>
        <v>40</v>
      </c>
      <c r="D143" s="155">
        <f>SUMIFS('National Grid'!BS$6:BS$125,'National Grid'!BR$6:BR$125,'Aggregated Table'!B143)</f>
        <v>37.203539337893083</v>
      </c>
      <c r="G143" s="119"/>
      <c r="H143" s="119"/>
      <c r="I143" s="119"/>
      <c r="J143" s="119"/>
      <c r="K143" s="119"/>
      <c r="L143" s="119"/>
      <c r="M143" s="119"/>
      <c r="N143" s="119">
        <f t="shared" si="5"/>
        <v>23.842036998846137</v>
      </c>
      <c r="O143" s="119">
        <f t="shared" si="6"/>
        <v>0.32528776595060926</v>
      </c>
      <c r="P143" s="119"/>
      <c r="Q143" s="119"/>
    </row>
    <row r="144" spans="1:17">
      <c r="A144" s="119"/>
      <c r="B144" s="1" t="s">
        <v>222</v>
      </c>
      <c r="C144" s="1">
        <f>SUMIFS('National Grid'!BT$6:BT$125,'National Grid'!BR$6:BR$125,'Aggregated Table'!B144)</f>
        <v>0.33</v>
      </c>
      <c r="D144" s="155">
        <f>SUMIFS('National Grid'!BS$6:BS$125,'National Grid'!BR$6:BR$125,'Aggregated Table'!B144)</f>
        <v>163.13933323718084</v>
      </c>
      <c r="G144" s="119"/>
      <c r="H144" s="119"/>
      <c r="I144" s="119"/>
      <c r="J144" s="119"/>
      <c r="K144" s="119"/>
      <c r="L144" s="119"/>
      <c r="M144" s="119"/>
      <c r="N144" s="119">
        <f t="shared" si="5"/>
        <v>104.54849426238029</v>
      </c>
      <c r="O144" s="119">
        <f t="shared" si="6"/>
        <v>1.426402707694634</v>
      </c>
      <c r="P144" s="119"/>
      <c r="Q144" s="119"/>
    </row>
    <row r="145" spans="2:15">
      <c r="B145" s="1" t="s">
        <v>224</v>
      </c>
      <c r="C145" s="1">
        <f>SUMIFS('National Grid'!BT$6:BT$125,'National Grid'!BR$6:BR$125,'Aggregated Table'!B145)</f>
        <v>26.5</v>
      </c>
      <c r="D145" s="155">
        <f>SUMIFS('National Grid'!BS$6:BS$125,'National Grid'!BR$6:BR$125,'Aggregated Table'!B145)</f>
        <v>13.747304519822606</v>
      </c>
      <c r="G145" s="119"/>
      <c r="H145" s="119"/>
      <c r="I145" s="119"/>
      <c r="J145" s="119"/>
      <c r="K145" s="119"/>
      <c r="L145" s="119"/>
      <c r="M145" s="119"/>
      <c r="N145" s="119">
        <f t="shared" si="5"/>
        <v>8.810015090746397</v>
      </c>
      <c r="O145" s="119">
        <f t="shared" si="6"/>
        <v>0.12019904704445944</v>
      </c>
    </row>
    <row r="146" spans="2:15">
      <c r="B146" s="2" t="s">
        <v>16</v>
      </c>
      <c r="C146" s="1">
        <f>SUMIFS('National Grid'!BT$6:BT$125,'National Grid'!BR$6:BR$125,'Aggregated Table'!B146)</f>
        <v>6.4</v>
      </c>
      <c r="D146" s="155">
        <f>SUMIFS('National Grid'!BS$6:BS$125,'National Grid'!BR$6:BR$125,'Aggregated Table'!B146)</f>
        <v>190.62726548955015</v>
      </c>
      <c r="G146" s="119"/>
      <c r="H146" s="119"/>
      <c r="I146" s="119"/>
      <c r="J146" s="119"/>
      <c r="K146" s="119"/>
      <c r="L146" s="119"/>
      <c r="M146" s="119"/>
      <c r="N146" s="119">
        <f t="shared" si="5"/>
        <v>122.16424559804018</v>
      </c>
      <c r="O146" s="119">
        <f t="shared" si="6"/>
        <v>1.6667424235417148</v>
      </c>
    </row>
    <row r="147" spans="2:15">
      <c r="B147" s="1" t="s">
        <v>227</v>
      </c>
      <c r="C147" s="1">
        <f>SUMIFS('National Grid'!BT$6:BT$125,'National Grid'!BR$6:BR$125,'Aggregated Table'!B147)</f>
        <v>10</v>
      </c>
      <c r="D147" s="155">
        <f>SUMIFS('National Grid'!BS$6:BS$125,'National Grid'!BR$6:BR$125,'Aggregated Table'!B147)</f>
        <v>55.02644318933438</v>
      </c>
      <c r="G147" s="119"/>
      <c r="H147" s="119"/>
      <c r="I147" s="119"/>
      <c r="J147" s="119"/>
      <c r="K147" s="119"/>
      <c r="L147" s="119"/>
      <c r="M147" s="119"/>
      <c r="N147" s="119">
        <f t="shared" si="5"/>
        <v>35.263916223657695</v>
      </c>
      <c r="O147" s="119">
        <f t="shared" si="6"/>
        <v>0.48112166454645655</v>
      </c>
    </row>
    <row r="148" spans="2:15">
      <c r="B148" s="1" t="s">
        <v>228</v>
      </c>
      <c r="C148" s="1">
        <f>SUMIFS('National Grid'!BT$6:BT$125,'National Grid'!BR$6:BR$125,'Aggregated Table'!B148)</f>
        <v>0</v>
      </c>
      <c r="D148" s="155">
        <f>SUMIFS('National Grid'!BS$6:BS$125,'National Grid'!BR$6:BR$125,'Aggregated Table'!B148)</f>
        <v>0</v>
      </c>
      <c r="G148" s="119"/>
      <c r="H148" s="119"/>
      <c r="I148" s="119"/>
      <c r="J148" s="119"/>
      <c r="K148" s="119"/>
      <c r="L148" s="119"/>
      <c r="M148" s="119"/>
      <c r="N148" s="119">
        <f t="shared" si="5"/>
        <v>0</v>
      </c>
      <c r="O148" s="119">
        <f t="shared" si="6"/>
        <v>0</v>
      </c>
    </row>
    <row r="149" spans="2:15">
      <c r="B149" s="1" t="s">
        <v>229</v>
      </c>
      <c r="C149" s="1">
        <f>SUMIFS('National Grid'!BT$6:BT$125,'National Grid'!BR$6:BR$125,'Aggregated Table'!B149)</f>
        <v>40</v>
      </c>
      <c r="D149" s="155">
        <f>SUMIFS('National Grid'!BS$6:BS$125,'National Grid'!BR$6:BR$125,'Aggregated Table'!B149)</f>
        <v>59.104364278363875</v>
      </c>
      <c r="G149" s="119"/>
      <c r="H149" s="119"/>
      <c r="I149" s="119"/>
      <c r="J149" s="119"/>
      <c r="K149" s="119"/>
      <c r="L149" s="119"/>
      <c r="M149" s="119"/>
      <c r="N149" s="119">
        <f t="shared" si="5"/>
        <v>37.877268265246606</v>
      </c>
      <c r="O149" s="119">
        <f t="shared" si="6"/>
        <v>0.51677681629762873</v>
      </c>
    </row>
    <row r="150" spans="2:15">
      <c r="B150" s="1" t="s">
        <v>230</v>
      </c>
      <c r="C150" s="1">
        <f>SUMIFS('National Grid'!BT$6:BT$125,'National Grid'!BR$6:BR$125,'Aggregated Table'!B150)</f>
        <v>10</v>
      </c>
      <c r="D150" s="155">
        <f>SUMIFS('National Grid'!BS$6:BS$125,'National Grid'!BR$6:BR$125,'Aggregated Table'!B150)</f>
        <v>11.107715739602224</v>
      </c>
      <c r="G150" s="119"/>
      <c r="H150" s="119"/>
      <c r="I150" s="119"/>
      <c r="J150" s="119"/>
      <c r="K150" s="119"/>
      <c r="L150" s="119"/>
      <c r="M150" s="119"/>
      <c r="N150" s="119">
        <f t="shared" si="5"/>
        <v>7.1184240625870441</v>
      </c>
      <c r="O150" s="119">
        <f t="shared" si="6"/>
        <v>9.711990047327175E-2</v>
      </c>
    </row>
    <row r="151" spans="2:15">
      <c r="B151" s="1" t="s">
        <v>231</v>
      </c>
      <c r="C151" s="1">
        <f>SUMIFS('National Grid'!BT$6:BT$125,'National Grid'!BR$6:BR$125,'Aggregated Table'!B151)</f>
        <v>1.5</v>
      </c>
      <c r="D151" s="155">
        <f>SUMIFS('National Grid'!BS$6:BS$125,'National Grid'!BR$6:BR$125,'Aggregated Table'!B151)</f>
        <v>135.74509227261558</v>
      </c>
      <c r="G151" s="119"/>
      <c r="H151" s="119"/>
      <c r="I151" s="119"/>
      <c r="J151" s="119"/>
      <c r="K151" s="119"/>
      <c r="L151" s="119"/>
      <c r="M151" s="119"/>
      <c r="N151" s="119">
        <f t="shared" si="5"/>
        <v>86.992785363274791</v>
      </c>
      <c r="O151" s="119">
        <f t="shared" si="6"/>
        <v>1.186882178146524</v>
      </c>
    </row>
    <row r="152" spans="2:15">
      <c r="B152" s="1" t="s">
        <v>232</v>
      </c>
      <c r="C152" s="1">
        <f>SUMIFS('National Grid'!BT$6:BT$125,'National Grid'!BR$6:BR$125,'Aggregated Table'!B152)</f>
        <v>26.1</v>
      </c>
      <c r="D152" s="155">
        <f>SUMIFS('National Grid'!BS$6:BS$125,'National Grid'!BR$6:BR$125,'Aggregated Table'!B152)</f>
        <v>209.15892154789148</v>
      </c>
      <c r="G152" s="119"/>
      <c r="H152" s="119"/>
      <c r="I152" s="119"/>
      <c r="J152" s="119"/>
      <c r="K152" s="119"/>
      <c r="L152" s="119"/>
      <c r="M152" s="119"/>
      <c r="N152" s="119">
        <f t="shared" si="5"/>
        <v>134.04033150965245</v>
      </c>
      <c r="O152" s="119">
        <f t="shared" si="6"/>
        <v>1.8287732707639055</v>
      </c>
    </row>
    <row r="153" spans="2:15">
      <c r="B153" s="1" t="s">
        <v>234</v>
      </c>
      <c r="C153" s="1">
        <f>SUMIFS('National Grid'!BT$6:BT$125,'National Grid'!BR$6:BR$125,'Aggregated Table'!B153)</f>
        <v>4</v>
      </c>
      <c r="D153" s="155">
        <f>SUMIFS('National Grid'!BS$6:BS$125,'National Grid'!BR$6:BR$125,'Aggregated Table'!B153)</f>
        <v>90.013243054804789</v>
      </c>
      <c r="G153" s="119"/>
      <c r="H153" s="119"/>
      <c r="I153" s="119"/>
      <c r="J153" s="119"/>
      <c r="K153" s="119"/>
      <c r="L153" s="119"/>
      <c r="M153" s="119"/>
      <c r="N153" s="119">
        <f t="shared" si="5"/>
        <v>57.685346864643869</v>
      </c>
      <c r="O153" s="119">
        <f t="shared" si="6"/>
        <v>0.78702745116091</v>
      </c>
    </row>
    <row r="154" spans="2:15">
      <c r="B154" s="1" t="s">
        <v>235</v>
      </c>
      <c r="C154" s="1">
        <f>SUMIFS('National Grid'!BT$6:BT$125,'National Grid'!BR$6:BR$125,'Aggregated Table'!B154)</f>
        <v>32.5</v>
      </c>
      <c r="D154" s="155">
        <f>SUMIFS('National Grid'!BS$6:BS$125,'National Grid'!BR$6:BR$125,'Aggregated Table'!B154)</f>
        <v>27.486824110670984</v>
      </c>
      <c r="G154" s="119"/>
      <c r="H154" s="119"/>
      <c r="I154" s="119"/>
      <c r="J154" s="119"/>
      <c r="K154" s="119"/>
      <c r="L154" s="119"/>
      <c r="M154" s="119"/>
      <c r="N154" s="119">
        <f t="shared" si="5"/>
        <v>17.615041178619943</v>
      </c>
      <c r="O154" s="119">
        <f t="shared" si="6"/>
        <v>0.24033002685125338</v>
      </c>
    </row>
    <row r="155" spans="2:15">
      <c r="B155" s="1" t="s">
        <v>236</v>
      </c>
      <c r="C155" s="1">
        <f>SUMIFS('National Grid'!BT$6:BT$125,'National Grid'!BR$6:BR$125,'Aggregated Table'!B155)</f>
        <v>77</v>
      </c>
      <c r="D155" s="155">
        <f>SUMIFS('National Grid'!BS$6:BS$125,'National Grid'!BR$6:BR$125,'Aggregated Table'!B155)</f>
        <v>73.482719618426898</v>
      </c>
      <c r="G155" s="119"/>
      <c r="H155" s="119"/>
      <c r="I155" s="119"/>
      <c r="J155" s="119"/>
      <c r="K155" s="119"/>
      <c r="L155" s="119"/>
      <c r="M155" s="119"/>
      <c r="N155" s="119">
        <f t="shared" si="5"/>
        <v>47.091694798347355</v>
      </c>
      <c r="O155" s="119">
        <f t="shared" si="6"/>
        <v>0.64249343277689264</v>
      </c>
    </row>
    <row r="156" spans="2:15">
      <c r="B156" s="1" t="s">
        <v>237</v>
      </c>
      <c r="C156" s="1">
        <f>SUMIFS('National Grid'!BT$6:BT$125,'National Grid'!BR$6:BR$125,'Aggregated Table'!B156)</f>
        <v>0</v>
      </c>
      <c r="D156" s="155">
        <f>SUMIFS('National Grid'!BS$6:BS$125,'National Grid'!BR$6:BR$125,'Aggregated Table'!B156)</f>
        <v>0</v>
      </c>
      <c r="G156" s="119"/>
      <c r="H156" s="119"/>
      <c r="I156" s="119"/>
      <c r="J156" s="119"/>
      <c r="K156" s="119"/>
      <c r="L156" s="119"/>
      <c r="M156" s="119"/>
      <c r="N156" s="119">
        <f t="shared" si="5"/>
        <v>0</v>
      </c>
      <c r="O156" s="119">
        <f t="shared" si="6"/>
        <v>0</v>
      </c>
    </row>
    <row r="157" spans="2:15">
      <c r="B157" s="1" t="s">
        <v>238</v>
      </c>
      <c r="C157" s="1">
        <f>SUMIFS('National Grid'!BT$6:BT$125,'National Grid'!BR$6:BR$125,'Aggregated Table'!B157)</f>
        <v>0</v>
      </c>
      <c r="D157" s="155">
        <f>SUMIFS('National Grid'!BS$6:BS$125,'National Grid'!BR$6:BR$125,'Aggregated Table'!B157)</f>
        <v>0</v>
      </c>
      <c r="G157" s="119"/>
      <c r="H157" s="119"/>
      <c r="I157" s="119"/>
      <c r="J157" s="119"/>
      <c r="K157" s="119"/>
      <c r="L157" s="119"/>
      <c r="M157" s="119"/>
      <c r="N157" s="119">
        <f t="shared" si="5"/>
        <v>0</v>
      </c>
      <c r="O157" s="119">
        <f t="shared" si="6"/>
        <v>0</v>
      </c>
    </row>
    <row r="158" spans="2:15">
      <c r="B158" s="1" t="s">
        <v>239</v>
      </c>
      <c r="C158" s="1">
        <f>SUMIFS('National Grid'!BT$6:BT$125,'National Grid'!BR$6:BR$125,'Aggregated Table'!B158)</f>
        <v>0</v>
      </c>
      <c r="D158" s="155">
        <f>SUMIFS('National Grid'!BS$6:BS$125,'National Grid'!BR$6:BR$125,'Aggregated Table'!B158)</f>
        <v>0</v>
      </c>
      <c r="G158" s="119"/>
      <c r="H158" s="119"/>
      <c r="I158" s="119"/>
      <c r="J158" s="119"/>
      <c r="K158" s="119"/>
      <c r="L158" s="119"/>
      <c r="M158" s="119"/>
      <c r="N158" s="119">
        <f t="shared" si="5"/>
        <v>0</v>
      </c>
      <c r="O158" s="119">
        <f t="shared" si="6"/>
        <v>0</v>
      </c>
    </row>
    <row r="159" spans="2:15">
      <c r="B159" s="1" t="s">
        <v>240</v>
      </c>
      <c r="C159" s="1">
        <f>SUMIFS('National Grid'!BT$6:BT$125,'National Grid'!BR$6:BR$125,'Aggregated Table'!B159)</f>
        <v>0</v>
      </c>
      <c r="D159" s="155">
        <f>SUMIFS('National Grid'!BS$6:BS$125,'National Grid'!BR$6:BR$125,'Aggregated Table'!B159)</f>
        <v>0</v>
      </c>
      <c r="G159" s="119"/>
      <c r="H159" s="119"/>
      <c r="I159" s="119"/>
      <c r="J159" s="119"/>
      <c r="K159" s="119"/>
      <c r="L159" s="119"/>
      <c r="M159" s="119"/>
      <c r="N159" s="119">
        <f t="shared" si="5"/>
        <v>0</v>
      </c>
      <c r="O159" s="119">
        <f t="shared" si="6"/>
        <v>0</v>
      </c>
    </row>
    <row r="160" spans="2:15">
      <c r="B160" s="1" t="s">
        <v>241</v>
      </c>
      <c r="C160" s="1">
        <f>SUMIFS('National Grid'!BT$6:BT$125,'National Grid'!BR$6:BR$125,'Aggregated Table'!B160)</f>
        <v>0</v>
      </c>
      <c r="D160" s="155">
        <f>SUMIFS('National Grid'!BS$6:BS$125,'National Grid'!BR$6:BR$125,'Aggregated Table'!B160)</f>
        <v>0</v>
      </c>
      <c r="G160" s="119"/>
      <c r="H160" s="119"/>
      <c r="I160" s="119"/>
      <c r="J160" s="119"/>
      <c r="K160" s="119"/>
      <c r="L160" s="119"/>
      <c r="M160" s="119"/>
      <c r="N160" s="119">
        <f t="shared" si="5"/>
        <v>0</v>
      </c>
      <c r="O160" s="119">
        <f t="shared" si="6"/>
        <v>0</v>
      </c>
    </row>
    <row r="161" spans="2:15">
      <c r="B161" s="1" t="s">
        <v>242</v>
      </c>
      <c r="C161" s="1">
        <f>SUMIFS('National Grid'!BT$6:BT$125,'National Grid'!BR$6:BR$125,'Aggregated Table'!B161)</f>
        <v>0</v>
      </c>
      <c r="D161" s="155">
        <f>SUMIFS('National Grid'!BS$6:BS$125,'National Grid'!BR$6:BR$125,'Aggregated Table'!B161)</f>
        <v>0</v>
      </c>
      <c r="G161" s="119"/>
      <c r="H161" s="119"/>
      <c r="I161" s="119"/>
      <c r="J161" s="119"/>
      <c r="K161" s="119"/>
      <c r="L161" s="119"/>
      <c r="M161" s="119"/>
      <c r="N161" s="119">
        <f t="shared" si="5"/>
        <v>0</v>
      </c>
      <c r="O161" s="119">
        <f t="shared" si="6"/>
        <v>0</v>
      </c>
    </row>
    <row r="162" spans="2:15">
      <c r="B162" s="1" t="s">
        <v>244</v>
      </c>
      <c r="C162" s="1">
        <f>SUMIFS('National Grid'!BT$6:BT$125,'National Grid'!BR$6:BR$125,'Aggregated Table'!B162)</f>
        <v>6</v>
      </c>
      <c r="D162" s="155">
        <f>SUMIFS('National Grid'!BS$6:BS$125,'National Grid'!BR$6:BR$125,'Aggregated Table'!B162)</f>
        <v>384.79258873059331</v>
      </c>
      <c r="G162" s="119"/>
      <c r="H162" s="119"/>
      <c r="I162" s="119"/>
      <c r="J162" s="119"/>
      <c r="K162" s="119"/>
      <c r="L162" s="119"/>
      <c r="M162" s="119"/>
      <c r="N162" s="119">
        <f t="shared" si="5"/>
        <v>246.59586965835567</v>
      </c>
      <c r="O162" s="119">
        <f t="shared" si="6"/>
        <v>3.3644197237717659</v>
      </c>
    </row>
    <row r="163" spans="2:15">
      <c r="B163" s="1" t="s">
        <v>245</v>
      </c>
      <c r="C163" s="1">
        <f>SUMIFS('National Grid'!BT$6:BT$125,'National Grid'!BR$6:BR$125,'Aggregated Table'!B163)</f>
        <v>9</v>
      </c>
      <c r="D163" s="155">
        <f>SUMIFS('National Grid'!BS$6:BS$125,'National Grid'!BR$6:BR$125,'Aggregated Table'!B163)</f>
        <v>75.130674736294623</v>
      </c>
      <c r="G163" s="119"/>
      <c r="H163" s="119"/>
      <c r="I163" s="119"/>
      <c r="J163" s="119"/>
      <c r="K163" s="119"/>
      <c r="L163" s="119"/>
      <c r="M163" s="119"/>
      <c r="N163" s="119">
        <f t="shared" si="5"/>
        <v>48.147793427453358</v>
      </c>
      <c r="O163" s="119">
        <f t="shared" si="6"/>
        <v>0.65690226721088074</v>
      </c>
    </row>
    <row r="164" spans="2:15">
      <c r="B164" s="1" t="s">
        <v>209</v>
      </c>
      <c r="C164" s="1">
        <f>SUMIFS('National Grid'!BT$6:BT$125,'National Grid'!BR$6:BR$125,'Aggregated Table'!B164)</f>
        <v>9</v>
      </c>
      <c r="D164" s="155">
        <f>SUMIFS('National Grid'!BS$6:BS$125,'National Grid'!BR$6:BR$125,'Aggregated Table'!B164)</f>
        <v>210.70819163580771</v>
      </c>
      <c r="G164" s="119"/>
      <c r="H164" s="119"/>
      <c r="I164" s="119"/>
      <c r="J164" s="119"/>
      <c r="K164" s="119"/>
      <c r="L164" s="119"/>
      <c r="M164" s="119"/>
      <c r="N164" s="119">
        <f t="shared" si="5"/>
        <v>135.03318744257393</v>
      </c>
      <c r="O164" s="119">
        <f t="shared" si="6"/>
        <v>1.8423192562997248</v>
      </c>
    </row>
    <row r="165" spans="2:15">
      <c r="B165" s="1" t="s">
        <v>211</v>
      </c>
      <c r="C165" s="1">
        <f>SUMIFS('National Grid'!BT$6:BT$125,'National Grid'!BR$6:BR$125,'Aggregated Table'!B165)</f>
        <v>9</v>
      </c>
      <c r="D165" s="155">
        <f>SUMIFS('National Grid'!BS$6:BS$125,'National Grid'!BR$6:BR$125,'Aggregated Table'!B165)</f>
        <v>284.39595491482328</v>
      </c>
      <c r="G165" s="119"/>
      <c r="H165" s="119"/>
      <c r="I165" s="119"/>
      <c r="J165" s="119"/>
      <c r="K165" s="119"/>
      <c r="L165" s="119"/>
      <c r="M165" s="119"/>
      <c r="N165" s="119">
        <f t="shared" si="5"/>
        <v>182.25628529098418</v>
      </c>
      <c r="O165" s="119">
        <f t="shared" si="6"/>
        <v>2.4866054807158604</v>
      </c>
    </row>
    <row r="166" spans="2:15">
      <c r="B166" s="1" t="s">
        <v>213</v>
      </c>
      <c r="C166" s="1">
        <f>SUMIFS('National Grid'!BT$6:BT$125,'National Grid'!BR$6:BR$125,'Aggregated Table'!B166)</f>
        <v>9</v>
      </c>
      <c r="D166" s="155">
        <f>SUMIFS('National Grid'!BS$6:BS$125,'National Grid'!BR$6:BR$125,'Aggregated Table'!B166)</f>
        <v>456.7250619862798</v>
      </c>
      <c r="G166" s="119"/>
      <c r="H166" s="119"/>
      <c r="I166" s="119"/>
      <c r="J166" s="119"/>
      <c r="K166" s="119"/>
      <c r="L166" s="119"/>
      <c r="M166" s="119"/>
      <c r="N166" s="119">
        <f t="shared" si="5"/>
        <v>292.69408287415536</v>
      </c>
      <c r="O166" s="119">
        <f t="shared" si="6"/>
        <v>3.9933586349901335</v>
      </c>
    </row>
    <row r="167" spans="2:15">
      <c r="B167" s="1" t="s">
        <v>215</v>
      </c>
      <c r="C167" s="1">
        <f>SUMIFS('National Grid'!BT$6:BT$125,'National Grid'!BR$6:BR$125,'Aggregated Table'!B167)</f>
        <v>9</v>
      </c>
      <c r="D167" s="155">
        <f>SUMIFS('National Grid'!BS$6:BS$125,'National Grid'!BR$6:BR$125,'Aggregated Table'!B167)</f>
        <v>66.054113599171501</v>
      </c>
      <c r="G167" s="119"/>
      <c r="H167" s="119"/>
      <c r="I167" s="119"/>
      <c r="J167" s="119"/>
      <c r="K167" s="119"/>
      <c r="L167" s="119"/>
      <c r="M167" s="119"/>
      <c r="N167" s="119">
        <f t="shared" si="5"/>
        <v>42.331042916483455</v>
      </c>
      <c r="O167" s="119">
        <f t="shared" si="6"/>
        <v>0.57754169164860658</v>
      </c>
    </row>
    <row r="168" spans="2:15">
      <c r="B168" s="1" t="s">
        <v>217</v>
      </c>
      <c r="C168" s="1">
        <f>SUMIFS('National Grid'!BT$6:BT$125,'National Grid'!BR$6:BR$125,'Aggregated Table'!B168)</f>
        <v>9</v>
      </c>
      <c r="D168" s="155">
        <f>SUMIFS('National Grid'!BS$6:BS$125,'National Grid'!BR$6:BR$125,'Aggregated Table'!B168)</f>
        <v>117.53408127314479</v>
      </c>
      <c r="G168" s="119"/>
      <c r="H168" s="119"/>
      <c r="I168" s="119"/>
      <c r="J168" s="119"/>
      <c r="K168" s="119"/>
      <c r="L168" s="119"/>
      <c r="M168" s="119"/>
      <c r="N168" s="119">
        <f t="shared" si="5"/>
        <v>75.322186120219939</v>
      </c>
      <c r="O168" s="119">
        <f t="shared" si="6"/>
        <v>1.027654879100645</v>
      </c>
    </row>
    <row r="169" spans="2:15">
      <c r="B169" s="1" t="s">
        <v>219</v>
      </c>
      <c r="C169" s="1">
        <f>SUMIFS('National Grid'!BT$6:BT$125,'National Grid'!BR$6:BR$125,'Aggregated Table'!B169)</f>
        <v>9</v>
      </c>
      <c r="D169" s="155">
        <f>SUMIFS('National Grid'!BS$6:BS$125,'National Grid'!BR$6:BR$125,'Aggregated Table'!B169)</f>
        <v>506.52704505416489</v>
      </c>
      <c r="G169" s="119"/>
      <c r="H169" s="119"/>
      <c r="I169" s="119"/>
      <c r="J169" s="119"/>
      <c r="K169" s="119"/>
      <c r="L169" s="119"/>
      <c r="M169" s="119"/>
      <c r="N169" s="119">
        <f t="shared" si="5"/>
        <v>324.60988293114178</v>
      </c>
      <c r="O169" s="119">
        <f t="shared" si="6"/>
        <v>4.4288004262920211</v>
      </c>
    </row>
    <row r="170" spans="2:15">
      <c r="B170" s="1" t="s">
        <v>221</v>
      </c>
      <c r="C170" s="1">
        <f>SUMIFS('National Grid'!BT$6:BT$125,'National Grid'!BR$6:BR$125,'Aggregated Table'!B170)</f>
        <v>9</v>
      </c>
      <c r="D170" s="155">
        <f>SUMIFS('National Grid'!BS$6:BS$125,'National Grid'!BR$6:BR$125,'Aggregated Table'!B170)</f>
        <v>66.054113599171501</v>
      </c>
      <c r="G170" s="119"/>
      <c r="H170" s="119"/>
      <c r="I170" s="119"/>
      <c r="J170" s="119"/>
      <c r="K170" s="119"/>
      <c r="L170" s="119"/>
      <c r="M170" s="119"/>
      <c r="N170" s="119">
        <f t="shared" si="5"/>
        <v>42.331042916483455</v>
      </c>
      <c r="O170" s="119">
        <f t="shared" si="6"/>
        <v>0.57754169164860658</v>
      </c>
    </row>
    <row r="171" spans="2:15">
      <c r="B171" s="1" t="s">
        <v>246</v>
      </c>
      <c r="C171" s="1">
        <f>SUMIFS('National Grid'!BT$6:BT$125,'National Grid'!BR$6:BR$125,'Aggregated Table'!B171)</f>
        <v>9</v>
      </c>
      <c r="D171" s="155">
        <f>SUMIFS('National Grid'!BS$6:BS$125,'National Grid'!BR$6:BR$125,'Aggregated Table'!B171)</f>
        <v>246.14825975947423</v>
      </c>
      <c r="G171" s="119"/>
      <c r="H171" s="119"/>
      <c r="I171" s="119"/>
      <c r="J171" s="119"/>
      <c r="K171" s="119"/>
      <c r="L171" s="119"/>
      <c r="M171" s="119"/>
      <c r="N171" s="119">
        <f t="shared" si="5"/>
        <v>157.7450968598981</v>
      </c>
      <c r="O171" s="119">
        <f t="shared" si="6"/>
        <v>2.1521881771134761</v>
      </c>
    </row>
    <row r="172" spans="2:15">
      <c r="B172" s="1" t="s">
        <v>223</v>
      </c>
      <c r="C172" s="1">
        <f>SUMIFS('National Grid'!BT$6:BT$125,'National Grid'!BR$6:BR$125,'Aggregated Table'!B172)</f>
        <v>9</v>
      </c>
      <c r="D172" s="155">
        <f>SUMIFS('National Grid'!BS$6:BS$125,'National Grid'!BR$6:BR$125,'Aggregated Table'!B172)</f>
        <v>216.84510375899393</v>
      </c>
      <c r="G172" s="119"/>
      <c r="H172" s="119"/>
      <c r="I172" s="119"/>
      <c r="J172" s="119"/>
      <c r="K172" s="119"/>
      <c r="L172" s="119"/>
      <c r="M172" s="119"/>
      <c r="N172" s="119">
        <f t="shared" si="5"/>
        <v>138.96605212436631</v>
      </c>
      <c r="O172" s="119">
        <f t="shared" si="6"/>
        <v>1.895977119769537</v>
      </c>
    </row>
    <row r="173" spans="2:15">
      <c r="B173" s="1" t="s">
        <v>226</v>
      </c>
      <c r="C173" s="1">
        <f>SUMIFS('National Grid'!BT$6:BT$125,'National Grid'!BR$6:BR$125,'Aggregated Table'!B173)</f>
        <v>11.2</v>
      </c>
      <c r="D173" s="155">
        <f>SUMIFS('National Grid'!BS$6:BS$125,'National Grid'!BR$6:BR$125,'Aggregated Table'!B173)</f>
        <v>68.041152133813355</v>
      </c>
      <c r="G173" s="119"/>
      <c r="H173" s="119"/>
      <c r="I173" s="119"/>
      <c r="J173" s="119"/>
      <c r="K173" s="119"/>
      <c r="L173" s="119"/>
      <c r="M173" s="119"/>
      <c r="N173" s="119">
        <f t="shared" si="5"/>
        <v>43.604444509562825</v>
      </c>
      <c r="O173" s="119">
        <f t="shared" si="6"/>
        <v>0.59491528935717408</v>
      </c>
    </row>
    <row r="174" spans="2:15">
      <c r="B174" s="1" t="s">
        <v>249</v>
      </c>
      <c r="C174" s="1">
        <f>SUMIFS('National Grid'!BT$6:BT$125,'National Grid'!BR$6:BR$125,'Aggregated Table'!B174)</f>
        <v>15</v>
      </c>
      <c r="D174" s="155">
        <f>SUMIFS('National Grid'!BS$6:BS$125,'National Grid'!BR$6:BR$125,'Aggregated Table'!B174)</f>
        <v>4.046717417646887</v>
      </c>
      <c r="G174" s="119"/>
      <c r="H174" s="119"/>
      <c r="I174" s="119"/>
      <c r="J174" s="119"/>
      <c r="K174" s="119"/>
      <c r="L174" s="119"/>
      <c r="M174" s="119"/>
      <c r="N174" s="119">
        <f t="shared" si="5"/>
        <v>2.5933550439686783</v>
      </c>
      <c r="O174" s="119">
        <f t="shared" si="6"/>
        <v>3.5382323608093624E-2</v>
      </c>
    </row>
    <row r="175" spans="2:15">
      <c r="B175" s="1" t="s">
        <v>251</v>
      </c>
      <c r="C175" s="1">
        <f>SUMIFS('National Grid'!BT$6:BT$125,'National Grid'!BR$6:BR$125,'Aggregated Table'!B175)</f>
        <v>19.899999999999999</v>
      </c>
      <c r="D175" s="155">
        <f>SUMIFS('National Grid'!BS$6:BS$125,'National Grid'!BR$6:BR$125,'Aggregated Table'!B175)</f>
        <v>17.77638615746174</v>
      </c>
      <c r="G175" s="119"/>
      <c r="H175" s="119"/>
      <c r="I175" s="119"/>
      <c r="J175" s="119"/>
      <c r="K175" s="119"/>
      <c r="L175" s="119"/>
      <c r="M175" s="119"/>
      <c r="N175" s="119">
        <f t="shared" si="5"/>
        <v>11.392068174553987</v>
      </c>
      <c r="O175" s="119">
        <f t="shared" si="6"/>
        <v>0.15542717286434224</v>
      </c>
    </row>
    <row r="176" spans="2:15">
      <c r="B176" s="1" t="s">
        <v>247</v>
      </c>
      <c r="C176" s="1">
        <f>SUMIFS('National Grid'!BT$6:BT$125,'National Grid'!BR$6:BR$125,'Aggregated Table'!B176)</f>
        <v>26.400000000000002</v>
      </c>
      <c r="D176" s="155">
        <f>SUMIFS('National Grid'!BS$6:BS$125,'National Grid'!BR$6:BR$125,'Aggregated Table'!B176)</f>
        <v>43.506818548229518</v>
      </c>
      <c r="G176" s="119"/>
      <c r="H176" s="119"/>
      <c r="I176" s="119"/>
      <c r="J176" s="119"/>
      <c r="K176" s="119"/>
      <c r="L176" s="119"/>
      <c r="M176" s="119"/>
      <c r="N176" s="119">
        <f t="shared" si="5"/>
        <v>27.881518693907079</v>
      </c>
      <c r="O176" s="119">
        <f t="shared" si="6"/>
        <v>0.38040025387470511</v>
      </c>
    </row>
    <row r="177" spans="2:15">
      <c r="B177" s="1" t="s">
        <v>254</v>
      </c>
      <c r="C177" s="1">
        <f>SUMIFS('National Grid'!BT$6:BT$125,'National Grid'!BR$6:BR$125,'Aggregated Table'!B177)</f>
        <v>5</v>
      </c>
      <c r="D177" s="155">
        <f>SUMIFS('National Grid'!BS$6:BS$125,'National Grid'!BR$6:BR$125,'Aggregated Table'!B177)</f>
        <v>182.99992298483016</v>
      </c>
      <c r="G177" s="119"/>
      <c r="H177" s="119"/>
      <c r="I177" s="119"/>
      <c r="J177" s="119"/>
      <c r="K177" s="119"/>
      <c r="L177" s="119"/>
      <c r="M177" s="119"/>
      <c r="N177" s="119">
        <f t="shared" si="5"/>
        <v>117.27623264452036</v>
      </c>
      <c r="O177" s="119">
        <f t="shared" si="6"/>
        <v>1.6000530373258872</v>
      </c>
    </row>
    <row r="178" spans="2:15">
      <c r="B178" s="1" t="s">
        <v>248</v>
      </c>
      <c r="C178" s="1">
        <f>SUMIFS('National Grid'!BT$6:BT$125,'National Grid'!BR$6:BR$125,'Aggregated Table'!B178)</f>
        <v>17.600000000000001</v>
      </c>
      <c r="D178" s="155">
        <f>SUMIFS('National Grid'!BS$6:BS$125,'National Grid'!BR$6:BR$125,'Aggregated Table'!B178)</f>
        <v>27.998119570945413</v>
      </c>
      <c r="G178" s="119"/>
      <c r="H178" s="119"/>
      <c r="I178" s="119"/>
      <c r="J178" s="119"/>
      <c r="K178" s="119"/>
      <c r="L178" s="119"/>
      <c r="M178" s="119"/>
      <c r="N178" s="119">
        <f t="shared" si="5"/>
        <v>17.942706919518653</v>
      </c>
      <c r="O178" s="119">
        <f t="shared" si="6"/>
        <v>0.24480051973911571</v>
      </c>
    </row>
    <row r="179" spans="2:15">
      <c r="B179" s="1" t="s">
        <v>257</v>
      </c>
      <c r="C179" s="1">
        <f>SUMIFS('National Grid'!BT$6:BT$125,'National Grid'!BR$6:BR$125,'Aggregated Table'!B179)</f>
        <v>0</v>
      </c>
      <c r="D179" s="155">
        <f>SUMIFS('National Grid'!BS$6:BS$125,'National Grid'!BR$6:BR$125,'Aggregated Table'!B179)</f>
        <v>0</v>
      </c>
      <c r="G179" s="119"/>
      <c r="H179" s="119"/>
      <c r="I179" s="119"/>
      <c r="J179" s="119"/>
      <c r="K179" s="119"/>
      <c r="L179" s="119"/>
      <c r="M179" s="119"/>
      <c r="N179" s="119">
        <f t="shared" si="5"/>
        <v>0</v>
      </c>
      <c r="O179" s="119">
        <f t="shared" si="6"/>
        <v>0</v>
      </c>
    </row>
    <row r="180" spans="2:15">
      <c r="B180" s="1" t="s">
        <v>259</v>
      </c>
      <c r="C180" s="1">
        <f>SUMIFS('National Grid'!BT$6:BT$125,'National Grid'!BR$6:BR$125,'Aggregated Table'!B180)</f>
        <v>0</v>
      </c>
      <c r="D180" s="155">
        <f>SUMIFS('National Grid'!BS$6:BS$125,'National Grid'!BR$6:BR$125,'Aggregated Table'!B180)</f>
        <v>0</v>
      </c>
      <c r="G180" s="119"/>
      <c r="H180" s="119"/>
      <c r="I180" s="119"/>
      <c r="J180" s="119"/>
      <c r="K180" s="119"/>
      <c r="L180" s="119"/>
      <c r="M180" s="119"/>
      <c r="N180" s="119">
        <f t="shared" si="5"/>
        <v>0</v>
      </c>
      <c r="O180" s="119">
        <f t="shared" si="6"/>
        <v>0</v>
      </c>
    </row>
    <row r="181" spans="2:15">
      <c r="B181" s="1" t="s">
        <v>261</v>
      </c>
      <c r="C181" s="1">
        <f>SUMIFS('National Grid'!BT$6:BT$125,'National Grid'!BR$6:BR$125,'Aggregated Table'!B181)</f>
        <v>34.5</v>
      </c>
      <c r="D181" s="155">
        <f>SUMIFS('National Grid'!BS$6:BS$125,'National Grid'!BR$6:BR$125,'Aggregated Table'!B181)</f>
        <v>67.160061712030014</v>
      </c>
      <c r="G181" s="119"/>
      <c r="H181" s="119"/>
      <c r="I181" s="119"/>
      <c r="J181" s="119"/>
      <c r="K181" s="119"/>
      <c r="L181" s="119"/>
      <c r="M181" s="119"/>
      <c r="N181" s="119">
        <f t="shared" si="5"/>
        <v>43.039794188401288</v>
      </c>
      <c r="O181" s="119">
        <f t="shared" si="6"/>
        <v>0.58721150794274135</v>
      </c>
    </row>
    <row r="182" spans="2:15">
      <c r="B182" s="1" t="s">
        <v>263</v>
      </c>
      <c r="C182" s="1">
        <f>SUMIFS('National Grid'!BT$6:BT$125,'National Grid'!BR$6:BR$125,'Aggregated Table'!B182)</f>
        <v>80</v>
      </c>
      <c r="D182" s="155">
        <f>SUMIFS('National Grid'!BS$6:BS$125,'National Grid'!BR$6:BR$125,'Aggregated Table'!B182)</f>
        <v>41.943968722944646</v>
      </c>
      <c r="G182" s="119"/>
      <c r="H182" s="119"/>
      <c r="I182" s="119"/>
      <c r="J182" s="119"/>
      <c r="K182" s="119"/>
      <c r="L182" s="119"/>
      <c r="M182" s="119"/>
      <c r="N182" s="119">
        <f t="shared" si="5"/>
        <v>26.87996013197397</v>
      </c>
      <c r="O182" s="119">
        <f t="shared" si="6"/>
        <v>0.36673553440901124</v>
      </c>
    </row>
    <row r="183" spans="2:15">
      <c r="B183" s="1" t="s">
        <v>252</v>
      </c>
      <c r="C183" s="1">
        <f>SUMIFS('National Grid'!BT$6:BT$125,'National Grid'!BR$6:BR$125,'Aggregated Table'!B183)</f>
        <v>7</v>
      </c>
      <c r="D183" s="155">
        <f>SUMIFS('National Grid'!BS$6:BS$125,'National Grid'!BR$6:BR$125,'Aggregated Table'!B183)</f>
        <v>274.07766657044215</v>
      </c>
      <c r="G183" s="119"/>
      <c r="H183" s="119"/>
      <c r="I183" s="119"/>
      <c r="J183" s="119"/>
      <c r="K183" s="119"/>
      <c r="L183" s="119"/>
      <c r="M183" s="119"/>
      <c r="N183" s="119">
        <f t="shared" si="5"/>
        <v>175.64376893233415</v>
      </c>
      <c r="O183" s="119">
        <f t="shared" si="6"/>
        <v>2.3963879093849703</v>
      </c>
    </row>
    <row r="184" spans="2:15">
      <c r="B184" s="1" t="s">
        <v>255</v>
      </c>
      <c r="C184" s="1">
        <f>SUMIFS('National Grid'!BT$6:BT$125,'National Grid'!BR$6:BR$125,'Aggregated Table'!B184)</f>
        <v>9.4</v>
      </c>
      <c r="D184" s="155">
        <f>SUMIFS('National Grid'!BS$6:BS$125,'National Grid'!BR$6:BR$125,'Aggregated Table'!B184)</f>
        <v>80.565854525566024</v>
      </c>
      <c r="G184" s="119"/>
      <c r="H184" s="119"/>
      <c r="I184" s="119"/>
      <c r="J184" s="119"/>
      <c r="K184" s="119"/>
      <c r="L184" s="119"/>
      <c r="M184" s="119"/>
      <c r="N184" s="119">
        <f t="shared" si="5"/>
        <v>51.63095013612709</v>
      </c>
      <c r="O184" s="119">
        <f t="shared" si="6"/>
        <v>0.70442456005335852</v>
      </c>
    </row>
    <row r="185" spans="2:15">
      <c r="B185" s="1" t="s">
        <v>256</v>
      </c>
      <c r="C185" s="1">
        <f>SUMIFS('National Grid'!BT$6:BT$125,'National Grid'!BR$6:BR$125,'Aggregated Table'!B185)</f>
        <v>5</v>
      </c>
      <c r="D185" s="155">
        <f>SUMIFS('National Grid'!BS$6:BS$125,'National Grid'!BR$6:BR$125,'Aggregated Table'!B185)</f>
        <v>42.664841944854885</v>
      </c>
      <c r="G185" s="119"/>
      <c r="H185" s="119"/>
      <c r="I185" s="119"/>
      <c r="J185" s="119"/>
      <c r="K185" s="119"/>
      <c r="L185" s="119"/>
      <c r="M185" s="119"/>
      <c r="N185" s="119">
        <f t="shared" si="5"/>
        <v>27.341934619728033</v>
      </c>
      <c r="O185" s="119">
        <f t="shared" si="6"/>
        <v>0.37303846268040719</v>
      </c>
    </row>
    <row r="186" spans="2:15">
      <c r="B186" s="1" t="s">
        <v>266</v>
      </c>
      <c r="C186" s="1">
        <f>SUMIFS('National Grid'!BT$6:BT$125,'National Grid'!BR$6:BR$125,'Aggregated Table'!B186)</f>
        <v>3</v>
      </c>
      <c r="D186" s="155">
        <f>SUMIFS('National Grid'!BS$6:BS$125,'National Grid'!BR$6:BR$125,'Aggregated Table'!B186)</f>
        <v>172.89950703008137</v>
      </c>
      <c r="G186" s="119"/>
      <c r="H186" s="119"/>
      <c r="I186" s="119"/>
      <c r="J186" s="119"/>
      <c r="K186" s="119"/>
      <c r="L186" s="119"/>
      <c r="M186" s="119"/>
      <c r="N186" s="119">
        <f t="shared" si="5"/>
        <v>110.80334067825576</v>
      </c>
      <c r="O186" s="119">
        <f t="shared" si="6"/>
        <v>1.5117404251506876</v>
      </c>
    </row>
    <row r="187" spans="2:15">
      <c r="B187" s="1" t="s">
        <v>258</v>
      </c>
      <c r="C187" s="1">
        <f>SUMIFS('National Grid'!BT$6:BT$125,'National Grid'!BR$6:BR$125,'Aggregated Table'!B187)</f>
        <v>4.4000000000000004</v>
      </c>
      <c r="D187" s="155">
        <f>SUMIFS('National Grid'!BS$6:BS$125,'National Grid'!BR$6:BR$125,'Aggregated Table'!B187)</f>
        <v>129.16878072676934</v>
      </c>
      <c r="G187" s="119"/>
      <c r="H187" s="119"/>
      <c r="I187" s="119"/>
      <c r="J187" s="119"/>
      <c r="K187" s="119"/>
      <c r="L187" s="119"/>
      <c r="M187" s="119"/>
      <c r="N187" s="119">
        <f t="shared" si="5"/>
        <v>82.778329803873049</v>
      </c>
      <c r="O187" s="119">
        <f t="shared" si="6"/>
        <v>1.1293824421263901</v>
      </c>
    </row>
    <row r="188" spans="2:15">
      <c r="B188" s="1" t="s">
        <v>260</v>
      </c>
      <c r="C188" s="1">
        <f>SUMIFS('National Grid'!BT$6:BT$125,'National Grid'!BR$6:BR$125,'Aggregated Table'!B188)</f>
        <v>9.5</v>
      </c>
      <c r="D188" s="155">
        <f>SUMIFS('National Grid'!BS$6:BS$125,'National Grid'!BR$6:BR$125,'Aggregated Table'!B188)</f>
        <v>57.186898537205266</v>
      </c>
      <c r="G188" s="119"/>
      <c r="H188" s="119"/>
      <c r="I188" s="119"/>
      <c r="J188" s="119"/>
      <c r="K188" s="119"/>
      <c r="L188" s="119"/>
      <c r="M188" s="119"/>
      <c r="N188" s="119">
        <f t="shared" si="5"/>
        <v>36.648452675162147</v>
      </c>
      <c r="O188" s="119">
        <f t="shared" si="6"/>
        <v>0.50001152572773333</v>
      </c>
    </row>
    <row r="189" spans="2:15">
      <c r="B189" s="1" t="s">
        <v>269</v>
      </c>
      <c r="C189" s="1">
        <f>SUMIFS('National Grid'!BT$6:BT$125,'National Grid'!BR$6:BR$125,'Aggregated Table'!B189)</f>
        <v>22.5</v>
      </c>
      <c r="D189" s="155">
        <f>SUMIFS('National Grid'!BS$6:BS$125,'National Grid'!BR$6:BR$125,'Aggregated Table'!B189)</f>
        <v>17.031674189810328</v>
      </c>
      <c r="G189" s="119"/>
      <c r="H189" s="119"/>
      <c r="I189" s="119"/>
      <c r="J189" s="119"/>
      <c r="K189" s="119"/>
      <c r="L189" s="119"/>
      <c r="M189" s="119"/>
      <c r="N189" s="119">
        <f t="shared" si="5"/>
        <v>10.914816531236708</v>
      </c>
      <c r="O189" s="119">
        <f t="shared" si="6"/>
        <v>0.14891581140397506</v>
      </c>
    </row>
    <row r="190" spans="2:15">
      <c r="B190" s="1" t="s">
        <v>262</v>
      </c>
      <c r="C190" s="1">
        <f>SUMIFS('National Grid'!BT$6:BT$125,'National Grid'!BR$6:BR$125,'Aggregated Table'!B190)</f>
        <v>40</v>
      </c>
      <c r="D190" s="155">
        <f>SUMIFS('National Grid'!BS$6:BS$125,'National Grid'!BR$6:BR$125,'Aggregated Table'!B190)</f>
        <v>21.120153130638144</v>
      </c>
      <c r="G190" s="119"/>
      <c r="H190" s="119"/>
      <c r="I190" s="119"/>
      <c r="J190" s="119"/>
      <c r="K190" s="119"/>
      <c r="L190" s="119"/>
      <c r="M190" s="119"/>
      <c r="N190" s="119">
        <f t="shared" si="5"/>
        <v>13.534934614381978</v>
      </c>
      <c r="O190" s="119">
        <f t="shared" si="6"/>
        <v>0.18466327534064983</v>
      </c>
    </row>
    <row r="191" spans="2:15">
      <c r="B191" s="1" t="s">
        <v>265</v>
      </c>
      <c r="C191" s="1">
        <f>SUMIFS('National Grid'!BT$6:BT$125,'National Grid'!BR$6:BR$125,'Aggregated Table'!B191)</f>
        <v>2.4820000000000002</v>
      </c>
      <c r="D191" s="155">
        <f>SUMIFS('National Grid'!BS$6:BS$125,'National Grid'!BR$6:BR$125,'Aggregated Table'!B191)</f>
        <v>26.789296146516804</v>
      </c>
      <c r="G191" s="119"/>
      <c r="H191" s="119"/>
      <c r="I191" s="119"/>
      <c r="J191" s="119"/>
      <c r="K191" s="119"/>
      <c r="L191" s="119"/>
      <c r="M191" s="119"/>
      <c r="N191" s="119">
        <f t="shared" si="5"/>
        <v>17.168027592679881</v>
      </c>
      <c r="O191" s="119">
        <f t="shared" si="6"/>
        <v>0.23423121697493907</v>
      </c>
    </row>
    <row r="192" spans="2:15">
      <c r="B192" s="1" t="s">
        <v>267</v>
      </c>
      <c r="C192" s="1">
        <f>SUMIFS('National Grid'!BT$6:BT$125,'National Grid'!BR$6:BR$125,'Aggregated Table'!B192)</f>
        <v>7.2</v>
      </c>
      <c r="D192" s="155">
        <f>SUMIFS('National Grid'!BS$6:BS$125,'National Grid'!BR$6:BR$125,'Aggregated Table'!B192)</f>
        <v>420.29742529903751</v>
      </c>
      <c r="G192" s="119"/>
      <c r="H192" s="119"/>
      <c r="I192" s="119"/>
      <c r="J192" s="119"/>
      <c r="K192" s="119"/>
      <c r="L192" s="119"/>
      <c r="M192" s="119"/>
      <c r="N192" s="119">
        <f t="shared" si="5"/>
        <v>269.34928619258937</v>
      </c>
      <c r="O192" s="119">
        <f t="shared" si="6"/>
        <v>3.6748549450795234</v>
      </c>
    </row>
    <row r="193" spans="2:15">
      <c r="B193" s="1" t="s">
        <v>268</v>
      </c>
      <c r="C193" s="1">
        <f>SUMIFS('National Grid'!BT$6:BT$125,'National Grid'!BR$6:BR$125,'Aggregated Table'!B193)</f>
        <v>2</v>
      </c>
      <c r="D193" s="155">
        <f>SUMIFS('National Grid'!BS$6:BS$125,'National Grid'!BR$6:BR$125,'Aggregated Table'!B193)</f>
        <v>450.51098851140762</v>
      </c>
      <c r="G193" s="119"/>
      <c r="H193" s="119"/>
      <c r="I193" s="119"/>
      <c r="J193" s="119"/>
      <c r="K193" s="119"/>
      <c r="L193" s="119"/>
      <c r="M193" s="119"/>
      <c r="N193" s="119">
        <f t="shared" si="5"/>
        <v>288.71176903148961</v>
      </c>
      <c r="O193" s="119">
        <f t="shared" si="6"/>
        <v>3.9390261141045393</v>
      </c>
    </row>
    <row r="194" spans="2:15">
      <c r="B194" s="1" t="s">
        <v>273</v>
      </c>
      <c r="C194" s="1">
        <f>SUMIFS('National Grid'!BT$6:BT$125,'National Grid'!BR$6:BR$125,'Aggregated Table'!B194)</f>
        <v>40</v>
      </c>
      <c r="D194" s="155">
        <f>SUMIFS('National Grid'!BS$6:BS$125,'National Grid'!BR$6:BR$125,'Aggregated Table'!B194)</f>
        <v>13.089179503680214</v>
      </c>
      <c r="G194" s="119"/>
      <c r="H194" s="119"/>
      <c r="I194" s="119"/>
      <c r="J194" s="119"/>
      <c r="K194" s="119"/>
      <c r="L194" s="119"/>
      <c r="M194" s="119"/>
      <c r="N194" s="119">
        <f t="shared" si="5"/>
        <v>8.3882530416514793</v>
      </c>
      <c r="O194" s="119">
        <f t="shared" si="6"/>
        <v>0.11444475538223794</v>
      </c>
    </row>
    <row r="195" spans="2:15">
      <c r="B195" s="1" t="s">
        <v>233</v>
      </c>
      <c r="C195" s="1">
        <f>SUMIFS('National Grid'!BT$6:BT$125,'National Grid'!BR$6:BR$125,'Aggregated Table'!B195)</f>
        <v>85</v>
      </c>
      <c r="D195" s="155">
        <f>SUMIFS('National Grid'!BS$6:BS$125,'National Grid'!BR$6:BR$125,'Aggregated Table'!B195)</f>
        <v>65.519671246015676</v>
      </c>
      <c r="G195" s="119"/>
      <c r="H195" s="119"/>
      <c r="I195" s="119"/>
      <c r="J195" s="119"/>
      <c r="K195" s="119"/>
      <c r="L195" s="119"/>
      <c r="M195" s="119"/>
      <c r="N195" s="119">
        <f t="shared" si="5"/>
        <v>41.988543396694133</v>
      </c>
      <c r="O195" s="119">
        <f t="shared" si="6"/>
        <v>0.57286881476158491</v>
      </c>
    </row>
    <row r="196" spans="2:15">
      <c r="B196" s="1" t="s">
        <v>270</v>
      </c>
      <c r="C196" s="1">
        <f>SUMIFS('National Grid'!BT$6:BT$125,'National Grid'!BR$6:BR$125,'Aggregated Table'!B196)</f>
        <v>10</v>
      </c>
      <c r="D196" s="155">
        <f>SUMIFS('National Grid'!BS$6:BS$125,'National Grid'!BR$6:BR$125,'Aggregated Table'!B196)</f>
        <v>34.7009190267664</v>
      </c>
      <c r="G196" s="119"/>
      <c r="H196" s="119"/>
      <c r="I196" s="119"/>
      <c r="J196" s="119"/>
      <c r="K196" s="119"/>
      <c r="L196" s="119"/>
      <c r="M196" s="119"/>
      <c r="N196" s="119">
        <f t="shared" ref="N196:N259" si="7">0.640854*D196</f>
        <v>22.238222761979355</v>
      </c>
      <c r="O196" s="119">
        <f t="shared" si="6"/>
        <v>0.30340619810741593</v>
      </c>
    </row>
    <row r="197" spans="2:15">
      <c r="B197" s="1" t="s">
        <v>272</v>
      </c>
      <c r="C197" s="1">
        <f>SUMIFS('National Grid'!BT$6:BT$125,'National Grid'!BR$6:BR$125,'Aggregated Table'!B197)</f>
        <v>15.6</v>
      </c>
      <c r="D197" s="155">
        <f>SUMIFS('National Grid'!BS$6:BS$125,'National Grid'!BR$6:BR$125,'Aggregated Table'!B197)</f>
        <v>34.931746285954496</v>
      </c>
      <c r="G197" s="119"/>
      <c r="H197" s="119"/>
      <c r="I197" s="119"/>
      <c r="J197" s="119"/>
      <c r="K197" s="119"/>
      <c r="L197" s="119"/>
      <c r="M197" s="119"/>
      <c r="N197" s="119">
        <f t="shared" si="7"/>
        <v>22.386149334339084</v>
      </c>
      <c r="O197" s="119">
        <f t="shared" si="6"/>
        <v>0.30542442768444228</v>
      </c>
    </row>
    <row r="198" spans="2:15">
      <c r="B198" s="1" t="s">
        <v>278</v>
      </c>
      <c r="C198" s="1">
        <f>SUMIFS('National Grid'!BT$6:BT$125,'National Grid'!BR$6:BR$125,'Aggregated Table'!B198)</f>
        <v>0</v>
      </c>
      <c r="D198" s="155">
        <f>SUMIFS('National Grid'!BS$6:BS$125,'National Grid'!BR$6:BR$125,'Aggregated Table'!B198)</f>
        <v>0</v>
      </c>
      <c r="G198" s="119"/>
      <c r="H198" s="119"/>
      <c r="I198" s="119"/>
      <c r="J198" s="119"/>
      <c r="K198" s="119"/>
      <c r="L198" s="119"/>
      <c r="M198" s="119"/>
      <c r="N198" s="119">
        <f t="shared" si="7"/>
        <v>0</v>
      </c>
      <c r="O198" s="119">
        <f t="shared" si="6"/>
        <v>0</v>
      </c>
    </row>
    <row r="199" spans="2:15">
      <c r="B199" s="1" t="s">
        <v>264</v>
      </c>
      <c r="C199" s="1">
        <f>SUMIFS('National Grid'!BT$6:BT$125,'National Grid'!BR$6:BR$125,'Aggregated Table'!B199)</f>
        <v>82</v>
      </c>
      <c r="D199" s="155">
        <f>SUMIFS('National Grid'!BS$6:BS$125,'National Grid'!BR$6:BR$125,'Aggregated Table'!B199)</f>
        <v>80.719168924432395</v>
      </c>
      <c r="G199" s="119"/>
      <c r="H199" s="119"/>
      <c r="I199" s="119"/>
      <c r="J199" s="119"/>
      <c r="K199" s="119"/>
      <c r="L199" s="119"/>
      <c r="M199" s="119"/>
      <c r="N199" s="119">
        <f t="shared" si="7"/>
        <v>51.729202281898203</v>
      </c>
      <c r="O199" s="119">
        <f t="shared" si="6"/>
        <v>0.70576505881188678</v>
      </c>
    </row>
    <row r="200" spans="2:15">
      <c r="B200" s="1" t="s">
        <v>271</v>
      </c>
      <c r="C200" s="1">
        <f>SUMIFS('National Grid'!BT$6:BT$125,'National Grid'!BR$6:BR$125,'Aggregated Table'!B200)</f>
        <v>47</v>
      </c>
      <c r="D200" s="155">
        <f>SUMIFS('National Grid'!BS$6:BS$125,'National Grid'!BR$6:BR$125,'Aggregated Table'!B200)</f>
        <v>109.43815636289943</v>
      </c>
      <c r="G200" s="119"/>
      <c r="H200" s="119"/>
      <c r="I200" s="119"/>
      <c r="J200" s="119"/>
      <c r="K200" s="119"/>
      <c r="L200" s="119"/>
      <c r="M200" s="119"/>
      <c r="N200" s="119">
        <f t="shared" si="7"/>
        <v>70.133880257789556</v>
      </c>
      <c r="O200" s="119">
        <f t="shared" si="6"/>
        <v>0.95686846000650028</v>
      </c>
    </row>
    <row r="201" spans="2:15">
      <c r="B201" s="1" t="s">
        <v>281</v>
      </c>
      <c r="C201" s="1">
        <f>SUMIFS('National Grid'!BT$6:BT$125,'National Grid'!BR$6:BR$125,'Aggregated Table'!B201)</f>
        <v>0</v>
      </c>
      <c r="D201" s="155">
        <f>SUMIFS('National Grid'!BS$6:BS$125,'National Grid'!BR$6:BR$125,'Aggregated Table'!B201)</f>
        <v>0</v>
      </c>
      <c r="G201" s="119"/>
      <c r="H201" s="119"/>
      <c r="I201" s="119"/>
      <c r="J201" s="119"/>
      <c r="K201" s="119"/>
      <c r="L201" s="119"/>
      <c r="M201" s="119"/>
      <c r="N201" s="119">
        <f t="shared" si="7"/>
        <v>0</v>
      </c>
      <c r="O201" s="119">
        <f t="shared" si="6"/>
        <v>0</v>
      </c>
    </row>
    <row r="202" spans="2:15">
      <c r="B202" s="1" t="s">
        <v>225</v>
      </c>
      <c r="C202" s="1">
        <f>SUMIFS('National Grid'!BT$6:BT$125,'National Grid'!BR$6:BR$125,'Aggregated Table'!B202)</f>
        <v>4.5726141319818359</v>
      </c>
      <c r="D202" s="155">
        <f>SUMIFS('National Grid'!BS$6:BS$125,'National Grid'!BR$6:BR$125,'Aggregated Table'!B202)</f>
        <v>21.756982238006472</v>
      </c>
      <c r="G202" s="119"/>
      <c r="H202" s="119"/>
      <c r="I202" s="119"/>
      <c r="J202" s="119"/>
      <c r="K202" s="119"/>
      <c r="L202" s="119"/>
      <c r="M202" s="119"/>
      <c r="N202" s="119">
        <f t="shared" si="7"/>
        <v>13.9430490951554</v>
      </c>
      <c r="O202" s="119">
        <f t="shared" si="6"/>
        <v>0.1902313670145829</v>
      </c>
    </row>
    <row r="203" spans="2:15">
      <c r="B203" s="1" t="s">
        <v>275</v>
      </c>
      <c r="C203" s="1">
        <f>SUMIFS('National Grid'!BT$6:BT$125,'National Grid'!BR$6:BR$125,'Aggregated Table'!B203)</f>
        <v>41.5</v>
      </c>
      <c r="D203" s="155">
        <f>SUMIFS('National Grid'!BS$6:BS$125,'National Grid'!BR$6:BR$125,'Aggregated Table'!B203)</f>
        <v>141.67474978316682</v>
      </c>
      <c r="G203" s="119"/>
      <c r="H203" s="119"/>
      <c r="I203" s="119"/>
      <c r="J203" s="119"/>
      <c r="K203" s="119"/>
      <c r="L203" s="119"/>
      <c r="M203" s="119"/>
      <c r="N203" s="119">
        <f t="shared" si="7"/>
        <v>90.792830097541597</v>
      </c>
      <c r="O203" s="119">
        <f t="shared" ref="O203:O266" si="8">N203/(0.5*E$137)</f>
        <v>1.2387279185999025</v>
      </c>
    </row>
    <row r="204" spans="2:15">
      <c r="B204" s="1" t="s">
        <v>276</v>
      </c>
      <c r="C204" s="1">
        <f>SUMIFS('National Grid'!BT$6:BT$125,'National Grid'!BR$6:BR$125,'Aggregated Table'!B204)</f>
        <v>10</v>
      </c>
      <c r="D204" s="155">
        <f>SUMIFS('National Grid'!BS$6:BS$125,'National Grid'!BR$6:BR$125,'Aggregated Table'!B204)</f>
        <v>21.721144438779685</v>
      </c>
      <c r="G204" s="119"/>
      <c r="H204" s="119"/>
      <c r="I204" s="119"/>
      <c r="J204" s="119"/>
      <c r="K204" s="119"/>
      <c r="L204" s="119"/>
      <c r="M204" s="119"/>
      <c r="N204" s="119">
        <f t="shared" si="7"/>
        <v>13.920082298169717</v>
      </c>
      <c r="O204" s="119">
        <f t="shared" si="8"/>
        <v>0.18991802054662482</v>
      </c>
    </row>
    <row r="205" spans="2:15">
      <c r="B205" s="1" t="s">
        <v>277</v>
      </c>
      <c r="C205" s="1">
        <f>SUMIFS('National Grid'!BT$6:BT$125,'National Grid'!BR$6:BR$125,'Aggregated Table'!B205)</f>
        <v>2</v>
      </c>
      <c r="D205" s="155">
        <f>SUMIFS('National Grid'!BS$6:BS$125,'National Grid'!BR$6:BR$125,'Aggregated Table'!B205)</f>
        <v>20.826047142577426</v>
      </c>
      <c r="G205" s="119"/>
      <c r="H205" s="119"/>
      <c r="I205" s="119"/>
      <c r="J205" s="119"/>
      <c r="K205" s="119"/>
      <c r="L205" s="119"/>
      <c r="M205" s="119"/>
      <c r="N205" s="119">
        <f t="shared" si="7"/>
        <v>13.346455615509315</v>
      </c>
      <c r="O205" s="119">
        <f t="shared" si="8"/>
        <v>0.1820917705453648</v>
      </c>
    </row>
    <row r="206" spans="2:15">
      <c r="B206" s="1" t="s">
        <v>279</v>
      </c>
      <c r="C206" s="1">
        <f>SUMIFS('National Grid'!BT$6:BT$125,'National Grid'!BR$6:BR$125,'Aggregated Table'!B206)</f>
        <v>5</v>
      </c>
      <c r="D206" s="155">
        <f>SUMIFS('National Grid'!BS$6:BS$125,'National Grid'!BR$6:BR$125,'Aggregated Table'!B206)</f>
        <v>9.4470293697795533</v>
      </c>
      <c r="G206" s="119"/>
      <c r="H206" s="119"/>
      <c r="I206" s="119"/>
      <c r="J206" s="119"/>
      <c r="K206" s="119"/>
      <c r="L206" s="119"/>
      <c r="M206" s="119"/>
      <c r="N206" s="119">
        <f t="shared" si="7"/>
        <v>6.0541665597407066</v>
      </c>
      <c r="O206" s="119">
        <f t="shared" si="8"/>
        <v>8.2599750810144659E-2</v>
      </c>
    </row>
    <row r="207" spans="2:15">
      <c r="B207" s="1" t="s">
        <v>286</v>
      </c>
      <c r="C207" s="1">
        <f>SUMIFS('National Grid'!BT$6:BT$125,'National Grid'!BR$6:BR$125,'Aggregated Table'!B207)</f>
        <v>0</v>
      </c>
      <c r="D207" s="155">
        <f>SUMIFS('National Grid'!BS$6:BS$125,'National Grid'!BR$6:BR$125,'Aggregated Table'!B207)</f>
        <v>0</v>
      </c>
      <c r="G207" s="119"/>
      <c r="H207" s="119"/>
      <c r="I207" s="119"/>
      <c r="J207" s="119"/>
      <c r="K207" s="119"/>
      <c r="L207" s="119"/>
      <c r="M207" s="119"/>
      <c r="N207" s="119">
        <f t="shared" si="7"/>
        <v>0</v>
      </c>
      <c r="O207" s="119">
        <f t="shared" si="8"/>
        <v>0</v>
      </c>
    </row>
    <row r="208" spans="2:15">
      <c r="B208" s="1" t="s">
        <v>280</v>
      </c>
      <c r="C208" s="1">
        <f>SUMIFS('National Grid'!BT$6:BT$125,'National Grid'!BR$6:BR$125,'Aggregated Table'!B208)</f>
        <v>15</v>
      </c>
      <c r="D208" s="155">
        <f>SUMIFS('National Grid'!BS$6:BS$125,'National Grid'!BR$6:BR$125,'Aggregated Table'!B208)</f>
        <v>52.12973064640785</v>
      </c>
      <c r="G208" s="119"/>
      <c r="H208" s="119"/>
      <c r="I208" s="119"/>
      <c r="J208" s="119"/>
      <c r="K208" s="119"/>
      <c r="L208" s="119"/>
      <c r="M208" s="119"/>
      <c r="N208" s="119">
        <f t="shared" si="7"/>
        <v>33.407546403673059</v>
      </c>
      <c r="O208" s="119">
        <f t="shared" si="8"/>
        <v>0.45579436589533201</v>
      </c>
    </row>
    <row r="209" spans="2:15">
      <c r="B209" s="1" t="s">
        <v>282</v>
      </c>
      <c r="C209" s="1">
        <f>SUMIFS('National Grid'!BT$6:BT$125,'National Grid'!BR$6:BR$125,'Aggregated Table'!B209)</f>
        <v>10</v>
      </c>
      <c r="D209" s="155">
        <f>SUMIFS('National Grid'!BS$6:BS$125,'National Grid'!BR$6:BR$125,'Aggregated Table'!B209)</f>
        <v>24.520247523324027</v>
      </c>
      <c r="G209" s="119"/>
      <c r="H209" s="119"/>
      <c r="I209" s="119"/>
      <c r="J209" s="119"/>
      <c r="K209" s="119"/>
      <c r="L209" s="119"/>
      <c r="M209" s="119"/>
      <c r="N209" s="119">
        <f t="shared" si="7"/>
        <v>15.713898706312296</v>
      </c>
      <c r="O209" s="119">
        <f t="shared" si="8"/>
        <v>0.21439187451969285</v>
      </c>
    </row>
    <row r="210" spans="2:15">
      <c r="B210" s="1" t="s">
        <v>283</v>
      </c>
      <c r="C210" s="1">
        <f>SUMIFS('National Grid'!BT$6:BT$125,'National Grid'!BR$6:BR$125,'Aggregated Table'!B210)</f>
        <v>15</v>
      </c>
      <c r="D210" s="155">
        <f>SUMIFS('National Grid'!BS$6:BS$125,'National Grid'!BR$6:BR$125,'Aggregated Table'!B210)</f>
        <v>43.113309495206202</v>
      </c>
      <c r="G210" s="119"/>
      <c r="H210" s="119"/>
      <c r="I210" s="119"/>
      <c r="J210" s="119"/>
      <c r="K210" s="119"/>
      <c r="L210" s="119"/>
      <c r="M210" s="119"/>
      <c r="N210" s="119">
        <f t="shared" si="7"/>
        <v>27.629336843240878</v>
      </c>
      <c r="O210" s="119">
        <f t="shared" si="8"/>
        <v>0.37695962206877054</v>
      </c>
    </row>
    <row r="211" spans="2:15">
      <c r="B211" s="1" t="s">
        <v>284</v>
      </c>
      <c r="C211" s="1">
        <f>SUMIFS('National Grid'!BT$6:BT$125,'National Grid'!BR$6:BR$125,'Aggregated Table'!B211)</f>
        <v>32.9</v>
      </c>
      <c r="D211" s="155">
        <f>SUMIFS('National Grid'!BS$6:BS$125,'National Grid'!BR$6:BR$125,'Aggregated Table'!B211)</f>
        <v>53.189077864327309</v>
      </c>
      <c r="G211" s="119"/>
      <c r="H211" s="119"/>
      <c r="I211" s="119"/>
      <c r="J211" s="119"/>
      <c r="K211" s="119"/>
      <c r="L211" s="119"/>
      <c r="M211" s="119"/>
      <c r="N211" s="119">
        <f t="shared" si="7"/>
        <v>34.086433305665615</v>
      </c>
      <c r="O211" s="119">
        <f t="shared" si="8"/>
        <v>0.4650567289934589</v>
      </c>
    </row>
    <row r="212" spans="2:15">
      <c r="B212" s="1" t="s">
        <v>285</v>
      </c>
      <c r="C212" s="1">
        <f>SUMIFS('National Grid'!BT$6:BT$125,'National Grid'!BR$6:BR$125,'Aggregated Table'!B212)</f>
        <v>15</v>
      </c>
      <c r="D212" s="155">
        <f>SUMIFS('National Grid'!BS$6:BS$125,'National Grid'!BR$6:BR$125,'Aggregated Table'!B212)</f>
        <v>39.441542553715486</v>
      </c>
      <c r="G212" s="119"/>
      <c r="H212" s="119"/>
      <c r="I212" s="119"/>
      <c r="J212" s="119"/>
      <c r="K212" s="119"/>
      <c r="L212" s="119"/>
      <c r="M212" s="119"/>
      <c r="N212" s="119">
        <f t="shared" si="7"/>
        <v>25.276270311718786</v>
      </c>
      <c r="O212" s="119">
        <f t="shared" si="8"/>
        <v>0.34485566403829632</v>
      </c>
    </row>
    <row r="213" spans="2:15">
      <c r="B213" s="1" t="s">
        <v>291</v>
      </c>
      <c r="C213" s="1">
        <f>SUMIFS('National Grid'!BT$6:BT$125,'National Grid'!BR$6:BR$125,'Aggregated Table'!B213)</f>
        <v>0</v>
      </c>
      <c r="D213" s="155">
        <f>SUMIFS('National Grid'!BS$6:BS$125,'National Grid'!BR$6:BR$125,'Aggregated Table'!B213)</f>
        <v>0</v>
      </c>
      <c r="G213" s="119"/>
      <c r="H213" s="119"/>
      <c r="I213" s="119"/>
      <c r="J213" s="119"/>
      <c r="K213" s="119"/>
      <c r="L213" s="119"/>
      <c r="M213" s="119"/>
      <c r="N213" s="119">
        <f t="shared" si="7"/>
        <v>0</v>
      </c>
      <c r="O213" s="119">
        <f t="shared" si="8"/>
        <v>0</v>
      </c>
    </row>
    <row r="214" spans="2:15">
      <c r="B214" s="1" t="s">
        <v>293</v>
      </c>
      <c r="C214" s="1">
        <f>SUMIFS('National Grid'!BT$6:BT$125,'National Grid'!BR$6:BR$125,'Aggregated Table'!B214)</f>
        <v>0</v>
      </c>
      <c r="D214" s="155">
        <f>SUMIFS('National Grid'!BS$6:BS$125,'National Grid'!BR$6:BR$125,'Aggregated Table'!B214)</f>
        <v>0</v>
      </c>
      <c r="G214" s="119"/>
      <c r="H214" s="119"/>
      <c r="I214" s="119"/>
      <c r="J214" s="119"/>
      <c r="K214" s="119"/>
      <c r="L214" s="119"/>
      <c r="M214" s="119"/>
      <c r="N214" s="119">
        <f t="shared" si="7"/>
        <v>0</v>
      </c>
      <c r="O214" s="119">
        <f t="shared" si="8"/>
        <v>0</v>
      </c>
    </row>
    <row r="215" spans="2:15">
      <c r="B215" s="1" t="s">
        <v>295</v>
      </c>
      <c r="C215" s="1">
        <f>SUMIFS('National Grid'!BT$6:BT$125,'National Grid'!BR$6:BR$125,'Aggregated Table'!B215)</f>
        <v>0</v>
      </c>
      <c r="D215" s="155">
        <f>SUMIFS('National Grid'!BS$6:BS$125,'National Grid'!BR$6:BR$125,'Aggregated Table'!B215)</f>
        <v>0</v>
      </c>
      <c r="G215" s="119"/>
      <c r="H215" s="119"/>
      <c r="I215" s="119"/>
      <c r="J215" s="119"/>
      <c r="K215" s="119"/>
      <c r="L215" s="119"/>
      <c r="M215" s="119"/>
      <c r="N215" s="119">
        <f t="shared" si="7"/>
        <v>0</v>
      </c>
      <c r="O215" s="119">
        <f t="shared" si="8"/>
        <v>0</v>
      </c>
    </row>
    <row r="216" spans="2:15">
      <c r="B216" s="1" t="s">
        <v>297</v>
      </c>
      <c r="C216" s="1">
        <f>SUMIFS('National Grid'!BT$6:BT$125,'National Grid'!BR$6:BR$125,'Aggregated Table'!B216)</f>
        <v>0</v>
      </c>
      <c r="D216" s="155">
        <f>SUMIFS('National Grid'!BS$6:BS$125,'National Grid'!BR$6:BR$125,'Aggregated Table'!B216)</f>
        <v>0</v>
      </c>
      <c r="G216" s="119"/>
      <c r="H216" s="119"/>
      <c r="I216" s="119"/>
      <c r="J216" s="119"/>
      <c r="K216" s="119"/>
      <c r="L216" s="119"/>
      <c r="M216" s="119"/>
      <c r="N216" s="119">
        <f t="shared" si="7"/>
        <v>0</v>
      </c>
      <c r="O216" s="119">
        <f t="shared" si="8"/>
        <v>0</v>
      </c>
    </row>
    <row r="217" spans="2:15">
      <c r="B217" s="1" t="s">
        <v>287</v>
      </c>
      <c r="C217" s="1">
        <f>SUMIFS('National Grid'!BT$6:BT$125,'National Grid'!BR$6:BR$125,'Aggregated Table'!B217)</f>
        <v>14</v>
      </c>
      <c r="D217" s="155">
        <f>SUMIFS('National Grid'!BS$6:BS$125,'National Grid'!BR$6:BR$125,'Aggregated Table'!B217)</f>
        <v>77.468400968729284</v>
      </c>
      <c r="G217" s="119"/>
      <c r="H217" s="119"/>
      <c r="I217" s="119"/>
      <c r="J217" s="119"/>
      <c r="K217" s="119"/>
      <c r="L217" s="119"/>
      <c r="M217" s="119"/>
      <c r="N217" s="119">
        <f t="shared" si="7"/>
        <v>49.64593463441404</v>
      </c>
      <c r="O217" s="119">
        <f t="shared" si="8"/>
        <v>0.67734208979459598</v>
      </c>
    </row>
    <row r="218" spans="2:15">
      <c r="B218" s="1" t="s">
        <v>288</v>
      </c>
      <c r="C218" s="1">
        <f>SUMIFS('National Grid'!BT$6:BT$125,'National Grid'!BR$6:BR$125,'Aggregated Table'!B218)</f>
        <v>17.5</v>
      </c>
      <c r="D218" s="155">
        <f>SUMIFS('National Grid'!BS$6:BS$125,'National Grid'!BR$6:BR$125,'Aggregated Table'!B218)</f>
        <v>297.18871939183589</v>
      </c>
      <c r="G218" s="119"/>
      <c r="H218" s="119"/>
      <c r="I218" s="119"/>
      <c r="J218" s="119"/>
      <c r="K218" s="119"/>
      <c r="L218" s="119"/>
      <c r="M218" s="119"/>
      <c r="N218" s="119">
        <f t="shared" si="7"/>
        <v>190.4545795771356</v>
      </c>
      <c r="O218" s="119">
        <f t="shared" si="8"/>
        <v>2.5984585423094191</v>
      </c>
    </row>
    <row r="219" spans="2:15">
      <c r="B219" s="1" t="s">
        <v>289</v>
      </c>
      <c r="C219" s="1">
        <f>SUMIFS('National Grid'!BT$6:BT$125,'National Grid'!BR$6:BR$125,'Aggregated Table'!B219)</f>
        <v>2</v>
      </c>
      <c r="D219" s="155">
        <f>SUMIFS('National Grid'!BS$6:BS$125,'National Grid'!BR$6:BR$125,'Aggregated Table'!B219)</f>
        <v>48.313414878272326</v>
      </c>
      <c r="G219" s="119"/>
      <c r="H219" s="119"/>
      <c r="I219" s="119"/>
      <c r="J219" s="119"/>
      <c r="K219" s="119"/>
      <c r="L219" s="119"/>
      <c r="M219" s="119"/>
      <c r="N219" s="119">
        <f t="shared" si="7"/>
        <v>30.961845178400335</v>
      </c>
      <c r="O219" s="119">
        <f t="shared" si="8"/>
        <v>0.4224265505618463</v>
      </c>
    </row>
    <row r="220" spans="2:15">
      <c r="B220" s="1" t="s">
        <v>290</v>
      </c>
      <c r="C220" s="1">
        <f>SUMIFS('National Grid'!BT$6:BT$125,'National Grid'!BR$6:BR$125,'Aggregated Table'!B220)</f>
        <v>10</v>
      </c>
      <c r="D220" s="155">
        <f>SUMIFS('National Grid'!BS$6:BS$125,'National Grid'!BR$6:BR$125,'Aggregated Table'!B220)</f>
        <v>440.02620200726483</v>
      </c>
      <c r="G220" s="119"/>
      <c r="H220" s="119"/>
      <c r="I220" s="119"/>
      <c r="J220" s="119"/>
      <c r="K220" s="119"/>
      <c r="L220" s="119"/>
      <c r="M220" s="119"/>
      <c r="N220" s="119">
        <f t="shared" si="7"/>
        <v>281.9925516611637</v>
      </c>
      <c r="O220" s="119">
        <f t="shared" si="8"/>
        <v>3.8473527722908503</v>
      </c>
    </row>
    <row r="221" spans="2:15">
      <c r="B221" s="1" t="s">
        <v>302</v>
      </c>
      <c r="C221" s="1">
        <f>SUMIFS('National Grid'!BT$6:BT$125,'National Grid'!BR$6:BR$125,'Aggregated Table'!B221)</f>
        <v>0</v>
      </c>
      <c r="D221" s="155">
        <f>SUMIFS('National Grid'!BS$6:BS$125,'National Grid'!BR$6:BR$125,'Aggregated Table'!B221)</f>
        <v>0</v>
      </c>
      <c r="G221" s="119"/>
      <c r="H221" s="119"/>
      <c r="I221" s="119"/>
      <c r="J221" s="119"/>
      <c r="K221" s="119"/>
      <c r="L221" s="119"/>
      <c r="M221" s="119"/>
      <c r="N221" s="119">
        <f t="shared" si="7"/>
        <v>0</v>
      </c>
      <c r="O221" s="119">
        <f t="shared" si="8"/>
        <v>0</v>
      </c>
    </row>
    <row r="222" spans="2:15">
      <c r="B222" s="1" t="s">
        <v>304</v>
      </c>
      <c r="C222" s="1">
        <f>SUMIFS('National Grid'!BT$6:BT$125,'National Grid'!BR$6:BR$125,'Aggregated Table'!B222)</f>
        <v>0</v>
      </c>
      <c r="D222" s="155">
        <f>SUMIFS('National Grid'!BS$6:BS$125,'National Grid'!BR$6:BR$125,'Aggregated Table'!B222)</f>
        <v>0</v>
      </c>
      <c r="G222" s="119"/>
      <c r="H222" s="119"/>
      <c r="I222" s="119"/>
      <c r="J222" s="119"/>
      <c r="K222" s="119"/>
      <c r="L222" s="119"/>
      <c r="M222" s="119"/>
      <c r="N222" s="119">
        <f t="shared" si="7"/>
        <v>0</v>
      </c>
      <c r="O222" s="119">
        <f t="shared" si="8"/>
        <v>0</v>
      </c>
    </row>
    <row r="223" spans="2:15">
      <c r="B223" s="1" t="s">
        <v>292</v>
      </c>
      <c r="C223" s="1">
        <f>SUMIFS('National Grid'!BT$6:BT$125,'National Grid'!BR$6:BR$125,'Aggregated Table'!B223)</f>
        <v>6.25</v>
      </c>
      <c r="D223" s="155">
        <f>SUMIFS('National Grid'!BS$6:BS$125,'National Grid'!BR$6:BR$125,'Aggregated Table'!B223)</f>
        <v>338.56304971575628</v>
      </c>
      <c r="G223" s="119"/>
      <c r="H223" s="119"/>
      <c r="I223" s="119"/>
      <c r="J223" s="119"/>
      <c r="K223" s="119"/>
      <c r="L223" s="119"/>
      <c r="M223" s="119"/>
      <c r="N223" s="119">
        <f t="shared" si="7"/>
        <v>216.96948466254128</v>
      </c>
      <c r="O223" s="119">
        <f t="shared" si="8"/>
        <v>2.9602134645101303</v>
      </c>
    </row>
    <row r="224" spans="2:15">
      <c r="B224" s="1" t="s">
        <v>307</v>
      </c>
      <c r="C224" s="1">
        <f>SUMIFS('National Grid'!BT$6:BT$125,'National Grid'!BR$6:BR$125,'Aggregated Table'!B224)</f>
        <v>0</v>
      </c>
      <c r="D224" s="155">
        <f>SUMIFS('National Grid'!BS$6:BS$125,'National Grid'!BR$6:BR$125,'Aggregated Table'!B224)</f>
        <v>0</v>
      </c>
      <c r="G224" s="119"/>
      <c r="H224" s="119"/>
      <c r="I224" s="119"/>
      <c r="J224" s="119"/>
      <c r="K224" s="119"/>
      <c r="L224" s="119"/>
      <c r="M224" s="119"/>
      <c r="N224" s="119">
        <f t="shared" si="7"/>
        <v>0</v>
      </c>
      <c r="O224" s="119">
        <f t="shared" si="8"/>
        <v>0</v>
      </c>
    </row>
    <row r="225" spans="2:15">
      <c r="B225" s="1" t="s">
        <v>309</v>
      </c>
      <c r="C225" s="1">
        <f>SUMIFS('National Grid'!BT$6:BT$125,'National Grid'!BR$6:BR$125,'Aggregated Table'!B225)</f>
        <v>0</v>
      </c>
      <c r="D225" s="155">
        <f>SUMIFS('National Grid'!BS$6:BS$125,'National Grid'!BR$6:BR$125,'Aggregated Table'!B225)</f>
        <v>0</v>
      </c>
      <c r="G225" s="119"/>
      <c r="H225" s="119"/>
      <c r="I225" s="119"/>
      <c r="J225" s="119"/>
      <c r="K225" s="119"/>
      <c r="L225" s="119"/>
      <c r="M225" s="119"/>
      <c r="N225" s="119">
        <f t="shared" si="7"/>
        <v>0</v>
      </c>
      <c r="O225" s="119">
        <f t="shared" si="8"/>
        <v>0</v>
      </c>
    </row>
    <row r="226" spans="2:15">
      <c r="B226" s="1" t="s">
        <v>311</v>
      </c>
      <c r="C226" s="1">
        <f>SUMIFS('National Grid'!BT$6:BT$125,'National Grid'!BR$6:BR$125,'Aggregated Table'!B226)</f>
        <v>0</v>
      </c>
      <c r="D226" s="155">
        <f>SUMIFS('National Grid'!BS$6:BS$125,'National Grid'!BR$6:BR$125,'Aggregated Table'!B226)</f>
        <v>0</v>
      </c>
      <c r="G226" s="119"/>
      <c r="H226" s="119"/>
      <c r="I226" s="119"/>
      <c r="J226" s="119"/>
      <c r="K226" s="119"/>
      <c r="L226" s="119"/>
      <c r="M226" s="119"/>
      <c r="N226" s="119">
        <f t="shared" si="7"/>
        <v>0</v>
      </c>
      <c r="O226" s="119">
        <f t="shared" si="8"/>
        <v>0</v>
      </c>
    </row>
    <row r="227" spans="2:15">
      <c r="B227" s="1" t="s">
        <v>294</v>
      </c>
      <c r="C227" s="1">
        <f>SUMIFS('National Grid'!BT$6:BT$125,'National Grid'!BR$6:BR$125,'Aggregated Table'!B227)</f>
        <v>5</v>
      </c>
      <c r="D227" s="155">
        <f>SUMIFS('National Grid'!BS$6:BS$125,'National Grid'!BR$6:BR$125,'Aggregated Table'!B227)</f>
        <v>11.710457909816734</v>
      </c>
      <c r="G227" s="119"/>
      <c r="H227" s="119"/>
      <c r="I227" s="119"/>
      <c r="J227" s="119"/>
      <c r="K227" s="119"/>
      <c r="L227" s="119"/>
      <c r="M227" s="119"/>
      <c r="N227" s="119">
        <f t="shared" si="7"/>
        <v>7.5046937933376938</v>
      </c>
      <c r="O227" s="119">
        <f t="shared" si="8"/>
        <v>0.10238995427682482</v>
      </c>
    </row>
    <row r="228" spans="2:15">
      <c r="B228" s="1" t="s">
        <v>314</v>
      </c>
      <c r="C228" s="1">
        <f>SUMIFS('National Grid'!BT$6:BT$125,'National Grid'!BR$6:BR$125,'Aggregated Table'!B228)</f>
        <v>0</v>
      </c>
      <c r="D228" s="155">
        <f>SUMIFS('National Grid'!BS$6:BS$125,'National Grid'!BR$6:BR$125,'Aggregated Table'!B228)</f>
        <v>0</v>
      </c>
      <c r="G228" s="119"/>
      <c r="H228" s="119"/>
      <c r="I228" s="119"/>
      <c r="J228" s="119"/>
      <c r="K228" s="119"/>
      <c r="L228" s="119"/>
      <c r="M228" s="119"/>
      <c r="N228" s="119">
        <f t="shared" si="7"/>
        <v>0</v>
      </c>
      <c r="O228" s="119">
        <f t="shared" si="8"/>
        <v>0</v>
      </c>
    </row>
    <row r="229" spans="2:15">
      <c r="B229" s="1" t="s">
        <v>296</v>
      </c>
      <c r="C229" s="1">
        <f>SUMIFS('National Grid'!BT$6:BT$125,'National Grid'!BR$6:BR$125,'Aggregated Table'!B229)</f>
        <v>5.3</v>
      </c>
      <c r="D229" s="155">
        <f>SUMIFS('National Grid'!BS$6:BS$125,'National Grid'!BR$6:BR$125,'Aggregated Table'!B229)</f>
        <v>102.5059232420647</v>
      </c>
      <c r="G229" s="119"/>
      <c r="H229" s="119"/>
      <c r="I229" s="119"/>
      <c r="J229" s="119"/>
      <c r="K229" s="119"/>
      <c r="L229" s="119"/>
      <c r="M229" s="119"/>
      <c r="N229" s="119">
        <f t="shared" si="7"/>
        <v>65.691330933370139</v>
      </c>
      <c r="O229" s="119">
        <f t="shared" si="8"/>
        <v>0.89625673690013485</v>
      </c>
    </row>
    <row r="230" spans="2:15">
      <c r="B230" s="1" t="s">
        <v>316</v>
      </c>
      <c r="C230" s="1">
        <f>SUMIFS('National Grid'!BT$6:BT$125,'National Grid'!BR$6:BR$125,'Aggregated Table'!B230)</f>
        <v>20</v>
      </c>
      <c r="D230" s="155">
        <f>SUMIFS('National Grid'!BS$6:BS$125,'National Grid'!BR$6:BR$125,'Aggregated Table'!B230)</f>
        <v>44.231462610495925</v>
      </c>
      <c r="G230" s="119"/>
      <c r="H230" s="119"/>
      <c r="I230" s="119"/>
      <c r="J230" s="119"/>
      <c r="K230" s="119"/>
      <c r="L230" s="119"/>
      <c r="M230" s="119"/>
      <c r="N230" s="119">
        <f t="shared" si="7"/>
        <v>28.345909739786755</v>
      </c>
      <c r="O230" s="119">
        <f t="shared" si="8"/>
        <v>0.38673615234885717</v>
      </c>
    </row>
    <row r="231" spans="2:15">
      <c r="B231" s="1" t="s">
        <v>298</v>
      </c>
      <c r="C231" s="1">
        <f>SUMIFS('National Grid'!BT$6:BT$125,'National Grid'!BR$6:BR$125,'Aggregated Table'!B231)</f>
        <v>19.399999999999999</v>
      </c>
      <c r="D231" s="155">
        <f>SUMIFS('National Grid'!BS$6:BS$125,'National Grid'!BR$6:BR$125,'Aggregated Table'!B231)</f>
        <v>23.039764194216474</v>
      </c>
      <c r="G231" s="119"/>
      <c r="H231" s="119"/>
      <c r="I231" s="119"/>
      <c r="J231" s="119"/>
      <c r="K231" s="119"/>
      <c r="L231" s="119"/>
      <c r="M231" s="119"/>
      <c r="N231" s="119">
        <f t="shared" si="7"/>
        <v>14.765125042920404</v>
      </c>
      <c r="O231" s="119">
        <f t="shared" si="8"/>
        <v>0.20144732345753069</v>
      </c>
    </row>
    <row r="232" spans="2:15">
      <c r="B232" s="1" t="s">
        <v>300</v>
      </c>
      <c r="C232" s="1">
        <f>SUMIFS('National Grid'!BT$6:BT$125,'National Grid'!BR$6:BR$125,'Aggregated Table'!B232)</f>
        <v>5.2</v>
      </c>
      <c r="D232" s="155">
        <f>SUMIFS('National Grid'!BS$6:BS$125,'National Grid'!BR$6:BR$125,'Aggregated Table'!B232)</f>
        <v>157.8364850448103</v>
      </c>
      <c r="G232" s="119"/>
      <c r="H232" s="119"/>
      <c r="I232" s="119"/>
      <c r="J232" s="119"/>
      <c r="K232" s="119"/>
      <c r="L232" s="119"/>
      <c r="M232" s="119"/>
      <c r="N232" s="119">
        <f t="shared" si="7"/>
        <v>101.15014278690687</v>
      </c>
      <c r="O232" s="119">
        <f t="shared" si="8"/>
        <v>1.3800374512601605</v>
      </c>
    </row>
    <row r="233" spans="2:15">
      <c r="B233" s="1" t="s">
        <v>253</v>
      </c>
      <c r="C233" s="1">
        <f>SUMIFS('National Grid'!BT$6:BT$125,'National Grid'!BR$6:BR$125,'Aggregated Table'!B233)</f>
        <v>13.5</v>
      </c>
      <c r="D233" s="155">
        <f>SUMIFS('National Grid'!BS$6:BS$125,'National Grid'!BR$6:BR$125,'Aggregated Table'!B233)</f>
        <v>49.063801844244182</v>
      </c>
      <c r="G233" s="119"/>
      <c r="H233" s="119"/>
      <c r="I233" s="119"/>
      <c r="J233" s="119"/>
      <c r="K233" s="119"/>
      <c r="L233" s="119"/>
      <c r="M233" s="119"/>
      <c r="N233" s="119">
        <f t="shared" si="7"/>
        <v>31.442733667091261</v>
      </c>
      <c r="O233" s="119">
        <f t="shared" si="8"/>
        <v>0.42898753115948596</v>
      </c>
    </row>
    <row r="234" spans="2:15">
      <c r="B234" s="1" t="s">
        <v>308</v>
      </c>
      <c r="C234" s="1">
        <f>SUMIFS('National Grid'!BT$6:BT$125,'National Grid'!BR$6:BR$125,'Aggregated Table'!B234)</f>
        <v>5</v>
      </c>
      <c r="D234" s="155">
        <f>SUMIFS('National Grid'!BS$6:BS$125,'National Grid'!BR$6:BR$125,'Aggregated Table'!B234)</f>
        <v>63.286493934076056</v>
      </c>
      <c r="G234" s="119"/>
      <c r="H234" s="119"/>
      <c r="I234" s="119"/>
      <c r="J234" s="119"/>
      <c r="K234" s="119"/>
      <c r="L234" s="119"/>
      <c r="M234" s="119"/>
      <c r="N234" s="119">
        <f t="shared" si="7"/>
        <v>40.557402783628376</v>
      </c>
      <c r="O234" s="119">
        <f t="shared" si="8"/>
        <v>0.55334311178545603</v>
      </c>
    </row>
    <row r="235" spans="2:15">
      <c r="B235" s="1" t="s">
        <v>301</v>
      </c>
      <c r="C235" s="1">
        <f>SUMIFS('National Grid'!BT$6:BT$125,'National Grid'!BR$6:BR$125,'Aggregated Table'!B235)</f>
        <v>13</v>
      </c>
      <c r="D235" s="155">
        <f>SUMIFS('National Grid'!BS$6:BS$125,'National Grid'!BR$6:BR$125,'Aggregated Table'!B235)</f>
        <v>45.995606020290744</v>
      </c>
      <c r="G235" s="119"/>
      <c r="H235" s="119"/>
      <c r="I235" s="119"/>
      <c r="J235" s="119"/>
      <c r="K235" s="119"/>
      <c r="L235" s="119"/>
      <c r="M235" s="119"/>
      <c r="N235" s="119">
        <f t="shared" si="7"/>
        <v>29.476468100527406</v>
      </c>
      <c r="O235" s="119">
        <f t="shared" si="8"/>
        <v>0.4021608748027275</v>
      </c>
    </row>
    <row r="236" spans="2:15">
      <c r="B236" s="1" t="s">
        <v>320</v>
      </c>
      <c r="C236" s="1">
        <f>SUMIFS('National Grid'!BT$6:BT$125,'National Grid'!BR$6:BR$125,'Aggregated Table'!B236)</f>
        <v>12.5</v>
      </c>
      <c r="D236" s="155">
        <f>SUMIFS('National Grid'!BS$6:BS$125,'National Grid'!BR$6:BR$125,'Aggregated Table'!B236)</f>
        <v>9.9397742753561289</v>
      </c>
      <c r="G236" s="119"/>
      <c r="H236" s="119"/>
      <c r="I236" s="119"/>
      <c r="J236" s="119"/>
      <c r="K236" s="119"/>
      <c r="L236" s="119"/>
      <c r="M236" s="119"/>
      <c r="N236" s="119">
        <f t="shared" si="7"/>
        <v>6.3699441034590771</v>
      </c>
      <c r="O236" s="119">
        <f t="shared" si="8"/>
        <v>8.6908047611231359E-2</v>
      </c>
    </row>
    <row r="237" spans="2:15">
      <c r="B237" s="1" t="s">
        <v>303</v>
      </c>
      <c r="C237" s="1">
        <f>SUMIFS('National Grid'!BT$6:BT$125,'National Grid'!BR$6:BR$125,'Aggregated Table'!B237)</f>
        <v>60</v>
      </c>
      <c r="D237" s="155">
        <f>SUMIFS('National Grid'!BS$6:BS$125,'National Grid'!BR$6:BR$125,'Aggregated Table'!B237)</f>
        <v>75.396799695199576</v>
      </c>
      <c r="G237" s="119"/>
      <c r="H237" s="119"/>
      <c r="I237" s="119"/>
      <c r="J237" s="119"/>
      <c r="K237" s="119"/>
      <c r="L237" s="119"/>
      <c r="M237" s="119"/>
      <c r="N237" s="119">
        <f t="shared" si="7"/>
        <v>48.318340671867432</v>
      </c>
      <c r="O237" s="119">
        <f t="shared" si="8"/>
        <v>0.65922912091583774</v>
      </c>
    </row>
    <row r="238" spans="2:15">
      <c r="B238" s="1" t="s">
        <v>322</v>
      </c>
      <c r="C238" s="1">
        <f>SUMIFS('National Grid'!BT$6:BT$125,'National Grid'!BR$6:BR$125,'Aggregated Table'!B238)</f>
        <v>12.5</v>
      </c>
      <c r="D238" s="155">
        <f>SUMIFS('National Grid'!BS$6:BS$125,'National Grid'!BR$6:BR$125,'Aggregated Table'!B238)</f>
        <v>12.034191999688964</v>
      </c>
      <c r="G238" s="119"/>
      <c r="H238" s="119"/>
      <c r="I238" s="119"/>
      <c r="J238" s="119"/>
      <c r="K238" s="119"/>
      <c r="L238" s="119"/>
      <c r="M238" s="119"/>
      <c r="N238" s="119">
        <f t="shared" si="7"/>
        <v>7.7121600797686716</v>
      </c>
      <c r="O238" s="119">
        <f t="shared" si="8"/>
        <v>0.10522051128109706</v>
      </c>
    </row>
    <row r="239" spans="2:15">
      <c r="B239" s="1" t="s">
        <v>299</v>
      </c>
      <c r="C239" s="1">
        <f>SUMIFS('National Grid'!BT$6:BT$125,'National Grid'!BR$6:BR$125,'Aggregated Table'!B239)</f>
        <v>7</v>
      </c>
      <c r="D239" s="155">
        <f>SUMIFS('National Grid'!BS$6:BS$125,'National Grid'!BR$6:BR$125,'Aggregated Table'!B239)</f>
        <v>51.712796934328686</v>
      </c>
      <c r="G239" s="119"/>
      <c r="H239" s="119"/>
      <c r="I239" s="119"/>
      <c r="J239" s="119"/>
      <c r="K239" s="119"/>
      <c r="L239" s="119"/>
      <c r="M239" s="119"/>
      <c r="N239" s="119">
        <f t="shared" si="7"/>
        <v>33.140352766552276</v>
      </c>
      <c r="O239" s="119">
        <f t="shared" si="8"/>
        <v>0.45214892145199675</v>
      </c>
    </row>
    <row r="240" spans="2:15">
      <c r="B240" s="1" t="s">
        <v>305</v>
      </c>
      <c r="C240" s="1">
        <f>SUMIFS('National Grid'!BT$6:BT$125,'National Grid'!BR$6:BR$125,'Aggregated Table'!B240)</f>
        <v>38.72</v>
      </c>
      <c r="D240" s="155">
        <f>SUMIFS('National Grid'!BS$6:BS$125,'National Grid'!BR$6:BR$125,'Aggregated Table'!B240)</f>
        <v>72.429008154602641</v>
      </c>
      <c r="G240" s="119"/>
      <c r="H240" s="119"/>
      <c r="I240" s="119"/>
      <c r="J240" s="119"/>
      <c r="K240" s="119"/>
      <c r="L240" s="119"/>
      <c r="M240" s="119"/>
      <c r="N240" s="119">
        <f t="shared" si="7"/>
        <v>46.416419591909722</v>
      </c>
      <c r="O240" s="119">
        <f t="shared" si="8"/>
        <v>0.63328034568561076</v>
      </c>
    </row>
    <row r="241" spans="2:15">
      <c r="B241" s="1" t="s">
        <v>310</v>
      </c>
      <c r="C241" s="1">
        <f>SUMIFS('National Grid'!BT$6:BT$125,'National Grid'!BR$6:BR$125,'Aggregated Table'!B241)</f>
        <v>12.5</v>
      </c>
      <c r="D241" s="155">
        <f>SUMIFS('National Grid'!BS$6:BS$125,'National Grid'!BR$6:BR$125,'Aggregated Table'!B241)</f>
        <v>39.421352355891145</v>
      </c>
      <c r="G241" s="119"/>
      <c r="H241" s="119"/>
      <c r="I241" s="119"/>
      <c r="J241" s="119"/>
      <c r="K241" s="119"/>
      <c r="L241" s="119"/>
      <c r="M241" s="119"/>
      <c r="N241" s="119">
        <f t="shared" si="7"/>
        <v>25.263331342682264</v>
      </c>
      <c r="O241" s="119">
        <f t="shared" si="8"/>
        <v>0.3446791317926749</v>
      </c>
    </row>
    <row r="242" spans="2:15">
      <c r="B242" s="1" t="s">
        <v>325</v>
      </c>
      <c r="C242" s="1">
        <f>SUMIFS('National Grid'!BT$6:BT$125,'National Grid'!BR$6:BR$125,'Aggregated Table'!B242)</f>
        <v>0</v>
      </c>
      <c r="D242" s="155">
        <f>SUMIFS('National Grid'!BS$6:BS$125,'National Grid'!BR$6:BR$125,'Aggregated Table'!B242)</f>
        <v>0</v>
      </c>
      <c r="G242" s="119"/>
      <c r="H242" s="119"/>
      <c r="I242" s="119"/>
      <c r="J242" s="119"/>
      <c r="K242" s="119"/>
      <c r="L242" s="119"/>
      <c r="M242" s="119"/>
      <c r="N242" s="119">
        <f t="shared" si="7"/>
        <v>0</v>
      </c>
      <c r="O242" s="119">
        <f t="shared" si="8"/>
        <v>0</v>
      </c>
    </row>
    <row r="243" spans="2:15">
      <c r="B243" s="1" t="s">
        <v>327</v>
      </c>
      <c r="C243" s="1">
        <f>SUMIFS('National Grid'!BT$6:BT$125,'National Grid'!BR$6:BR$125,'Aggregated Table'!B243)</f>
        <v>0</v>
      </c>
      <c r="D243" s="155">
        <f>SUMIFS('National Grid'!BS$6:BS$125,'National Grid'!BR$6:BR$125,'Aggregated Table'!B243)</f>
        <v>0</v>
      </c>
      <c r="G243" s="119"/>
      <c r="H243" s="119"/>
      <c r="I243" s="119"/>
      <c r="J243" s="119"/>
      <c r="K243" s="119"/>
      <c r="L243" s="119"/>
      <c r="M243" s="119"/>
      <c r="N243" s="119">
        <f t="shared" si="7"/>
        <v>0</v>
      </c>
      <c r="O243" s="119">
        <f t="shared" si="8"/>
        <v>0</v>
      </c>
    </row>
    <row r="244" spans="2:15">
      <c r="B244" s="1" t="s">
        <v>329</v>
      </c>
      <c r="C244" s="1">
        <f>SUMIFS('National Grid'!BT$6:BT$125,'National Grid'!BR$6:BR$125,'Aggregated Table'!B244)</f>
        <v>0</v>
      </c>
      <c r="D244" s="155">
        <f>SUMIFS('National Grid'!BS$6:BS$125,'National Grid'!BR$6:BR$125,'Aggregated Table'!B244)</f>
        <v>0</v>
      </c>
      <c r="G244" s="119"/>
      <c r="H244" s="119"/>
      <c r="I244" s="119"/>
      <c r="J244" s="119"/>
      <c r="K244" s="119"/>
      <c r="L244" s="119"/>
      <c r="M244" s="119"/>
      <c r="N244" s="119">
        <f t="shared" si="7"/>
        <v>0</v>
      </c>
      <c r="O244" s="119">
        <f t="shared" si="8"/>
        <v>0</v>
      </c>
    </row>
    <row r="245" spans="2:15">
      <c r="B245" s="1" t="s">
        <v>312</v>
      </c>
      <c r="C245" s="1">
        <f>SUMIFS('National Grid'!BT$6:BT$125,'National Grid'!BR$6:BR$125,'Aggregated Table'!B245)</f>
        <v>15</v>
      </c>
      <c r="D245" s="155">
        <f>SUMIFS('National Grid'!BS$6:BS$125,'National Grid'!BR$6:BR$125,'Aggregated Table'!B245)</f>
        <v>32.851126963242621</v>
      </c>
      <c r="G245" s="119"/>
      <c r="H245" s="119"/>
      <c r="I245" s="119"/>
      <c r="J245" s="119"/>
      <c r="K245" s="119"/>
      <c r="L245" s="119"/>
      <c r="M245" s="119"/>
      <c r="N245" s="119">
        <f t="shared" si="7"/>
        <v>21.052776118901889</v>
      </c>
      <c r="O245" s="119">
        <f t="shared" si="8"/>
        <v>0.28723260982722915</v>
      </c>
    </row>
    <row r="246" spans="2:15">
      <c r="B246" s="1" t="s">
        <v>332</v>
      </c>
      <c r="C246" s="1">
        <f>SUMIFS('National Grid'!BT$6:BT$125,'National Grid'!BR$6:BR$125,'Aggregated Table'!B246)</f>
        <v>0</v>
      </c>
      <c r="D246" s="155">
        <f>SUMIFS('National Grid'!BS$6:BS$125,'National Grid'!BR$6:BR$125,'Aggregated Table'!B246)</f>
        <v>0</v>
      </c>
      <c r="G246" s="119"/>
      <c r="H246" s="119"/>
      <c r="I246" s="119"/>
      <c r="J246" s="119"/>
      <c r="K246" s="119"/>
      <c r="L246" s="119"/>
      <c r="M246" s="119"/>
      <c r="N246" s="119">
        <f t="shared" si="7"/>
        <v>0</v>
      </c>
      <c r="O246" s="119">
        <f t="shared" si="8"/>
        <v>0</v>
      </c>
    </row>
    <row r="247" spans="2:15">
      <c r="B247" s="1" t="s">
        <v>313</v>
      </c>
      <c r="C247" s="1">
        <f>SUMIFS('National Grid'!BT$6:BT$125,'National Grid'!BR$6:BR$125,'Aggregated Table'!B247)</f>
        <v>0.65</v>
      </c>
      <c r="D247" s="155">
        <f>SUMIFS('National Grid'!BS$6:BS$125,'National Grid'!BR$6:BR$125,'Aggregated Table'!B247)</f>
        <v>96.986562386994279</v>
      </c>
      <c r="G247" s="119"/>
      <c r="H247" s="119"/>
      <c r="I247" s="119"/>
      <c r="J247" s="119"/>
      <c r="K247" s="119"/>
      <c r="L247" s="119"/>
      <c r="M247" s="119"/>
      <c r="N247" s="119">
        <f t="shared" si="7"/>
        <v>62.154226451954834</v>
      </c>
      <c r="O247" s="119">
        <f t="shared" si="8"/>
        <v>0.84799841003195842</v>
      </c>
    </row>
    <row r="248" spans="2:15">
      <c r="B248" s="1" t="s">
        <v>315</v>
      </c>
      <c r="C248" s="1">
        <f>SUMIFS('National Grid'!BT$6:BT$125,'National Grid'!BR$6:BR$125,'Aggregated Table'!B248)</f>
        <v>17</v>
      </c>
      <c r="D248" s="155">
        <f>SUMIFS('National Grid'!BS$6:BS$125,'National Grid'!BR$6:BR$125,'Aggregated Table'!B248)</f>
        <v>54.003235108494984</v>
      </c>
      <c r="G248" s="119"/>
      <c r="H248" s="119"/>
      <c r="I248" s="119"/>
      <c r="J248" s="119"/>
      <c r="K248" s="119"/>
      <c r="L248" s="119"/>
      <c r="M248" s="119"/>
      <c r="N248" s="119">
        <f t="shared" si="7"/>
        <v>34.608189232219445</v>
      </c>
      <c r="O248" s="119">
        <f t="shared" si="8"/>
        <v>0.4721752826526282</v>
      </c>
    </row>
    <row r="249" spans="2:15">
      <c r="B249" s="1" t="s">
        <v>335</v>
      </c>
      <c r="C249" s="1">
        <f>SUMIFS('National Grid'!BT$6:BT$125,'National Grid'!BR$6:BR$125,'Aggregated Table'!B249)</f>
        <v>13</v>
      </c>
      <c r="D249" s="155">
        <f>SUMIFS('National Grid'!BS$6:BS$125,'National Grid'!BR$6:BR$125,'Aggregated Table'!B249)</f>
        <v>34.904117623998637</v>
      </c>
      <c r="G249" s="119"/>
      <c r="H249" s="119"/>
      <c r="I249" s="119"/>
      <c r="J249" s="119"/>
      <c r="K249" s="119"/>
      <c r="L249" s="119"/>
      <c r="M249" s="119"/>
      <c r="N249" s="119">
        <f t="shared" si="7"/>
        <v>22.368443395810022</v>
      </c>
      <c r="O249" s="119">
        <f t="shared" si="8"/>
        <v>0.30518285750365376</v>
      </c>
    </row>
    <row r="250" spans="2:15">
      <c r="B250" s="1" t="s">
        <v>317</v>
      </c>
      <c r="C250" s="1">
        <f>SUMIFS('National Grid'!BT$6:BT$125,'National Grid'!BR$6:BR$125,'Aggregated Table'!B250)</f>
        <v>0.5</v>
      </c>
      <c r="D250" s="155">
        <f>SUMIFS('National Grid'!BS$6:BS$125,'National Grid'!BR$6:BR$125,'Aggregated Table'!B250)</f>
        <v>50.781222709559053</v>
      </c>
      <c r="G250" s="119"/>
      <c r="H250" s="119"/>
      <c r="I250" s="119"/>
      <c r="J250" s="119"/>
      <c r="K250" s="119"/>
      <c r="L250" s="119"/>
      <c r="M250" s="119"/>
      <c r="N250" s="119">
        <f t="shared" si="7"/>
        <v>32.543349698311758</v>
      </c>
      <c r="O250" s="119">
        <f t="shared" si="8"/>
        <v>0.44400373677910093</v>
      </c>
    </row>
    <row r="251" spans="2:15">
      <c r="B251" s="1" t="s">
        <v>338</v>
      </c>
      <c r="C251" s="1">
        <f>SUMIFS('National Grid'!BT$6:BT$125,'National Grid'!BR$6:BR$125,'Aggregated Table'!B251)</f>
        <v>0</v>
      </c>
      <c r="D251" s="155">
        <f>SUMIFS('National Grid'!BS$6:BS$125,'National Grid'!BR$6:BR$125,'Aggregated Table'!B251)</f>
        <v>0</v>
      </c>
      <c r="G251" s="119"/>
      <c r="H251" s="119"/>
      <c r="I251" s="119"/>
      <c r="J251" s="119"/>
      <c r="K251" s="119"/>
      <c r="L251" s="119"/>
      <c r="M251" s="119"/>
      <c r="N251" s="119">
        <f t="shared" si="7"/>
        <v>0</v>
      </c>
      <c r="O251" s="119">
        <f t="shared" si="8"/>
        <v>0</v>
      </c>
    </row>
    <row r="252" spans="2:15">
      <c r="B252" s="1" t="s">
        <v>318</v>
      </c>
      <c r="C252" s="1">
        <f>SUMIFS('National Grid'!BT$6:BT$125,'National Grid'!BR$6:BR$125,'Aggregated Table'!B252)</f>
        <v>5</v>
      </c>
      <c r="D252" s="155">
        <f>SUMIFS('National Grid'!BS$6:BS$125,'National Grid'!BR$6:BR$125,'Aggregated Table'!B252)</f>
        <v>154.91650289157522</v>
      </c>
      <c r="G252" s="119"/>
      <c r="H252" s="119"/>
      <c r="I252" s="119"/>
      <c r="J252" s="119"/>
      <c r="K252" s="119"/>
      <c r="L252" s="119"/>
      <c r="M252" s="119"/>
      <c r="N252" s="119">
        <f t="shared" si="7"/>
        <v>99.278860544077546</v>
      </c>
      <c r="O252" s="119">
        <f t="shared" si="8"/>
        <v>1.3545066956346048</v>
      </c>
    </row>
    <row r="253" spans="2:15">
      <c r="B253" s="1" t="s">
        <v>319</v>
      </c>
      <c r="C253" s="1">
        <f>SUMIFS('National Grid'!BT$6:BT$125,'National Grid'!BR$6:BR$125,'Aggregated Table'!B253)</f>
        <v>20</v>
      </c>
      <c r="D253" s="155">
        <f>SUMIFS('National Grid'!BS$6:BS$125,'National Grid'!BR$6:BR$125,'Aggregated Table'!B253)</f>
        <v>32.695033092503778</v>
      </c>
      <c r="G253" s="119"/>
      <c r="H253" s="119"/>
      <c r="I253" s="119"/>
      <c r="J253" s="119"/>
      <c r="K253" s="119"/>
      <c r="L253" s="119"/>
      <c r="M253" s="119"/>
      <c r="N253" s="119">
        <f t="shared" si="7"/>
        <v>20.952742737463417</v>
      </c>
      <c r="O253" s="119">
        <f t="shared" si="8"/>
        <v>0.28586780885950225</v>
      </c>
    </row>
    <row r="254" spans="2:15">
      <c r="B254" s="1" t="s">
        <v>321</v>
      </c>
      <c r="C254" s="1">
        <f>SUMIFS('National Grid'!BT$6:BT$125,'National Grid'!BR$6:BR$125,'Aggregated Table'!B254)</f>
        <v>13</v>
      </c>
      <c r="D254" s="155">
        <f>SUMIFS('National Grid'!BS$6:BS$125,'National Grid'!BR$6:BR$125,'Aggregated Table'!B254)</f>
        <v>55.151791018911986</v>
      </c>
      <c r="G254" s="119"/>
      <c r="H254" s="119"/>
      <c r="I254" s="119"/>
      <c r="J254" s="119"/>
      <c r="K254" s="119"/>
      <c r="L254" s="119"/>
      <c r="M254" s="119"/>
      <c r="N254" s="119">
        <f t="shared" si="7"/>
        <v>35.344245881633825</v>
      </c>
      <c r="O254" s="119">
        <f t="shared" si="8"/>
        <v>0.48221763864396744</v>
      </c>
    </row>
    <row r="255" spans="2:15">
      <c r="B255" s="1" t="s">
        <v>339</v>
      </c>
      <c r="C255" s="1">
        <f>SUMIFS('National Grid'!BT$6:BT$125,'National Grid'!BR$6:BR$125,'Aggregated Table'!B255)</f>
        <v>5</v>
      </c>
      <c r="D255" s="155">
        <f>SUMIFS('National Grid'!BS$6:BS$125,'National Grid'!BR$6:BR$125,'Aggregated Table'!B255)</f>
        <v>47.852868781089342</v>
      </c>
      <c r="G255" s="119"/>
      <c r="H255" s="119"/>
      <c r="I255" s="119"/>
      <c r="J255" s="119"/>
      <c r="K255" s="119"/>
      <c r="L255" s="119"/>
      <c r="M255" s="119"/>
      <c r="N255" s="119">
        <f t="shared" si="7"/>
        <v>30.66670236983623</v>
      </c>
      <c r="O255" s="119">
        <f t="shared" si="8"/>
        <v>0.41839978284737406</v>
      </c>
    </row>
    <row r="256" spans="2:15">
      <c r="B256" s="1" t="s">
        <v>324</v>
      </c>
      <c r="C256" s="1">
        <f>SUMIFS('National Grid'!BT$6:BT$125,'National Grid'!BR$6:BR$125,'Aggregated Table'!B256)</f>
        <v>3</v>
      </c>
      <c r="D256" s="155">
        <f>SUMIFS('National Grid'!BS$6:BS$125,'National Grid'!BR$6:BR$125,'Aggregated Table'!B256)</f>
        <v>37.110899722959367</v>
      </c>
      <c r="G256" s="119"/>
      <c r="H256" s="119"/>
      <c r="I256" s="119"/>
      <c r="J256" s="119"/>
      <c r="K256" s="119"/>
      <c r="L256" s="119"/>
      <c r="M256" s="119"/>
      <c r="N256" s="119">
        <f t="shared" si="7"/>
        <v>23.782668531057404</v>
      </c>
      <c r="O256" s="119">
        <f t="shared" si="8"/>
        <v>0.32447777491436336</v>
      </c>
    </row>
    <row r="257" spans="2:15">
      <c r="B257" s="1" t="s">
        <v>344</v>
      </c>
      <c r="C257" s="1">
        <f>SUMIFS('National Grid'!BT$6:BT$125,'National Grid'!BR$6:BR$125,'Aggregated Table'!B257)</f>
        <v>0</v>
      </c>
      <c r="D257" s="155">
        <f>SUMIFS('National Grid'!BS$6:BS$125,'National Grid'!BR$6:BR$125,'Aggregated Table'!B257)</f>
        <v>0</v>
      </c>
      <c r="G257" s="119"/>
      <c r="H257" s="119"/>
      <c r="I257" s="119"/>
      <c r="J257" s="119"/>
      <c r="K257" s="119"/>
      <c r="L257" s="119"/>
      <c r="M257" s="119"/>
      <c r="N257" s="119">
        <f t="shared" si="7"/>
        <v>0</v>
      </c>
      <c r="O257" s="119">
        <f t="shared" si="8"/>
        <v>0</v>
      </c>
    </row>
    <row r="258" spans="2:15">
      <c r="B258" s="1" t="s">
        <v>326</v>
      </c>
      <c r="C258" s="1">
        <f>SUMIFS('National Grid'!BT$6:BT$125,'National Grid'!BR$6:BR$125,'Aggregated Table'!B258)</f>
        <v>4.8</v>
      </c>
      <c r="D258" s="155">
        <f>SUMIFS('National Grid'!BS$6:BS$125,'National Grid'!BR$6:BR$125,'Aggregated Table'!B258)</f>
        <v>21.083527496081032</v>
      </c>
      <c r="G258" s="119"/>
      <c r="H258" s="119"/>
      <c r="I258" s="119"/>
      <c r="J258" s="119"/>
      <c r="K258" s="119"/>
      <c r="L258" s="119"/>
      <c r="M258" s="119"/>
      <c r="N258" s="119">
        <f t="shared" si="7"/>
        <v>13.511462929973515</v>
      </c>
      <c r="O258" s="119">
        <f t="shared" si="8"/>
        <v>0.18434304046370972</v>
      </c>
    </row>
    <row r="259" spans="2:15">
      <c r="B259" s="1" t="s">
        <v>328</v>
      </c>
      <c r="C259" s="1">
        <f>SUMIFS('National Grid'!BT$6:BT$125,'National Grid'!BR$6:BR$125,'Aggregated Table'!B259)</f>
        <v>29.5</v>
      </c>
      <c r="D259" s="155">
        <f>SUMIFS('National Grid'!BS$6:BS$125,'National Grid'!BR$6:BR$125,'Aggregated Table'!B259)</f>
        <v>1.1981773529651205</v>
      </c>
      <c r="G259" s="119"/>
      <c r="H259" s="119"/>
      <c r="I259" s="119"/>
      <c r="J259" s="119"/>
      <c r="K259" s="119"/>
      <c r="L259" s="119"/>
      <c r="M259" s="119"/>
      <c r="N259" s="119">
        <f t="shared" si="7"/>
        <v>0.76785674935710935</v>
      </c>
      <c r="O259" s="119">
        <f t="shared" si="8"/>
        <v>1.0476219233304569E-2</v>
      </c>
    </row>
    <row r="260" spans="2:15">
      <c r="B260" s="1" t="s">
        <v>330</v>
      </c>
      <c r="C260" s="1">
        <f>SUMIFS('National Grid'!BT$6:BT$125,'National Grid'!BR$6:BR$125,'Aggregated Table'!B260)</f>
        <v>9.1</v>
      </c>
      <c r="D260" s="155">
        <f>SUMIFS('National Grid'!BS$6:BS$125,'National Grid'!BR$6:BR$125,'Aggregated Table'!B260)</f>
        <v>0.98270428383678776</v>
      </c>
      <c r="G260" s="119"/>
      <c r="H260" s="119"/>
      <c r="I260" s="119"/>
      <c r="J260" s="119"/>
      <c r="K260" s="119"/>
      <c r="L260" s="119"/>
      <c r="M260" s="119"/>
      <c r="N260" s="119">
        <f t="shared" ref="N260:N394" si="9">0.640854*D260</f>
        <v>0.62976997111394084</v>
      </c>
      <c r="O260" s="119">
        <f t="shared" si="8"/>
        <v>8.5922384474257721E-3</v>
      </c>
    </row>
    <row r="261" spans="2:15">
      <c r="B261" s="1" t="s">
        <v>331</v>
      </c>
      <c r="C261" s="1">
        <f>SUMIFS('National Grid'!BT$6:BT$125,'National Grid'!BR$6:BR$125,'Aggregated Table'!B261)</f>
        <v>2.5</v>
      </c>
      <c r="D261" s="155">
        <f>SUMIFS('National Grid'!BS$6:BS$125,'National Grid'!BR$6:BR$125,'Aggregated Table'!B261)</f>
        <v>31.383132119017084</v>
      </c>
      <c r="G261" s="119"/>
      <c r="H261" s="119"/>
      <c r="I261" s="119"/>
      <c r="J261" s="119"/>
      <c r="K261" s="119"/>
      <c r="L261" s="119"/>
      <c r="M261" s="119"/>
      <c r="N261" s="119">
        <f t="shared" si="9"/>
        <v>20.112005751000577</v>
      </c>
      <c r="O261" s="119">
        <f t="shared" si="8"/>
        <v>0.27439725136931042</v>
      </c>
    </row>
    <row r="262" spans="2:15">
      <c r="B262" s="1" t="s">
        <v>333</v>
      </c>
      <c r="C262" s="1">
        <f>SUMIFS('National Grid'!BT$6:BT$125,'National Grid'!BR$6:BR$125,'Aggregated Table'!B262)</f>
        <v>4.0270000000000001</v>
      </c>
      <c r="D262" s="155">
        <f>SUMIFS('National Grid'!BS$6:BS$125,'National Grid'!BR$6:BR$125,'Aggregated Table'!B262)</f>
        <v>62.997880891488386</v>
      </c>
      <c r="G262" s="119"/>
      <c r="H262" s="119"/>
      <c r="I262" s="119"/>
      <c r="J262" s="119"/>
      <c r="K262" s="119"/>
      <c r="L262" s="119"/>
      <c r="M262" s="119"/>
      <c r="N262" s="119">
        <f t="shared" si="9"/>
        <v>40.372443960833898</v>
      </c>
      <c r="O262" s="119">
        <f t="shared" si="8"/>
        <v>0.55081963435512638</v>
      </c>
    </row>
    <row r="263" spans="2:15">
      <c r="B263" s="1" t="s">
        <v>334</v>
      </c>
      <c r="C263" s="1">
        <f>SUMIFS('National Grid'!BT$6:BT$125,'National Grid'!BR$6:BR$125,'Aggregated Table'!B263)</f>
        <v>17.600000000000001</v>
      </c>
      <c r="D263" s="155">
        <f>SUMIFS('National Grid'!BS$6:BS$125,'National Grid'!BR$6:BR$125,'Aggregated Table'!B263)</f>
        <v>30.561155748131149</v>
      </c>
      <c r="G263" s="119"/>
      <c r="H263" s="119"/>
      <c r="I263" s="119"/>
      <c r="J263" s="119"/>
      <c r="K263" s="119"/>
      <c r="L263" s="119"/>
      <c r="M263" s="119"/>
      <c r="N263" s="119">
        <f t="shared" si="9"/>
        <v>19.58523890581284</v>
      </c>
      <c r="O263" s="119">
        <f t="shared" si="8"/>
        <v>0.26721033146576939</v>
      </c>
    </row>
    <row r="264" spans="2:15">
      <c r="B264" s="1" t="s">
        <v>336</v>
      </c>
      <c r="C264" s="1">
        <f>SUMIFS('National Grid'!BT$6:BT$125,'National Grid'!BR$6:BR$125,'Aggregated Table'!B264)</f>
        <v>25</v>
      </c>
      <c r="D264" s="155">
        <f>SUMIFS('National Grid'!BS$6:BS$125,'National Grid'!BR$6:BR$125,'Aggregated Table'!B264)</f>
        <v>64.310009258363735</v>
      </c>
      <c r="G264" s="119"/>
      <c r="H264" s="119"/>
      <c r="I264" s="119"/>
      <c r="J264" s="119"/>
      <c r="K264" s="119"/>
      <c r="L264" s="119"/>
      <c r="M264" s="119"/>
      <c r="N264" s="119">
        <f t="shared" si="9"/>
        <v>41.213326673259438</v>
      </c>
      <c r="O264" s="119">
        <f t="shared" si="8"/>
        <v>0.5622921800509757</v>
      </c>
    </row>
    <row r="265" spans="2:15">
      <c r="B265" s="1" t="s">
        <v>274</v>
      </c>
      <c r="C265" s="1">
        <f>SUMIFS('National Grid'!BT$6:BT$125,'National Grid'!BR$6:BR$125,'Aggregated Table'!B265)</f>
        <v>11</v>
      </c>
      <c r="D265" s="155">
        <f>SUMIFS('National Grid'!BS$6:BS$125,'National Grid'!BR$6:BR$125,'Aggregated Table'!B265)</f>
        <v>263.31975677607562</v>
      </c>
      <c r="G265" s="119"/>
      <c r="H265" s="119"/>
      <c r="I265" s="119"/>
      <c r="J265" s="119"/>
      <c r="K265" s="119"/>
      <c r="L265" s="119"/>
      <c r="M265" s="119"/>
      <c r="N265" s="119">
        <f t="shared" si="9"/>
        <v>168.74951940897517</v>
      </c>
      <c r="O265" s="119">
        <f t="shared" si="8"/>
        <v>2.3023265242160758</v>
      </c>
    </row>
    <row r="266" spans="2:15">
      <c r="B266" s="1" t="s">
        <v>306</v>
      </c>
      <c r="C266" s="1">
        <f>SUMIFS('National Grid'!BT$6:BT$125,'National Grid'!BR$6:BR$125,'Aggregated Table'!B266)</f>
        <v>5.6</v>
      </c>
      <c r="D266" s="155">
        <f>SUMIFS('National Grid'!BS$6:BS$125,'National Grid'!BR$6:BR$125,'Aggregated Table'!B266)</f>
        <v>175.03762539612285</v>
      </c>
      <c r="G266" s="119"/>
      <c r="H266" s="119"/>
      <c r="I266" s="119"/>
      <c r="J266" s="119"/>
      <c r="K266" s="119"/>
      <c r="L266" s="119"/>
      <c r="M266" s="119"/>
      <c r="N266" s="119">
        <f t="shared" si="9"/>
        <v>112.17356238560691</v>
      </c>
      <c r="O266" s="119">
        <f t="shared" si="8"/>
        <v>1.5304349837600404</v>
      </c>
    </row>
    <row r="267" spans="2:15">
      <c r="B267" s="1" t="s">
        <v>337</v>
      </c>
      <c r="C267" s="1">
        <f>SUMIFS('National Grid'!BT$6:BT$125,'National Grid'!BR$6:BR$125,'Aggregated Table'!B267)</f>
        <v>7.5</v>
      </c>
      <c r="D267" s="155">
        <f>SUMIFS('National Grid'!BS$6:BS$125,'National Grid'!BR$6:BR$125,'Aggregated Table'!B267)</f>
        <v>62.573577533912619</v>
      </c>
      <c r="G267" s="119"/>
      <c r="H267" s="119"/>
      <c r="I267" s="119"/>
      <c r="J267" s="119"/>
      <c r="K267" s="119"/>
      <c r="L267" s="119"/>
      <c r="M267" s="119"/>
      <c r="N267" s="119">
        <f t="shared" si="9"/>
        <v>40.100527456918037</v>
      </c>
      <c r="O267" s="119">
        <f t="shared" ref="O267:O288" si="10">N267/(0.5*E$137)</f>
        <v>0.5471097536898053</v>
      </c>
    </row>
    <row r="268" spans="2:15">
      <c r="B268" s="1" t="s">
        <v>340</v>
      </c>
      <c r="C268" s="1">
        <f>SUMIFS('National Grid'!BT$6:BT$125,'National Grid'!BR$6:BR$125,'Aggregated Table'!B268)</f>
        <v>10</v>
      </c>
      <c r="D268" s="155">
        <f>SUMIFS('National Grid'!BS$6:BS$125,'National Grid'!BR$6:BR$125,'Aggregated Table'!B268)</f>
        <v>197.41869588143979</v>
      </c>
      <c r="G268" s="119"/>
      <c r="H268" s="119"/>
      <c r="I268" s="119"/>
      <c r="J268" s="119"/>
      <c r="K268" s="119"/>
      <c r="L268" s="119"/>
      <c r="M268" s="119"/>
      <c r="N268" s="119">
        <f t="shared" si="9"/>
        <v>126.51656093040422</v>
      </c>
      <c r="O268" s="119">
        <f t="shared" si="10"/>
        <v>1.7261230432113259</v>
      </c>
    </row>
    <row r="269" spans="2:15">
      <c r="B269" s="1" t="s">
        <v>341</v>
      </c>
      <c r="C269" s="1">
        <f>SUMIFS('National Grid'!BT$6:BT$125,'National Grid'!BR$6:BR$125,'Aggregated Table'!B269)</f>
        <v>9</v>
      </c>
      <c r="D269" s="155">
        <f>SUMIFS('National Grid'!BS$6:BS$125,'National Grid'!BR$6:BR$125,'Aggregated Table'!B269)</f>
        <v>567.07375108614133</v>
      </c>
      <c r="G269" s="119"/>
      <c r="H269" s="119"/>
      <c r="I269" s="119"/>
      <c r="J269" s="119"/>
      <c r="K269" s="119"/>
      <c r="L269" s="119"/>
      <c r="M269" s="119"/>
      <c r="N269" s="119">
        <f t="shared" si="9"/>
        <v>363.41148167855806</v>
      </c>
      <c r="O269" s="119">
        <f t="shared" si="10"/>
        <v>4.9581883042015242</v>
      </c>
    </row>
    <row r="270" spans="2:15">
      <c r="B270" s="1" t="s">
        <v>342</v>
      </c>
      <c r="C270" s="1">
        <f>SUMIFS('National Grid'!BT$6:BT$125,'National Grid'!BR$6:BR$125,'Aggregated Table'!B270)</f>
        <v>35</v>
      </c>
      <c r="D270" s="155">
        <f>SUMIFS('National Grid'!BS$6:BS$125,'National Grid'!BR$6:BR$125,'Aggregated Table'!B270)</f>
        <v>32.263697279133083</v>
      </c>
      <c r="G270" s="119"/>
      <c r="H270" s="119"/>
      <c r="I270" s="119"/>
      <c r="J270" s="119"/>
      <c r="K270" s="119"/>
      <c r="L270" s="119"/>
      <c r="M270" s="119"/>
      <c r="N270" s="119">
        <f t="shared" si="9"/>
        <v>20.676319456121554</v>
      </c>
      <c r="O270" s="119">
        <f t="shared" si="10"/>
        <v>0.28209644017784208</v>
      </c>
    </row>
    <row r="271" spans="2:15">
      <c r="B271" s="2" t="s">
        <v>343</v>
      </c>
      <c r="C271" s="1">
        <f>SUMIFS('National Grid'!BT$6:BT$125,'National Grid'!BR$6:BR$125,'Aggregated Table'!B271)</f>
        <v>2.38</v>
      </c>
      <c r="D271" s="155">
        <f>SUMIFS('National Grid'!BS$6:BS$125,'National Grid'!BR$6:BR$125,'Aggregated Table'!B271)</f>
        <v>175.72630541250089</v>
      </c>
      <c r="G271" s="119"/>
      <c r="H271" s="119"/>
      <c r="I271" s="119"/>
      <c r="J271" s="119"/>
      <c r="K271" s="119"/>
      <c r="L271" s="119"/>
      <c r="M271" s="119"/>
      <c r="N271" s="119">
        <f t="shared" si="9"/>
        <v>112.61490572882285</v>
      </c>
      <c r="O271" s="119">
        <f t="shared" si="10"/>
        <v>1.5364564319332326</v>
      </c>
    </row>
    <row r="272" spans="2:15">
      <c r="B272" s="2" t="s">
        <v>345</v>
      </c>
      <c r="C272" s="1">
        <f>SUMIFS('National Grid'!BT$6:BT$125,'National Grid'!BR$6:BR$125,'Aggregated Table'!B272)</f>
        <v>23.4</v>
      </c>
      <c r="D272" s="155">
        <f>SUMIFS('National Grid'!BS$6:BS$125,'National Grid'!BR$6:BR$125,'Aggregated Table'!B272)</f>
        <v>85.5921359916656</v>
      </c>
      <c r="G272" s="119"/>
      <c r="H272" s="119"/>
      <c r="I272" s="119"/>
      <c r="J272" s="119"/>
      <c r="K272" s="119"/>
      <c r="L272" s="119"/>
      <c r="M272" s="119"/>
      <c r="N272" s="119">
        <f t="shared" si="9"/>
        <v>54.85206271880287</v>
      </c>
      <c r="O272" s="119">
        <f t="shared" si="10"/>
        <v>0.74837166557729973</v>
      </c>
    </row>
    <row r="273" spans="2:15">
      <c r="B273" s="2" t="s">
        <v>346</v>
      </c>
      <c r="C273" s="1">
        <f>SUMIFS('National Grid'!BT$6:BT$125,'National Grid'!BR$6:BR$125,'Aggregated Table'!B273)</f>
        <v>5</v>
      </c>
      <c r="D273" s="155">
        <f>SUMIFS('National Grid'!BS$6:BS$125,'National Grid'!BR$6:BR$125,'Aggregated Table'!B273)</f>
        <v>15.675043686928136</v>
      </c>
      <c r="G273" s="119"/>
      <c r="H273" s="119"/>
      <c r="I273" s="119"/>
      <c r="J273" s="119"/>
      <c r="K273" s="119"/>
      <c r="L273" s="119"/>
      <c r="M273" s="119"/>
      <c r="N273" s="119">
        <f t="shared" si="9"/>
        <v>10.045414446942644</v>
      </c>
      <c r="O273" s="119">
        <f t="shared" si="10"/>
        <v>0.13705416293297798</v>
      </c>
    </row>
    <row r="274" spans="2:15">
      <c r="B274" s="2" t="s">
        <v>349</v>
      </c>
      <c r="C274" s="1">
        <f>SUMIFS('National Grid'!BT$6:BT$125,'National Grid'!BR$6:BR$125,'Aggregated Table'!B274)</f>
        <v>0</v>
      </c>
      <c r="D274" s="155">
        <f>SUMIFS('National Grid'!BS$6:BS$125,'National Grid'!BR$6:BR$125,'Aggregated Table'!B274)</f>
        <v>0</v>
      </c>
      <c r="G274" s="119"/>
      <c r="H274" s="119"/>
      <c r="I274" s="119"/>
      <c r="J274" s="119"/>
      <c r="K274" s="119"/>
      <c r="L274" s="119"/>
      <c r="M274" s="119"/>
      <c r="N274" s="119">
        <f t="shared" si="9"/>
        <v>0</v>
      </c>
      <c r="O274" s="119">
        <f t="shared" si="10"/>
        <v>0</v>
      </c>
    </row>
    <row r="275" spans="2:15">
      <c r="B275" s="2" t="s">
        <v>350</v>
      </c>
      <c r="C275" s="1">
        <f>SUMIFS('National Grid'!BT$6:BT$125,'National Grid'!BR$6:BR$125,'Aggregated Table'!B275)</f>
        <v>6</v>
      </c>
      <c r="D275" s="155">
        <f>SUMIFS('National Grid'!BS$6:BS$125,'National Grid'!BR$6:BR$125,'Aggregated Table'!B275)</f>
        <v>8.9639604091353569</v>
      </c>
      <c r="G275" s="119"/>
      <c r="H275" s="119"/>
      <c r="I275" s="119"/>
      <c r="J275" s="119"/>
      <c r="K275" s="119"/>
      <c r="L275" s="119"/>
      <c r="M275" s="119"/>
      <c r="N275" s="119">
        <f t="shared" si="9"/>
        <v>5.7445898840360305</v>
      </c>
      <c r="O275" s="119">
        <f t="shared" si="10"/>
        <v>7.8376055274596929E-2</v>
      </c>
    </row>
    <row r="276" spans="2:15">
      <c r="B276" s="2" t="s">
        <v>352</v>
      </c>
      <c r="C276" s="1">
        <f>SUMIFS('National Grid'!BT$6:BT$125,'National Grid'!BR$6:BR$125,'Aggregated Table'!B276)</f>
        <v>2</v>
      </c>
      <c r="D276" s="155">
        <f>SUMIFS('National Grid'!BS$6:BS$125,'National Grid'!BR$6:BR$125,'Aggregated Table'!B276)</f>
        <v>363.21227902428762</v>
      </c>
      <c r="G276" s="119"/>
      <c r="H276" s="119"/>
      <c r="I276" s="119"/>
      <c r="J276" s="119"/>
      <c r="K276" s="119"/>
      <c r="L276" s="119"/>
      <c r="M276" s="119"/>
      <c r="N276" s="119">
        <f t="shared" si="9"/>
        <v>232.76604186183084</v>
      </c>
      <c r="O276" s="119">
        <f t="shared" si="10"/>
        <v>3.1757330864835631</v>
      </c>
    </row>
    <row r="277" spans="2:15">
      <c r="B277" s="2" t="s">
        <v>353</v>
      </c>
      <c r="C277" s="1">
        <f>SUMIFS('National Grid'!BT$6:BT$125,'National Grid'!BR$6:BR$125,'Aggregated Table'!B277)</f>
        <v>0</v>
      </c>
      <c r="D277" s="155">
        <f>SUMIFS('National Grid'!BS$6:BS$125,'National Grid'!BR$6:BR$125,'Aggregated Table'!B277)</f>
        <v>0</v>
      </c>
      <c r="G277" s="119"/>
      <c r="H277" s="119"/>
      <c r="I277" s="119"/>
      <c r="J277" s="119"/>
      <c r="K277" s="119"/>
      <c r="L277" s="119"/>
      <c r="M277" s="119"/>
      <c r="N277" s="119">
        <f t="shared" si="9"/>
        <v>0</v>
      </c>
      <c r="O277" s="119">
        <f t="shared" si="10"/>
        <v>0</v>
      </c>
    </row>
    <row r="278" spans="2:15">
      <c r="B278" s="1" t="s">
        <v>354</v>
      </c>
      <c r="C278" s="1">
        <f>SUMIFS('National Grid'!BT$6:BT$125,'National Grid'!BR$6:BR$125,'Aggregated Table'!B278)</f>
        <v>57.6</v>
      </c>
      <c r="D278" s="155">
        <f>SUMIFS('National Grid'!BS$6:BS$125,'National Grid'!BR$6:BR$125,'Aggregated Table'!B278)</f>
        <v>11.385954745447535</v>
      </c>
      <c r="G278" s="119"/>
      <c r="H278" s="119"/>
      <c r="I278" s="119"/>
      <c r="J278" s="119"/>
      <c r="K278" s="119"/>
      <c r="L278" s="119"/>
      <c r="M278" s="119"/>
      <c r="N278" s="119">
        <f t="shared" si="9"/>
        <v>7.2967346424390351</v>
      </c>
      <c r="O278" s="119">
        <f t="shared" si="10"/>
        <v>9.9552672898220965E-2</v>
      </c>
    </row>
    <row r="279" spans="2:15">
      <c r="B279" s="1" t="s">
        <v>355</v>
      </c>
      <c r="C279" s="1">
        <f>SUMIFS('National Grid'!BT$6:BT$125,'National Grid'!BR$6:BR$125,'Aggregated Table'!B279)</f>
        <v>48.2</v>
      </c>
      <c r="D279" s="155">
        <f>SUMIFS('National Grid'!BS$6:BS$125,'National Grid'!BR$6:BR$125,'Aggregated Table'!B279)</f>
        <v>38.712961833215509</v>
      </c>
      <c r="G279" s="119"/>
      <c r="H279" s="119"/>
      <c r="I279" s="119"/>
      <c r="J279" s="119"/>
      <c r="K279" s="119"/>
      <c r="L279" s="119"/>
      <c r="M279" s="119"/>
      <c r="N279" s="119">
        <f t="shared" si="9"/>
        <v>24.809356442663493</v>
      </c>
      <c r="O279" s="119">
        <f t="shared" si="10"/>
        <v>0.33848534553892889</v>
      </c>
    </row>
    <row r="280" spans="2:15">
      <c r="B280" s="1" t="s">
        <v>356</v>
      </c>
      <c r="C280" s="1">
        <f>SUMIFS('National Grid'!BT$6:BT$125,'National Grid'!BR$6:BR$125,'Aggregated Table'!B280)</f>
        <v>15</v>
      </c>
      <c r="D280" s="155">
        <f>SUMIFS('National Grid'!BS$6:BS$125,'National Grid'!BR$6:BR$125,'Aggregated Table'!B280)</f>
        <v>38.801749394052543</v>
      </c>
      <c r="G280" s="119"/>
      <c r="H280" s="119"/>
      <c r="I280" s="119"/>
      <c r="J280" s="119"/>
      <c r="K280" s="119"/>
      <c r="L280" s="119"/>
      <c r="M280" s="119"/>
      <c r="N280" s="119">
        <f t="shared" si="9"/>
        <v>24.866256306176151</v>
      </c>
      <c r="O280" s="119">
        <f t="shared" si="10"/>
        <v>0.33926165628309152</v>
      </c>
    </row>
    <row r="281" spans="2:15">
      <c r="B281" s="1" t="s">
        <v>250</v>
      </c>
      <c r="C281" s="1">
        <f>SUMIFS('National Grid'!BT$6:BT$125,'National Grid'!BR$6:BR$125,'Aggregated Table'!B281)</f>
        <v>4</v>
      </c>
      <c r="D281" s="155">
        <f>SUMIFS('National Grid'!BS$6:BS$125,'National Grid'!BR$6:BR$125,'Aggregated Table'!B281)</f>
        <v>17.053973950499799</v>
      </c>
      <c r="G281" s="119"/>
      <c r="H281" s="119"/>
      <c r="I281" s="119"/>
      <c r="J281" s="119"/>
      <c r="K281" s="119"/>
      <c r="L281" s="119"/>
      <c r="M281" s="119"/>
      <c r="N281" s="119">
        <f t="shared" si="9"/>
        <v>10.929107422073599</v>
      </c>
      <c r="O281" s="119">
        <f t="shared" si="10"/>
        <v>0.14911078853424298</v>
      </c>
    </row>
    <row r="282" spans="2:15">
      <c r="B282" s="1" t="s">
        <v>357</v>
      </c>
      <c r="C282" s="1">
        <f>SUMIFS('National Grid'!BT$6:BT$125,'National Grid'!BR$6:BR$125,'Aggregated Table'!B282)</f>
        <v>14</v>
      </c>
      <c r="D282" s="155">
        <f>SUMIFS('National Grid'!BS$6:BS$125,'National Grid'!BR$6:BR$125,'Aggregated Table'!B282)</f>
        <v>30.485683136539279</v>
      </c>
      <c r="G282" s="119"/>
      <c r="H282" s="119"/>
      <c r="I282" s="119"/>
      <c r="J282" s="119"/>
      <c r="K282" s="119"/>
      <c r="L282" s="119"/>
      <c r="M282" s="119"/>
      <c r="N282" s="119">
        <f t="shared" si="9"/>
        <v>19.536871980783744</v>
      </c>
      <c r="O282" s="119">
        <f t="shared" si="10"/>
        <v>0.2665504394863476</v>
      </c>
    </row>
    <row r="283" spans="2:15">
      <c r="B283" s="1" t="s">
        <v>358</v>
      </c>
      <c r="C283" s="1">
        <f>SUMIFS('National Grid'!BT$6:BT$125,'National Grid'!BR$6:BR$125,'Aggregated Table'!B283)</f>
        <v>0.5</v>
      </c>
      <c r="D283" s="155">
        <f>SUMIFS('National Grid'!BS$6:BS$125,'National Grid'!BR$6:BR$125,'Aggregated Table'!B283)</f>
        <v>324.31263863424823</v>
      </c>
      <c r="G283" s="119"/>
      <c r="H283" s="119"/>
      <c r="I283" s="119"/>
      <c r="J283" s="119"/>
      <c r="K283" s="119"/>
      <c r="L283" s="119"/>
      <c r="M283" s="119"/>
      <c r="N283" s="119">
        <f t="shared" si="9"/>
        <v>207.83705171931254</v>
      </c>
      <c r="O283" s="119">
        <f t="shared" si="10"/>
        <v>2.8356155239088134</v>
      </c>
    </row>
    <row r="284" spans="2:15">
      <c r="B284" s="1" t="s">
        <v>359</v>
      </c>
      <c r="C284" s="1">
        <f>SUMIFS('National Grid'!BT$6:BT$125,'National Grid'!BR$6:BR$125,'Aggregated Table'!B284)</f>
        <v>0</v>
      </c>
      <c r="D284" s="155">
        <f>SUMIFS('National Grid'!BS$6:BS$125,'National Grid'!BR$6:BR$125,'Aggregated Table'!B284)</f>
        <v>0</v>
      </c>
      <c r="G284" s="119"/>
      <c r="H284" s="119"/>
      <c r="I284" s="119"/>
      <c r="J284" s="119"/>
      <c r="K284" s="119"/>
      <c r="L284" s="119"/>
      <c r="M284" s="119"/>
      <c r="N284" s="119">
        <f t="shared" si="9"/>
        <v>0</v>
      </c>
      <c r="O284" s="119">
        <f t="shared" si="10"/>
        <v>0</v>
      </c>
    </row>
    <row r="285" spans="2:15">
      <c r="B285" s="1" t="s">
        <v>360</v>
      </c>
      <c r="C285" s="1">
        <f>SUMIFS('National Grid'!BT$6:BT$125,'National Grid'!BR$6:BR$125,'Aggregated Table'!B285)</f>
        <v>4.0999999999999996</v>
      </c>
      <c r="D285" s="155">
        <f>SUMIFS('National Grid'!BS$6:BS$125,'National Grid'!BR$6:BR$125,'Aggregated Table'!B285)</f>
        <v>131.88955046234568</v>
      </c>
      <c r="G285" s="119"/>
      <c r="H285" s="119"/>
      <c r="I285" s="119"/>
      <c r="J285" s="119"/>
      <c r="K285" s="119"/>
      <c r="L285" s="119"/>
      <c r="M285" s="119"/>
      <c r="N285" s="119">
        <f t="shared" si="9"/>
        <v>84.521945971996089</v>
      </c>
      <c r="O285" s="119">
        <f t="shared" si="10"/>
        <v>1.1531713913689214</v>
      </c>
    </row>
    <row r="286" spans="2:15">
      <c r="B286" s="2" t="s">
        <v>361</v>
      </c>
      <c r="C286" s="1">
        <f>SUMIFS('National Grid'!BT$6:BT$125,'National Grid'!BR$6:BR$125,'Aggregated Table'!B286)</f>
        <v>3.44</v>
      </c>
      <c r="D286" s="155">
        <f>SUMIFS('National Grid'!BS$6:BS$125,'National Grid'!BR$6:BR$125,'Aggregated Table'!B286)</f>
        <v>136.42495101870483</v>
      </c>
      <c r="G286" s="119"/>
      <c r="H286" s="119"/>
      <c r="I286" s="119"/>
      <c r="J286" s="119"/>
      <c r="K286" s="119"/>
      <c r="L286" s="119"/>
      <c r="M286" s="119"/>
      <c r="N286" s="119">
        <f t="shared" si="9"/>
        <v>87.428475560141067</v>
      </c>
      <c r="O286" s="119">
        <f t="shared" si="10"/>
        <v>1.192826497870215</v>
      </c>
    </row>
    <row r="287" spans="2:15">
      <c r="B287" s="1" t="s">
        <v>362</v>
      </c>
      <c r="C287" s="1">
        <f>SUMIFS('National Grid'!BT$6:BT$125,'National Grid'!BR$6:BR$125,'Aggregated Table'!B287)</f>
        <v>12</v>
      </c>
      <c r="D287" s="155">
        <f>SUMIFS('National Grid'!BS$6:BS$125,'National Grid'!BR$6:BR$125,'Aggregated Table'!B287)</f>
        <v>36.818292271989172</v>
      </c>
      <c r="G287" s="119"/>
      <c r="H287" s="119"/>
      <c r="I287" s="119"/>
      <c r="J287" s="119"/>
      <c r="K287" s="119"/>
      <c r="L287" s="119"/>
      <c r="M287" s="119"/>
      <c r="N287" s="119">
        <f t="shared" si="9"/>
        <v>23.59514987567335</v>
      </c>
      <c r="O287" s="119">
        <f t="shared" si="10"/>
        <v>0.32191937252253366</v>
      </c>
    </row>
    <row r="288" spans="2:15">
      <c r="B288" s="1" t="s">
        <v>363</v>
      </c>
      <c r="C288" s="1">
        <f>SUMIFS('National Grid'!BT$6:BT$125,'National Grid'!BR$6:BR$125,'Aggregated Table'!B288)</f>
        <v>3</v>
      </c>
      <c r="D288" s="155">
        <f>SUMIFS('National Grid'!BS$6:BS$125,'National Grid'!BR$6:BR$125,'Aggregated Table'!B288)</f>
        <v>177.03366961226897</v>
      </c>
      <c r="G288" s="119"/>
      <c r="H288" s="119"/>
      <c r="I288" s="119"/>
      <c r="J288" s="119"/>
      <c r="K288" s="119"/>
      <c r="L288" s="119"/>
      <c r="M288" s="119"/>
      <c r="N288" s="119">
        <f t="shared" si="9"/>
        <v>113.45273530570103</v>
      </c>
      <c r="O288" s="119">
        <f t="shared" si="10"/>
        <v>1.5478873223107299</v>
      </c>
    </row>
    <row r="289" spans="1:17">
      <c r="A289" s="119"/>
      <c r="B289" s="1" t="s">
        <v>347</v>
      </c>
      <c r="C289" s="119">
        <f>'Nat Grid Transmnet'!BK4</f>
        <v>4053</v>
      </c>
      <c r="D289" s="76">
        <f>'Nat Grid Transmnet'!BJ4</f>
        <v>65.817916755074293</v>
      </c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</row>
    <row r="290" spans="1:17">
      <c r="A290" s="119" t="s">
        <v>369</v>
      </c>
      <c r="B290" s="119"/>
      <c r="C290" s="119"/>
      <c r="D290" s="119"/>
      <c r="E290" s="9">
        <f>SUMPRODUCT(D291:D369,C291:C369)/SUM(C291:C369)</f>
        <v>85.232157602079369</v>
      </c>
      <c r="F290" s="11">
        <f>_xlfn.STDEV.S(D291:D369)</f>
        <v>73.215986450110762</v>
      </c>
      <c r="G290" s="119">
        <f>F290/SQRT(M290)</f>
        <v>18.303996612527691</v>
      </c>
      <c r="H290" s="119">
        <f>G290*$D$1</f>
        <v>30.110074427608051</v>
      </c>
      <c r="I290" s="119">
        <f>H290+E290</f>
        <v>115.34223202968742</v>
      </c>
      <c r="J290" s="119">
        <f>COUNTIF(D291:D371,"&gt;115.342")</f>
        <v>11</v>
      </c>
      <c r="K290" s="119"/>
      <c r="L290" s="119">
        <f>COUNTA(B291:B369)</f>
        <v>79</v>
      </c>
      <c r="M290" s="119">
        <f>ROUND(L290/5,0)</f>
        <v>16</v>
      </c>
      <c r="N290" s="119"/>
      <c r="O290" s="119"/>
      <c r="P290" s="119">
        <f>COUNTIF(O291:O371,"&gt;1")-COUNTIF(O291:O371,"&gt;2")</f>
        <v>14</v>
      </c>
      <c r="Q290" s="119">
        <f>COUNTIF(O291:O371,"&gt;2")</f>
        <v>9</v>
      </c>
    </row>
    <row r="291" spans="1:17">
      <c r="A291" s="119"/>
      <c r="B291" s="42" t="s">
        <v>391</v>
      </c>
      <c r="C291" s="83">
        <f>NYSEG!AI11</f>
        <v>22.4</v>
      </c>
      <c r="D291" s="119">
        <f>NYSEG!AB11</f>
        <v>190.09401504826278</v>
      </c>
      <c r="G291" s="119"/>
      <c r="H291" s="119"/>
      <c r="I291" s="119"/>
      <c r="J291" s="119"/>
      <c r="K291" s="119"/>
      <c r="L291" s="119"/>
      <c r="M291" s="119"/>
      <c r="N291" s="119">
        <f t="shared" si="9"/>
        <v>121.8225099197394</v>
      </c>
      <c r="O291" s="119">
        <f>N291/(0.5*E$290)</f>
        <v>2.8586043894016679</v>
      </c>
      <c r="P291" s="119"/>
      <c r="Q291" s="119"/>
    </row>
    <row r="292" spans="1:17">
      <c r="A292" s="119"/>
      <c r="B292" s="19" t="s">
        <v>392</v>
      </c>
      <c r="C292" s="83">
        <f>NYSEG!AI12</f>
        <v>10.1</v>
      </c>
      <c r="D292" s="119">
        <f>NYSEG!AB12</f>
        <v>44.967600446103212</v>
      </c>
      <c r="G292" s="119"/>
      <c r="H292" s="119"/>
      <c r="I292" s="119"/>
      <c r="J292" s="119"/>
      <c r="K292" s="119"/>
      <c r="L292" s="119"/>
      <c r="M292" s="119"/>
      <c r="N292" s="119">
        <f t="shared" si="9"/>
        <v>28.817666616287031</v>
      </c>
      <c r="O292" s="119">
        <f t="shared" ref="O292:O355" si="11">N292/(0.5*E$290)</f>
        <v>0.67621581870136727</v>
      </c>
      <c r="P292" s="119"/>
      <c r="Q292" s="119"/>
    </row>
    <row r="293" spans="1:17">
      <c r="A293" s="119"/>
      <c r="B293" s="19" t="s">
        <v>393</v>
      </c>
      <c r="C293" s="83">
        <f>NYSEG!AI13</f>
        <v>8.8000000000000007</v>
      </c>
      <c r="D293" s="119">
        <f>NYSEG!AB13</f>
        <v>43.485776642697409</v>
      </c>
      <c r="G293" s="119"/>
      <c r="H293" s="119"/>
      <c r="I293" s="119"/>
      <c r="J293" s="119"/>
      <c r="K293" s="119"/>
      <c r="L293" s="119"/>
      <c r="M293" s="119"/>
      <c r="N293" s="119">
        <f t="shared" si="9"/>
        <v>27.868033904579207</v>
      </c>
      <c r="O293" s="119">
        <f t="shared" si="11"/>
        <v>0.65393238159441647</v>
      </c>
      <c r="P293" s="119"/>
      <c r="Q293" s="119"/>
    </row>
    <row r="294" spans="1:17">
      <c r="A294" s="119"/>
      <c r="B294" s="19" t="s">
        <v>394</v>
      </c>
      <c r="C294" s="83">
        <f>NYSEG!AI14</f>
        <v>23.200000000000003</v>
      </c>
      <c r="D294" s="119">
        <f>NYSEG!AB14</f>
        <v>21.547174282389015</v>
      </c>
      <c r="G294" s="119"/>
      <c r="H294" s="119"/>
      <c r="I294" s="119"/>
      <c r="J294" s="119"/>
      <c r="K294" s="119"/>
      <c r="L294" s="119"/>
      <c r="M294" s="119"/>
      <c r="N294" s="119">
        <f t="shared" si="9"/>
        <v>13.80859282756613</v>
      </c>
      <c r="O294" s="119">
        <f t="shared" si="11"/>
        <v>0.32402307335768415</v>
      </c>
      <c r="P294" s="119"/>
      <c r="Q294" s="119"/>
    </row>
    <row r="295" spans="1:17">
      <c r="A295" s="119"/>
      <c r="B295" s="19" t="s">
        <v>395</v>
      </c>
      <c r="C295" s="83">
        <f>NYSEG!AI15</f>
        <v>100</v>
      </c>
      <c r="D295" s="119">
        <f>NYSEG!AB15</f>
        <v>45.719428937923745</v>
      </c>
      <c r="G295" s="119"/>
      <c r="H295" s="119"/>
      <c r="I295" s="119"/>
      <c r="J295" s="119"/>
      <c r="K295" s="119"/>
      <c r="L295" s="119"/>
      <c r="M295" s="119"/>
      <c r="N295" s="119">
        <f t="shared" si="9"/>
        <v>29.299478912584185</v>
      </c>
      <c r="O295" s="119">
        <f t="shared" si="11"/>
        <v>0.68752169924815743</v>
      </c>
      <c r="P295" s="119"/>
      <c r="Q295" s="119"/>
    </row>
    <row r="296" spans="1:17">
      <c r="A296" s="119"/>
      <c r="B296" s="19" t="s">
        <v>396</v>
      </c>
      <c r="C296" s="83">
        <f>NYSEG!AI16</f>
        <v>10.55</v>
      </c>
      <c r="D296" s="119">
        <f>NYSEG!AB16</f>
        <v>112.47456618302658</v>
      </c>
      <c r="G296" s="119"/>
      <c r="H296" s="119"/>
      <c r="I296" s="119"/>
      <c r="J296" s="119"/>
      <c r="K296" s="119"/>
      <c r="L296" s="119"/>
      <c r="M296" s="119"/>
      <c r="N296" s="119">
        <f t="shared" si="9"/>
        <v>72.079775636657317</v>
      </c>
      <c r="O296" s="119">
        <f t="shared" si="11"/>
        <v>1.6913751256462108</v>
      </c>
      <c r="P296" s="119"/>
      <c r="Q296" s="119"/>
    </row>
    <row r="297" spans="1:17">
      <c r="A297" s="119"/>
      <c r="B297" s="19" t="s">
        <v>397</v>
      </c>
      <c r="C297" s="83">
        <f>NYSEG!AI17</f>
        <v>53.970999999999989</v>
      </c>
      <c r="D297" s="119">
        <f>NYSEG!AB17</f>
        <v>213.59406194671172</v>
      </c>
      <c r="G297" s="119"/>
      <c r="H297" s="119"/>
      <c r="I297" s="119"/>
      <c r="J297" s="119"/>
      <c r="K297" s="119"/>
      <c r="L297" s="119"/>
      <c r="M297" s="119"/>
      <c r="N297" s="119">
        <f t="shared" si="9"/>
        <v>136.88260897479799</v>
      </c>
      <c r="O297" s="119">
        <f t="shared" si="11"/>
        <v>3.2119944590363985</v>
      </c>
      <c r="P297" s="119"/>
      <c r="Q297" s="119"/>
    </row>
    <row r="298" spans="1:17">
      <c r="A298" s="119"/>
      <c r="B298" s="19" t="s">
        <v>398</v>
      </c>
      <c r="C298" s="83">
        <f>NYSEG!AI18</f>
        <v>28.207000000000001</v>
      </c>
      <c r="D298" s="119">
        <f>NYSEG!AB18</f>
        <v>94.65098019166328</v>
      </c>
      <c r="G298" s="119"/>
      <c r="H298" s="119"/>
      <c r="I298" s="119"/>
      <c r="J298" s="119"/>
      <c r="K298" s="119"/>
      <c r="L298" s="119"/>
      <c r="M298" s="119"/>
      <c r="N298" s="119">
        <f t="shared" si="9"/>
        <v>60.65745925974818</v>
      </c>
      <c r="O298" s="119">
        <f t="shared" si="11"/>
        <v>1.423346796943419</v>
      </c>
      <c r="P298" s="119"/>
      <c r="Q298" s="119"/>
    </row>
    <row r="299" spans="1:17">
      <c r="A299" s="119"/>
      <c r="B299" s="19" t="s">
        <v>399</v>
      </c>
      <c r="C299" s="83">
        <f>NYSEG!AI19</f>
        <v>21.094000000000001</v>
      </c>
      <c r="D299" s="119">
        <f>NYSEG!AB19</f>
        <v>116.87403376589741</v>
      </c>
      <c r="G299" s="119"/>
      <c r="H299" s="119"/>
      <c r="I299" s="119"/>
      <c r="J299" s="119"/>
      <c r="K299" s="119"/>
      <c r="L299" s="119"/>
      <c r="M299" s="119"/>
      <c r="N299" s="119">
        <f t="shared" si="9"/>
        <v>74.899192035010415</v>
      </c>
      <c r="O299" s="119">
        <f t="shared" si="11"/>
        <v>1.7575336385285438</v>
      </c>
      <c r="P299" s="119"/>
      <c r="Q299" s="119"/>
    </row>
    <row r="300" spans="1:17">
      <c r="A300" s="119"/>
      <c r="B300" s="19" t="s">
        <v>400</v>
      </c>
      <c r="C300" s="83">
        <f>NYSEG!AI20</f>
        <v>29.206999999999997</v>
      </c>
      <c r="D300" s="119">
        <f>NYSEG!AB20</f>
        <v>103.4472089396177</v>
      </c>
      <c r="G300" s="119"/>
      <c r="H300" s="119"/>
      <c r="I300" s="119"/>
      <c r="J300" s="119"/>
      <c r="K300" s="119"/>
      <c r="L300" s="119"/>
      <c r="M300" s="119"/>
      <c r="N300" s="119">
        <f t="shared" si="9"/>
        <v>66.294557637789765</v>
      </c>
      <c r="O300" s="119">
        <f t="shared" si="11"/>
        <v>1.5556231240161027</v>
      </c>
      <c r="P300" s="119"/>
      <c r="Q300" s="119"/>
    </row>
    <row r="301" spans="1:17">
      <c r="A301" s="119"/>
      <c r="B301" s="19" t="s">
        <v>402</v>
      </c>
      <c r="C301" s="83">
        <f>NYSEG!AI21</f>
        <v>10</v>
      </c>
      <c r="D301" s="119">
        <f>NYSEG!AB21</f>
        <v>10.64159757551381</v>
      </c>
      <c r="G301" s="119"/>
      <c r="H301" s="119"/>
      <c r="I301" s="119"/>
      <c r="J301" s="119"/>
      <c r="K301" s="119"/>
      <c r="L301" s="119"/>
      <c r="M301" s="119"/>
      <c r="N301" s="119">
        <f t="shared" si="9"/>
        <v>6.8197103726583279</v>
      </c>
      <c r="O301" s="119">
        <f t="shared" si="11"/>
        <v>0.16002669800985891</v>
      </c>
      <c r="P301" s="119"/>
      <c r="Q301" s="119"/>
    </row>
    <row r="302" spans="1:17">
      <c r="A302" s="119"/>
      <c r="B302" s="19" t="s">
        <v>403</v>
      </c>
      <c r="C302" s="83">
        <f>NYSEG!AI22</f>
        <v>10</v>
      </c>
      <c r="D302" s="119">
        <f>NYSEG!AB22</f>
        <v>11.360558495403357</v>
      </c>
      <c r="G302" s="119"/>
      <c r="H302" s="119"/>
      <c r="I302" s="119"/>
      <c r="J302" s="119"/>
      <c r="K302" s="119"/>
      <c r="L302" s="119"/>
      <c r="M302" s="119"/>
      <c r="N302" s="119">
        <f t="shared" si="9"/>
        <v>7.2804593540132228</v>
      </c>
      <c r="O302" s="119">
        <f t="shared" si="11"/>
        <v>0.1708383210947978</v>
      </c>
      <c r="P302" s="119"/>
      <c r="Q302" s="119"/>
    </row>
    <row r="303" spans="1:17">
      <c r="A303" s="119"/>
      <c r="B303" s="19" t="s">
        <v>404</v>
      </c>
      <c r="C303" s="83">
        <f>NYSEG!AI23</f>
        <v>90</v>
      </c>
      <c r="D303" s="119">
        <f>NYSEG!AB23</f>
        <v>20.298574845255118</v>
      </c>
      <c r="G303" s="119"/>
      <c r="H303" s="119"/>
      <c r="I303" s="119"/>
      <c r="J303" s="119"/>
      <c r="K303" s="119"/>
      <c r="L303" s="119"/>
      <c r="M303" s="119"/>
      <c r="N303" s="119">
        <f t="shared" si="9"/>
        <v>13.008422883881124</v>
      </c>
      <c r="O303" s="119">
        <f t="shared" si="11"/>
        <v>0.30524682818926463</v>
      </c>
      <c r="P303" s="119"/>
      <c r="Q303" s="119"/>
    </row>
    <row r="304" spans="1:17">
      <c r="A304" s="119"/>
      <c r="B304" s="19" t="s">
        <v>405</v>
      </c>
      <c r="C304" s="83">
        <f>NYSEG!AI24</f>
        <v>22.4</v>
      </c>
      <c r="D304" s="119">
        <f>NYSEG!AB24</f>
        <v>16.982428978851278</v>
      </c>
      <c r="G304" s="119"/>
      <c r="H304" s="119"/>
      <c r="I304" s="119"/>
      <c r="J304" s="119"/>
      <c r="K304" s="119"/>
      <c r="L304" s="119"/>
      <c r="M304" s="119"/>
      <c r="N304" s="119">
        <f t="shared" si="9"/>
        <v>10.883257540812757</v>
      </c>
      <c r="O304" s="119">
        <f t="shared" si="11"/>
        <v>0.25537913968159931</v>
      </c>
      <c r="P304" s="119"/>
      <c r="Q304" s="119"/>
    </row>
    <row r="305" spans="2:15">
      <c r="B305" s="19" t="s">
        <v>406</v>
      </c>
      <c r="C305" s="83">
        <f>NYSEG!AI25</f>
        <v>54.4</v>
      </c>
      <c r="D305" s="119">
        <f>NYSEG!AB25</f>
        <v>47.300025201092204</v>
      </c>
      <c r="G305" s="119"/>
      <c r="H305" s="119"/>
      <c r="I305" s="119"/>
      <c r="J305" s="119"/>
      <c r="K305" s="119"/>
      <c r="L305" s="119"/>
      <c r="M305" s="119"/>
      <c r="N305" s="119">
        <f t="shared" si="9"/>
        <v>30.312410350220745</v>
      </c>
      <c r="O305" s="119">
        <f t="shared" si="11"/>
        <v>0.71129046132421803</v>
      </c>
    </row>
    <row r="306" spans="2:15">
      <c r="B306" s="19" t="s">
        <v>407</v>
      </c>
      <c r="C306" s="83">
        <f>NYSEG!AI26</f>
        <v>11.7</v>
      </c>
      <c r="D306" s="119">
        <f>NYSEG!AB26</f>
        <v>34.129507637438572</v>
      </c>
      <c r="G306" s="119"/>
      <c r="H306" s="119"/>
      <c r="I306" s="119"/>
      <c r="J306" s="119"/>
      <c r="K306" s="119"/>
      <c r="L306" s="119"/>
      <c r="M306" s="119"/>
      <c r="N306" s="119">
        <f t="shared" si="9"/>
        <v>21.87203148748306</v>
      </c>
      <c r="O306" s="119">
        <f t="shared" si="11"/>
        <v>0.51323425577459414</v>
      </c>
    </row>
    <row r="307" spans="2:15">
      <c r="B307" s="19" t="s">
        <v>408</v>
      </c>
      <c r="C307" s="83">
        <f>NYSEG!AI27</f>
        <v>22.4</v>
      </c>
      <c r="D307" s="119">
        <f>NYSEG!AB27</f>
        <v>84.104205845854423</v>
      </c>
      <c r="G307" s="119"/>
      <c r="H307" s="119"/>
      <c r="I307" s="119"/>
      <c r="J307" s="119"/>
      <c r="K307" s="119"/>
      <c r="L307" s="119"/>
      <c r="M307" s="119"/>
      <c r="N307" s="119">
        <f t="shared" si="9"/>
        <v>53.898516733139196</v>
      </c>
      <c r="O307" s="119">
        <f t="shared" si="11"/>
        <v>1.2647460359920364</v>
      </c>
    </row>
    <row r="308" spans="2:15">
      <c r="B308" s="19" t="s">
        <v>409</v>
      </c>
      <c r="C308" s="83">
        <f>NYSEG!AI28</f>
        <v>50</v>
      </c>
      <c r="D308" s="119">
        <f>NYSEG!AB28</f>
        <v>7.6081281825253733</v>
      </c>
      <c r="G308" s="119"/>
      <c r="H308" s="119"/>
      <c r="I308" s="119"/>
      <c r="J308" s="119"/>
      <c r="K308" s="119"/>
      <c r="L308" s="119"/>
      <c r="M308" s="119"/>
      <c r="N308" s="119">
        <f t="shared" si="9"/>
        <v>4.875699378284116</v>
      </c>
      <c r="O308" s="119">
        <f t="shared" si="11"/>
        <v>0.11440985457735652</v>
      </c>
    </row>
    <row r="309" spans="2:15">
      <c r="B309" s="19" t="s">
        <v>410</v>
      </c>
      <c r="C309" s="83">
        <f>NYSEG!AI29</f>
        <v>38.4</v>
      </c>
      <c r="D309" s="119">
        <f>NYSEG!AB29</f>
        <v>32.141227089971736</v>
      </c>
      <c r="G309" s="119"/>
      <c r="H309" s="119"/>
      <c r="I309" s="119"/>
      <c r="J309" s="119"/>
      <c r="K309" s="119"/>
      <c r="L309" s="119"/>
      <c r="M309" s="119"/>
      <c r="N309" s="119">
        <f t="shared" si="9"/>
        <v>20.597833945516747</v>
      </c>
      <c r="O309" s="119">
        <f t="shared" si="11"/>
        <v>0.48333480050290856</v>
      </c>
    </row>
    <row r="310" spans="2:15">
      <c r="B310" s="19" t="s">
        <v>411</v>
      </c>
      <c r="C310" s="83">
        <f>NYSEG!AI30</f>
        <v>22.4</v>
      </c>
      <c r="D310" s="119">
        <f>NYSEG!AB30</f>
        <v>16.982428978851278</v>
      </c>
      <c r="G310" s="119"/>
      <c r="H310" s="119"/>
      <c r="I310" s="119"/>
      <c r="J310" s="119"/>
      <c r="K310" s="119"/>
      <c r="L310" s="119"/>
      <c r="M310" s="119"/>
      <c r="N310" s="119">
        <f t="shared" si="9"/>
        <v>10.883257540812757</v>
      </c>
      <c r="O310" s="119">
        <f t="shared" si="11"/>
        <v>0.25537913968159931</v>
      </c>
    </row>
    <row r="311" spans="2:15">
      <c r="B311" s="19" t="s">
        <v>412</v>
      </c>
      <c r="C311" s="83">
        <f>NYSEG!AI31</f>
        <v>22.4</v>
      </c>
      <c r="D311" s="119">
        <f>NYSEG!AB31</f>
        <v>16.982428978851278</v>
      </c>
      <c r="G311" s="119"/>
      <c r="H311" s="119"/>
      <c r="I311" s="119"/>
      <c r="J311" s="119"/>
      <c r="K311" s="119"/>
      <c r="L311" s="119"/>
      <c r="M311" s="119"/>
      <c r="N311" s="119">
        <f t="shared" si="9"/>
        <v>10.883257540812757</v>
      </c>
      <c r="O311" s="119">
        <f t="shared" si="11"/>
        <v>0.25537913968159931</v>
      </c>
    </row>
    <row r="312" spans="2:15">
      <c r="B312" s="19" t="s">
        <v>413</v>
      </c>
      <c r="C312" s="83">
        <f>NYSEG!AI32</f>
        <v>3</v>
      </c>
      <c r="D312" s="119">
        <f>NYSEG!AB32</f>
        <v>27.520873963610754</v>
      </c>
      <c r="G312" s="119"/>
      <c r="H312" s="119"/>
      <c r="I312" s="119"/>
      <c r="J312" s="119"/>
      <c r="K312" s="119"/>
      <c r="L312" s="119"/>
      <c r="M312" s="119"/>
      <c r="N312" s="119">
        <f t="shared" si="9"/>
        <v>17.636862163075808</v>
      </c>
      <c r="O312" s="119">
        <f t="shared" si="11"/>
        <v>0.41385464499013291</v>
      </c>
    </row>
    <row r="313" spans="2:15">
      <c r="B313" s="19" t="s">
        <v>414</v>
      </c>
      <c r="C313" s="83">
        <f>NYSEG!AI33</f>
        <v>30</v>
      </c>
      <c r="D313" s="119">
        <f>NYSEG!AB33</f>
        <v>20.369676893921451</v>
      </c>
      <c r="G313" s="119"/>
      <c r="H313" s="119"/>
      <c r="I313" s="119"/>
      <c r="J313" s="119"/>
      <c r="K313" s="119"/>
      <c r="L313" s="119"/>
      <c r="M313" s="119"/>
      <c r="N313" s="119">
        <f t="shared" si="9"/>
        <v>13.053988916177138</v>
      </c>
      <c r="O313" s="119">
        <f t="shared" si="11"/>
        <v>0.30631604979711707</v>
      </c>
    </row>
    <row r="314" spans="2:15">
      <c r="B314" s="19" t="s">
        <v>415</v>
      </c>
      <c r="C314" s="83">
        <f>NYSEG!AI34</f>
        <v>34.299999999999997</v>
      </c>
      <c r="D314" s="119">
        <f>NYSEG!AB34</f>
        <v>69.753695391936404</v>
      </c>
      <c r="G314" s="119"/>
      <c r="H314" s="119"/>
      <c r="I314" s="119"/>
      <c r="J314" s="119"/>
      <c r="K314" s="119"/>
      <c r="L314" s="119"/>
      <c r="M314" s="119"/>
      <c r="N314" s="119">
        <f t="shared" si="9"/>
        <v>44.701934706704016</v>
      </c>
      <c r="O314" s="119">
        <f t="shared" si="11"/>
        <v>1.0489452799118966</v>
      </c>
    </row>
    <row r="315" spans="2:15">
      <c r="B315" s="19" t="s">
        <v>416</v>
      </c>
      <c r="C315" s="83">
        <f>NYSEG!AI35</f>
        <v>11</v>
      </c>
      <c r="D315" s="119">
        <f>NYSEG!AB35</f>
        <v>22.049160888902495</v>
      </c>
      <c r="G315" s="119"/>
      <c r="H315" s="119"/>
      <c r="I315" s="119"/>
      <c r="J315" s="119"/>
      <c r="K315" s="119"/>
      <c r="L315" s="119"/>
      <c r="M315" s="119"/>
      <c r="N315" s="119">
        <f t="shared" si="9"/>
        <v>14.13029295229672</v>
      </c>
      <c r="O315" s="119">
        <f t="shared" si="11"/>
        <v>0.33157187028554092</v>
      </c>
    </row>
    <row r="316" spans="2:15">
      <c r="B316" s="19" t="s">
        <v>417</v>
      </c>
      <c r="C316" s="83">
        <f>NYSEG!AI36</f>
        <v>16</v>
      </c>
      <c r="D316" s="119">
        <f>NYSEG!AB36</f>
        <v>15.158798111120463</v>
      </c>
      <c r="G316" s="119"/>
      <c r="H316" s="119"/>
      <c r="I316" s="119"/>
      <c r="J316" s="119"/>
      <c r="K316" s="119"/>
      <c r="L316" s="119"/>
      <c r="M316" s="119"/>
      <c r="N316" s="119">
        <f t="shared" si="9"/>
        <v>9.714576404703994</v>
      </c>
      <c r="O316" s="119">
        <f t="shared" si="11"/>
        <v>0.22795566082130936</v>
      </c>
    </row>
    <row r="317" spans="2:15">
      <c r="B317" s="19" t="s">
        <v>418</v>
      </c>
      <c r="C317" s="83">
        <f>NYSEG!AI37</f>
        <v>3.3</v>
      </c>
      <c r="D317" s="119">
        <f>NYSEG!AB37</f>
        <v>31.106841210674322</v>
      </c>
      <c r="G317" s="119"/>
      <c r="H317" s="119"/>
      <c r="I317" s="119"/>
      <c r="J317" s="119"/>
      <c r="K317" s="119"/>
      <c r="L317" s="119"/>
      <c r="M317" s="119"/>
      <c r="N317" s="119">
        <f t="shared" si="9"/>
        <v>19.934943617225482</v>
      </c>
      <c r="O317" s="119">
        <f t="shared" si="11"/>
        <v>0.46777986567687541</v>
      </c>
    </row>
    <row r="318" spans="2:15">
      <c r="B318" s="19" t="s">
        <v>419</v>
      </c>
      <c r="C318" s="83">
        <f>NYSEG!AI38</f>
        <v>71.950999999999993</v>
      </c>
      <c r="D318" s="119">
        <f>NYSEG!AB38</f>
        <v>448.63851493461596</v>
      </c>
      <c r="G318" s="119"/>
      <c r="H318" s="119"/>
      <c r="I318" s="119"/>
      <c r="J318" s="119"/>
      <c r="K318" s="119"/>
      <c r="L318" s="119"/>
      <c r="M318" s="119"/>
      <c r="N318" s="119">
        <f t="shared" si="9"/>
        <v>287.51178684990839</v>
      </c>
      <c r="O318" s="119">
        <f t="shared" si="11"/>
        <v>6.746556580022423</v>
      </c>
    </row>
    <row r="319" spans="2:15">
      <c r="B319" s="19" t="s">
        <v>420</v>
      </c>
      <c r="C319" s="83">
        <f>NYSEG!AI39</f>
        <v>14</v>
      </c>
      <c r="D319" s="119">
        <f>NYSEG!AB39</f>
        <v>16.505368186520794</v>
      </c>
      <c r="G319" s="119"/>
      <c r="H319" s="119"/>
      <c r="I319" s="119"/>
      <c r="J319" s="119"/>
      <c r="K319" s="119"/>
      <c r="L319" s="119"/>
      <c r="M319" s="119"/>
      <c r="N319" s="119">
        <f t="shared" si="9"/>
        <v>10.577531223804598</v>
      </c>
      <c r="O319" s="119">
        <f t="shared" si="11"/>
        <v>0.24820517329122602</v>
      </c>
    </row>
    <row r="320" spans="2:15">
      <c r="B320" s="19" t="s">
        <v>421</v>
      </c>
      <c r="C320" s="83">
        <f>NYSEG!AI40</f>
        <v>100</v>
      </c>
      <c r="D320" s="119">
        <f>NYSEG!AB40</f>
        <v>29.404644560698369</v>
      </c>
      <c r="G320" s="119"/>
      <c r="H320" s="119"/>
      <c r="I320" s="119"/>
      <c r="J320" s="119"/>
      <c r="K320" s="119"/>
      <c r="L320" s="119"/>
      <c r="M320" s="119"/>
      <c r="N320" s="119">
        <f t="shared" si="9"/>
        <v>18.844084085301795</v>
      </c>
      <c r="O320" s="119">
        <f t="shared" si="11"/>
        <v>0.44218249579644725</v>
      </c>
    </row>
    <row r="321" spans="2:15">
      <c r="B321" s="19" t="s">
        <v>422</v>
      </c>
      <c r="C321" s="83">
        <f>NYSEG!AI41</f>
        <v>22.4</v>
      </c>
      <c r="D321" s="119">
        <f>NYSEG!AB41</f>
        <v>16.982428978851278</v>
      </c>
      <c r="G321" s="119"/>
      <c r="H321" s="119"/>
      <c r="I321" s="119"/>
      <c r="J321" s="119"/>
      <c r="K321" s="119"/>
      <c r="L321" s="119"/>
      <c r="M321" s="119"/>
      <c r="N321" s="119">
        <f t="shared" si="9"/>
        <v>10.883257540812757</v>
      </c>
      <c r="O321" s="119">
        <f t="shared" si="11"/>
        <v>0.25537913968159931</v>
      </c>
    </row>
    <row r="322" spans="2:15">
      <c r="B322" s="19" t="s">
        <v>423</v>
      </c>
      <c r="C322" s="83">
        <f>NYSEG!AI42</f>
        <v>54.72199999999998</v>
      </c>
      <c r="D322" s="119">
        <f>NYSEG!AB42</f>
        <v>335.84171731833891</v>
      </c>
      <c r="G322" s="119"/>
      <c r="H322" s="119"/>
      <c r="I322" s="119"/>
      <c r="J322" s="119"/>
      <c r="K322" s="119"/>
      <c r="L322" s="119"/>
      <c r="M322" s="119"/>
      <c r="N322" s="119">
        <f t="shared" si="9"/>
        <v>215.22550791032677</v>
      </c>
      <c r="O322" s="119">
        <f t="shared" si="11"/>
        <v>5.0503357879344826</v>
      </c>
    </row>
    <row r="323" spans="2:15">
      <c r="B323" s="19" t="s">
        <v>424</v>
      </c>
      <c r="C323" s="83">
        <f>NYSEG!AI43</f>
        <v>18</v>
      </c>
      <c r="D323" s="119">
        <f>NYSEG!AB43</f>
        <v>24.717158860190743</v>
      </c>
      <c r="G323" s="119"/>
      <c r="H323" s="119"/>
      <c r="I323" s="119"/>
      <c r="J323" s="119"/>
      <c r="K323" s="119"/>
      <c r="L323" s="119"/>
      <c r="M323" s="119"/>
      <c r="N323" s="119">
        <f t="shared" si="9"/>
        <v>15.840090124188679</v>
      </c>
      <c r="O323" s="119">
        <f t="shared" si="11"/>
        <v>0.37169281101954027</v>
      </c>
    </row>
    <row r="324" spans="2:15">
      <c r="B324" s="19" t="s">
        <v>425</v>
      </c>
      <c r="C324" s="83">
        <f>NYSEG!AI44</f>
        <v>80</v>
      </c>
      <c r="D324" s="119">
        <f>NYSEG!AB44</f>
        <v>150.81835924319182</v>
      </c>
      <c r="G324" s="119"/>
      <c r="H324" s="119"/>
      <c r="I324" s="119"/>
      <c r="J324" s="119"/>
      <c r="K324" s="119"/>
      <c r="L324" s="119"/>
      <c r="M324" s="119"/>
      <c r="N324" s="119">
        <f t="shared" si="9"/>
        <v>96.652548794436456</v>
      </c>
      <c r="O324" s="119">
        <f t="shared" si="11"/>
        <v>2.2679831536278852</v>
      </c>
    </row>
    <row r="325" spans="2:15">
      <c r="B325" s="19" t="s">
        <v>426</v>
      </c>
      <c r="C325" s="83">
        <f>NYSEG!AI45</f>
        <v>14</v>
      </c>
      <c r="D325" s="119">
        <f>NYSEG!AB45</f>
        <v>35.460219739266748</v>
      </c>
      <c r="G325" s="119"/>
      <c r="H325" s="119"/>
      <c r="I325" s="119"/>
      <c r="J325" s="119"/>
      <c r="K325" s="119"/>
      <c r="L325" s="119"/>
      <c r="M325" s="119"/>
      <c r="N325" s="119">
        <f t="shared" si="9"/>
        <v>22.724823660788054</v>
      </c>
      <c r="O325" s="119">
        <f t="shared" si="11"/>
        <v>0.53324529849127389</v>
      </c>
    </row>
    <row r="326" spans="2:15">
      <c r="B326" s="19" t="s">
        <v>427</v>
      </c>
      <c r="C326" s="83">
        <f>NYSEG!AI46</f>
        <v>74.599999999999994</v>
      </c>
      <c r="D326" s="119">
        <f>NYSEG!AB46</f>
        <v>42.010876633030897</v>
      </c>
      <c r="G326" s="119"/>
      <c r="H326" s="119"/>
      <c r="I326" s="119"/>
      <c r="J326" s="119"/>
      <c r="K326" s="119"/>
      <c r="L326" s="119"/>
      <c r="M326" s="119"/>
      <c r="N326" s="119">
        <f t="shared" si="9"/>
        <v>26.922838333784384</v>
      </c>
      <c r="O326" s="119">
        <f t="shared" si="11"/>
        <v>0.63175306342655724</v>
      </c>
    </row>
    <row r="327" spans="2:15">
      <c r="B327" s="19" t="s">
        <v>428</v>
      </c>
      <c r="C327" s="83">
        <f>NYSEG!AI47</f>
        <v>100</v>
      </c>
      <c r="D327" s="119">
        <f>NYSEG!AB47</f>
        <v>34.027485647887453</v>
      </c>
      <c r="G327" s="119"/>
      <c r="H327" s="119"/>
      <c r="I327" s="119"/>
      <c r="J327" s="119"/>
      <c r="K327" s="119"/>
      <c r="L327" s="119"/>
      <c r="M327" s="119"/>
      <c r="N327" s="119">
        <f t="shared" si="9"/>
        <v>21.806650287391268</v>
      </c>
      <c r="O327" s="119">
        <f t="shared" si="11"/>
        <v>0.51170006487925068</v>
      </c>
    </row>
    <row r="328" spans="2:15">
      <c r="B328" s="19" t="s">
        <v>429</v>
      </c>
      <c r="C328" s="83">
        <f>NYSEG!AI48</f>
        <v>26.8</v>
      </c>
      <c r="D328" s="119">
        <f>NYSEG!AB48</f>
        <v>70.174209883785394</v>
      </c>
      <c r="G328" s="119"/>
      <c r="H328" s="119"/>
      <c r="I328" s="119"/>
      <c r="J328" s="119"/>
      <c r="K328" s="119"/>
      <c r="L328" s="119"/>
      <c r="M328" s="119"/>
      <c r="N328" s="119">
        <f t="shared" si="9"/>
        <v>44.971423100863404</v>
      </c>
      <c r="O328" s="119">
        <f t="shared" si="11"/>
        <v>1.0552689117837435</v>
      </c>
    </row>
    <row r="329" spans="2:15">
      <c r="B329" s="19" t="s">
        <v>430</v>
      </c>
      <c r="C329" s="83">
        <f>NYSEG!AI49</f>
        <v>7.5</v>
      </c>
      <c r="D329" s="119">
        <f>NYSEG!AB49</f>
        <v>23.589521243090953</v>
      </c>
      <c r="G329" s="119"/>
      <c r="H329" s="119"/>
      <c r="I329" s="119"/>
      <c r="J329" s="119"/>
      <c r="K329" s="119"/>
      <c r="L329" s="119"/>
      <c r="M329" s="119"/>
      <c r="N329" s="119">
        <f t="shared" si="9"/>
        <v>15.117439046719811</v>
      </c>
      <c r="O329" s="119">
        <f t="shared" si="11"/>
        <v>0.35473557098714109</v>
      </c>
    </row>
    <row r="330" spans="2:15">
      <c r="B330" s="19" t="s">
        <v>431</v>
      </c>
      <c r="C330" s="83">
        <f>NYSEG!AI50</f>
        <v>7</v>
      </c>
      <c r="D330" s="119">
        <f>NYSEG!AB50</f>
        <v>27.300801131796977</v>
      </c>
      <c r="G330" s="119"/>
      <c r="H330" s="119"/>
      <c r="I330" s="119"/>
      <c r="J330" s="119"/>
      <c r="K330" s="119"/>
      <c r="L330" s="119"/>
      <c r="M330" s="119"/>
      <c r="N330" s="119">
        <f t="shared" si="9"/>
        <v>17.49582760851662</v>
      </c>
      <c r="O330" s="119">
        <f t="shared" si="11"/>
        <v>0.41054522379214725</v>
      </c>
    </row>
    <row r="331" spans="2:15">
      <c r="B331" s="19" t="s">
        <v>432</v>
      </c>
      <c r="C331" s="83">
        <f>NYSEG!AI51</f>
        <v>27.107999999999997</v>
      </c>
      <c r="D331" s="119">
        <f>NYSEG!AB51</f>
        <v>35.088693184764004</v>
      </c>
      <c r="G331" s="119"/>
      <c r="H331" s="119"/>
      <c r="I331" s="119"/>
      <c r="J331" s="119"/>
      <c r="K331" s="119"/>
      <c r="L331" s="119"/>
      <c r="M331" s="119"/>
      <c r="N331" s="119">
        <f t="shared" si="9"/>
        <v>22.486729382228752</v>
      </c>
      <c r="O331" s="119">
        <f t="shared" si="11"/>
        <v>0.52765833964245801</v>
      </c>
    </row>
    <row r="332" spans="2:15">
      <c r="B332" s="19" t="s">
        <v>433</v>
      </c>
      <c r="C332" s="83">
        <f>NYSEG!AI52</f>
        <v>33</v>
      </c>
      <c r="D332" s="119">
        <f>NYSEG!AB52</f>
        <v>112.70650087275148</v>
      </c>
      <c r="G332" s="119"/>
      <c r="H332" s="119"/>
      <c r="I332" s="119"/>
      <c r="J332" s="119"/>
      <c r="K332" s="119"/>
      <c r="L332" s="119"/>
      <c r="M332" s="119"/>
      <c r="N332" s="119">
        <f t="shared" si="9"/>
        <v>72.228411910306278</v>
      </c>
      <c r="O332" s="119">
        <f t="shared" si="11"/>
        <v>1.6948629236283503</v>
      </c>
    </row>
    <row r="333" spans="2:15">
      <c r="B333" s="19" t="s">
        <v>434</v>
      </c>
      <c r="C333" s="83">
        <f>NYSEG!AI53</f>
        <v>100.1</v>
      </c>
      <c r="D333" s="119">
        <f>NYSEG!AB53</f>
        <v>199.95139307555164</v>
      </c>
      <c r="G333" s="119"/>
      <c r="H333" s="119"/>
      <c r="I333" s="119"/>
      <c r="J333" s="119"/>
      <c r="K333" s="119"/>
      <c r="L333" s="119"/>
      <c r="M333" s="119"/>
      <c r="N333" s="119">
        <f t="shared" si="9"/>
        <v>128.13965005803956</v>
      </c>
      <c r="O333" s="119">
        <f t="shared" si="11"/>
        <v>3.006838115169653</v>
      </c>
    </row>
    <row r="334" spans="2:15">
      <c r="B334" s="19" t="s">
        <v>435</v>
      </c>
      <c r="C334" s="83">
        <f>NYSEG!AI54</f>
        <v>200</v>
      </c>
      <c r="D334" s="119">
        <f>NYSEG!AB54</f>
        <v>164.20400355098516</v>
      </c>
      <c r="G334" s="119"/>
      <c r="H334" s="119"/>
      <c r="I334" s="119"/>
      <c r="J334" s="119"/>
      <c r="K334" s="119"/>
      <c r="L334" s="119"/>
      <c r="M334" s="119"/>
      <c r="N334" s="119">
        <f t="shared" si="9"/>
        <v>105.23079249166305</v>
      </c>
      <c r="O334" s="119">
        <f t="shared" si="11"/>
        <v>2.4692744018742472</v>
      </c>
    </row>
    <row r="335" spans="2:15">
      <c r="B335" s="19" t="s">
        <v>436</v>
      </c>
      <c r="C335" s="83">
        <f>NYSEG!AI55</f>
        <v>36.4</v>
      </c>
      <c r="D335" s="119">
        <f>NYSEG!AB55</f>
        <v>38.82675339657245</v>
      </c>
      <c r="G335" s="119"/>
      <c r="H335" s="119"/>
      <c r="I335" s="119"/>
      <c r="J335" s="119"/>
      <c r="K335" s="119"/>
      <c r="L335" s="119"/>
      <c r="M335" s="119"/>
      <c r="N335" s="119">
        <f t="shared" si="9"/>
        <v>24.882280221207044</v>
      </c>
      <c r="O335" s="119">
        <f t="shared" si="11"/>
        <v>0.58387071080317232</v>
      </c>
    </row>
    <row r="336" spans="2:15">
      <c r="B336" s="19" t="s">
        <v>437</v>
      </c>
      <c r="C336" s="83">
        <f>NYSEG!AI56</f>
        <v>14</v>
      </c>
      <c r="D336" s="119">
        <f>NYSEG!AB56</f>
        <v>21.844324417721172</v>
      </c>
      <c r="G336" s="119"/>
      <c r="H336" s="119"/>
      <c r="I336" s="119"/>
      <c r="J336" s="119"/>
      <c r="K336" s="119"/>
      <c r="L336" s="119"/>
      <c r="M336" s="119"/>
      <c r="N336" s="119">
        <f t="shared" si="9"/>
        <v>13.999022680394285</v>
      </c>
      <c r="O336" s="119">
        <f t="shared" si="11"/>
        <v>0.32849157112157296</v>
      </c>
    </row>
    <row r="337" spans="2:15">
      <c r="B337" s="19" t="s">
        <v>438</v>
      </c>
      <c r="C337" s="83">
        <f>NYSEG!AI57</f>
        <v>14</v>
      </c>
      <c r="D337" s="119">
        <f>NYSEG!AB57</f>
        <v>21.844324417721172</v>
      </c>
      <c r="G337" s="119"/>
      <c r="H337" s="119"/>
      <c r="I337" s="119"/>
      <c r="J337" s="119"/>
      <c r="K337" s="119"/>
      <c r="L337" s="119"/>
      <c r="M337" s="119"/>
      <c r="N337" s="119">
        <f t="shared" si="9"/>
        <v>13.999022680394285</v>
      </c>
      <c r="O337" s="119">
        <f t="shared" si="11"/>
        <v>0.32849157112157296</v>
      </c>
    </row>
    <row r="338" spans="2:15">
      <c r="B338" s="19" t="s">
        <v>439</v>
      </c>
      <c r="C338" s="83">
        <f>NYSEG!AI58</f>
        <v>13.042</v>
      </c>
      <c r="D338" s="119">
        <f>NYSEG!AB58</f>
        <v>37.902026069374756</v>
      </c>
      <c r="G338" s="119"/>
      <c r="H338" s="119"/>
      <c r="I338" s="119"/>
      <c r="J338" s="119"/>
      <c r="K338" s="119"/>
      <c r="L338" s="119"/>
      <c r="M338" s="119"/>
      <c r="N338" s="119">
        <f t="shared" si="9"/>
        <v>24.28966501466309</v>
      </c>
      <c r="O338" s="119">
        <f t="shared" si="11"/>
        <v>0.56996480431865792</v>
      </c>
    </row>
    <row r="339" spans="2:15">
      <c r="B339" s="19" t="s">
        <v>440</v>
      </c>
      <c r="C339" s="83">
        <f>NYSEG!AI59</f>
        <v>13.019999999999998</v>
      </c>
      <c r="D339" s="119">
        <f>NYSEG!AB59</f>
        <v>128.75512004381056</v>
      </c>
      <c r="G339" s="119"/>
      <c r="H339" s="119"/>
      <c r="I339" s="119"/>
      <c r="J339" s="119"/>
      <c r="K339" s="119"/>
      <c r="L339" s="119"/>
      <c r="M339" s="119"/>
      <c r="N339" s="119">
        <f t="shared" si="9"/>
        <v>82.513233700556185</v>
      </c>
      <c r="O339" s="119">
        <f t="shared" si="11"/>
        <v>1.9361995758873796</v>
      </c>
    </row>
    <row r="340" spans="2:15">
      <c r="B340" s="19" t="s">
        <v>441</v>
      </c>
      <c r="C340" s="83">
        <f>NYSEG!AI60</f>
        <v>1</v>
      </c>
      <c r="D340" s="119">
        <f>NYSEG!AB60</f>
        <v>66.820247935407153</v>
      </c>
      <c r="G340" s="119"/>
      <c r="H340" s="119"/>
      <c r="I340" s="119"/>
      <c r="J340" s="119"/>
      <c r="K340" s="119"/>
      <c r="L340" s="119"/>
      <c r="M340" s="119"/>
      <c r="N340" s="119">
        <f t="shared" si="9"/>
        <v>42.822023170397415</v>
      </c>
      <c r="O340" s="119">
        <f t="shared" si="11"/>
        <v>1.0048325508857634</v>
      </c>
    </row>
    <row r="341" spans="2:15">
      <c r="B341" s="19" t="s">
        <v>442</v>
      </c>
      <c r="C341" s="83">
        <f>NYSEG!AI61</f>
        <v>22.4</v>
      </c>
      <c r="D341" s="119">
        <f>NYSEG!AB61</f>
        <v>79.041777039355594</v>
      </c>
      <c r="G341" s="119"/>
      <c r="H341" s="119"/>
      <c r="I341" s="119"/>
      <c r="J341" s="119"/>
      <c r="K341" s="119"/>
      <c r="L341" s="119"/>
      <c r="M341" s="119"/>
      <c r="N341" s="119">
        <f t="shared" si="9"/>
        <v>50.654238982779191</v>
      </c>
      <c r="O341" s="119">
        <f t="shared" si="11"/>
        <v>1.1886180147935947</v>
      </c>
    </row>
    <row r="342" spans="2:15">
      <c r="B342" s="19" t="s">
        <v>443</v>
      </c>
      <c r="C342" s="83">
        <f>NYSEG!AI62</f>
        <v>22.4</v>
      </c>
      <c r="D342" s="119">
        <f>NYSEG!AB62</f>
        <v>14.840044960610006</v>
      </c>
      <c r="G342" s="119"/>
      <c r="H342" s="119"/>
      <c r="I342" s="119"/>
      <c r="J342" s="119"/>
      <c r="K342" s="119"/>
      <c r="L342" s="119"/>
      <c r="M342" s="119"/>
      <c r="N342" s="119">
        <f t="shared" si="9"/>
        <v>9.5103021731867656</v>
      </c>
      <c r="O342" s="119">
        <f t="shared" si="11"/>
        <v>0.22316230025730915</v>
      </c>
    </row>
    <row r="343" spans="2:15">
      <c r="B343" s="19" t="s">
        <v>444</v>
      </c>
      <c r="C343" s="83">
        <f>NYSEG!AI63</f>
        <v>50</v>
      </c>
      <c r="D343" s="119">
        <f>NYSEG!AB63</f>
        <v>51.657640517535143</v>
      </c>
      <c r="G343" s="119"/>
      <c r="H343" s="119"/>
      <c r="I343" s="119"/>
      <c r="J343" s="119"/>
      <c r="K343" s="119"/>
      <c r="L343" s="119"/>
      <c r="M343" s="119"/>
      <c r="N343" s="119">
        <f t="shared" si="9"/>
        <v>33.105005556224469</v>
      </c>
      <c r="O343" s="119">
        <f t="shared" si="11"/>
        <v>0.77681960629885127</v>
      </c>
    </row>
    <row r="344" spans="2:15">
      <c r="B344" s="19" t="s">
        <v>445</v>
      </c>
      <c r="C344" s="83">
        <f>NYSEG!AI64</f>
        <v>30</v>
      </c>
      <c r="D344" s="119">
        <f>NYSEG!AB64</f>
        <v>21.81999011085151</v>
      </c>
      <c r="G344" s="119"/>
      <c r="H344" s="119"/>
      <c r="I344" s="119"/>
      <c r="J344" s="119"/>
      <c r="K344" s="119"/>
      <c r="L344" s="119"/>
      <c r="M344" s="119"/>
      <c r="N344" s="119">
        <f t="shared" si="9"/>
        <v>13.983427942499635</v>
      </c>
      <c r="O344" s="119">
        <f t="shared" si="11"/>
        <v>0.32812563557955704</v>
      </c>
    </row>
    <row r="345" spans="2:15">
      <c r="B345" s="19" t="s">
        <v>446</v>
      </c>
      <c r="C345" s="83">
        <f>NYSEG!AI65</f>
        <v>22.4</v>
      </c>
      <c r="D345" s="119">
        <f>NYSEG!AB65</f>
        <v>16.982428978851278</v>
      </c>
      <c r="G345" s="119"/>
      <c r="H345" s="119"/>
      <c r="I345" s="119"/>
      <c r="J345" s="119"/>
      <c r="K345" s="119"/>
      <c r="L345" s="119"/>
      <c r="M345" s="119"/>
      <c r="N345" s="119">
        <f t="shared" si="9"/>
        <v>10.883257540812757</v>
      </c>
      <c r="O345" s="119">
        <f t="shared" si="11"/>
        <v>0.25537913968159931</v>
      </c>
    </row>
    <row r="346" spans="2:15">
      <c r="B346" s="19" t="s">
        <v>447</v>
      </c>
      <c r="C346" s="83">
        <f>NYSEG!AI66</f>
        <v>78</v>
      </c>
      <c r="D346" s="119">
        <f>NYSEG!AB66</f>
        <v>81.072565061166884</v>
      </c>
      <c r="G346" s="119"/>
      <c r="H346" s="119"/>
      <c r="I346" s="119"/>
      <c r="J346" s="119"/>
      <c r="K346" s="119"/>
      <c r="L346" s="119"/>
      <c r="M346" s="119"/>
      <c r="N346" s="119">
        <f t="shared" si="9"/>
        <v>51.955677609709042</v>
      </c>
      <c r="O346" s="119">
        <f t="shared" si="11"/>
        <v>1.2191566908882641</v>
      </c>
    </row>
    <row r="347" spans="2:15">
      <c r="B347" s="19" t="s">
        <v>448</v>
      </c>
      <c r="C347" s="83">
        <f>NYSEG!AI67</f>
        <v>11.899999999999999</v>
      </c>
      <c r="D347" s="119">
        <f>NYSEG!AB67</f>
        <v>30.108947139380639</v>
      </c>
      <c r="G347" s="119"/>
      <c r="H347" s="119"/>
      <c r="I347" s="119"/>
      <c r="J347" s="119"/>
      <c r="K347" s="119"/>
      <c r="L347" s="119"/>
      <c r="M347" s="119"/>
      <c r="N347" s="119">
        <f t="shared" si="9"/>
        <v>19.295439210060643</v>
      </c>
      <c r="O347" s="119">
        <f t="shared" si="11"/>
        <v>0.45277368901406062</v>
      </c>
    </row>
    <row r="348" spans="2:15">
      <c r="B348" s="19" t="s">
        <v>449</v>
      </c>
      <c r="C348" s="83">
        <f>NYSEG!AI68</f>
        <v>31.9</v>
      </c>
      <c r="D348" s="119">
        <f>NYSEG!AB68</f>
        <v>115.07881050903028</v>
      </c>
      <c r="G348" s="119"/>
      <c r="H348" s="119"/>
      <c r="I348" s="119"/>
      <c r="J348" s="119"/>
      <c r="K348" s="119"/>
      <c r="L348" s="119"/>
      <c r="M348" s="119"/>
      <c r="N348" s="119">
        <f t="shared" si="9"/>
        <v>73.748716029954096</v>
      </c>
      <c r="O348" s="119">
        <f t="shared" si="11"/>
        <v>1.7305373489255629</v>
      </c>
    </row>
    <row r="349" spans="2:15">
      <c r="B349" s="19" t="s">
        <v>450</v>
      </c>
      <c r="C349" s="83">
        <f>NYSEG!AI69</f>
        <v>21.625</v>
      </c>
      <c r="D349" s="119">
        <f>NYSEG!AB69</f>
        <v>51.324687364331922</v>
      </c>
      <c r="G349" s="119"/>
      <c r="H349" s="119"/>
      <c r="I349" s="119"/>
      <c r="J349" s="119"/>
      <c r="K349" s="119"/>
      <c r="L349" s="119"/>
      <c r="M349" s="119"/>
      <c r="N349" s="119">
        <f t="shared" si="9"/>
        <v>32.891631196181571</v>
      </c>
      <c r="O349" s="119">
        <f t="shared" si="11"/>
        <v>0.77181270829119852</v>
      </c>
    </row>
    <row r="350" spans="2:15">
      <c r="B350" s="19" t="s">
        <v>451</v>
      </c>
      <c r="C350" s="83">
        <f>NYSEG!AI70</f>
        <v>35.599999999999994</v>
      </c>
      <c r="D350" s="119">
        <f>NYSEG!AB70</f>
        <v>51.655680768065892</v>
      </c>
      <c r="G350" s="119"/>
      <c r="H350" s="119"/>
      <c r="I350" s="119"/>
      <c r="J350" s="119"/>
      <c r="K350" s="119"/>
      <c r="L350" s="119"/>
      <c r="M350" s="119"/>
      <c r="N350" s="119">
        <f t="shared" si="9"/>
        <v>33.103749642938098</v>
      </c>
      <c r="O350" s="119">
        <f t="shared" si="11"/>
        <v>0.77679013588951973</v>
      </c>
    </row>
    <row r="351" spans="2:15">
      <c r="B351" s="19" t="s">
        <v>452</v>
      </c>
      <c r="C351" s="83">
        <f>NYSEG!AI71</f>
        <v>87</v>
      </c>
      <c r="D351" s="119">
        <f>NYSEG!AB71</f>
        <v>41.183447050902821</v>
      </c>
      <c r="G351" s="119"/>
      <c r="H351" s="119"/>
      <c r="I351" s="119"/>
      <c r="J351" s="119"/>
      <c r="K351" s="119"/>
      <c r="L351" s="119"/>
      <c r="M351" s="119"/>
      <c r="N351" s="119">
        <f t="shared" si="9"/>
        <v>26.392576776359277</v>
      </c>
      <c r="O351" s="119">
        <f t="shared" si="11"/>
        <v>0.61931030537974763</v>
      </c>
    </row>
    <row r="352" spans="2:15">
      <c r="B352" s="19" t="s">
        <v>453</v>
      </c>
      <c r="C352" s="83">
        <f>NYSEG!AI72</f>
        <v>37</v>
      </c>
      <c r="D352" s="119">
        <f>NYSEG!AB72</f>
        <v>17.408128315812423</v>
      </c>
      <c r="G352" s="119"/>
      <c r="H352" s="119"/>
      <c r="I352" s="119"/>
      <c r="J352" s="119"/>
      <c r="K352" s="119"/>
      <c r="L352" s="119"/>
      <c r="M352" s="119"/>
      <c r="N352" s="119">
        <f t="shared" si="9"/>
        <v>11.156068663701655</v>
      </c>
      <c r="O352" s="119">
        <f t="shared" si="11"/>
        <v>0.26178074045211042</v>
      </c>
    </row>
    <row r="353" spans="2:15">
      <c r="B353" s="19" t="s">
        <v>454</v>
      </c>
      <c r="C353" s="83">
        <f>NYSEG!AI73</f>
        <v>14</v>
      </c>
      <c r="D353" s="119">
        <f>NYSEG!AB73</f>
        <v>38.92174564023594</v>
      </c>
      <c r="G353" s="119"/>
      <c r="H353" s="119"/>
      <c r="I353" s="119"/>
      <c r="J353" s="119"/>
      <c r="K353" s="119"/>
      <c r="L353" s="119"/>
      <c r="M353" s="119"/>
      <c r="N353" s="119">
        <f t="shared" si="9"/>
        <v>24.943156380527764</v>
      </c>
      <c r="O353" s="119">
        <f t="shared" si="11"/>
        <v>0.58529918946740911</v>
      </c>
    </row>
    <row r="354" spans="2:15">
      <c r="B354" s="19" t="s">
        <v>455</v>
      </c>
      <c r="C354" s="83">
        <f>NYSEG!AI74</f>
        <v>14</v>
      </c>
      <c r="D354" s="119">
        <f>NYSEG!AB74</f>
        <v>23.298881076765948</v>
      </c>
      <c r="G354" s="119"/>
      <c r="H354" s="119"/>
      <c r="I354" s="119"/>
      <c r="J354" s="119"/>
      <c r="K354" s="119"/>
      <c r="L354" s="119"/>
      <c r="M354" s="119"/>
      <c r="N354" s="119">
        <f t="shared" si="9"/>
        <v>14.931181133569766</v>
      </c>
      <c r="O354" s="119">
        <f t="shared" si="11"/>
        <v>0.35036496913004339</v>
      </c>
    </row>
    <row r="355" spans="2:15">
      <c r="B355" s="19" t="s">
        <v>456</v>
      </c>
      <c r="C355" s="83">
        <f>NYSEG!AI75</f>
        <v>0.8</v>
      </c>
      <c r="D355" s="119">
        <f>NYSEG!AB75</f>
        <v>67.733996527689115</v>
      </c>
      <c r="G355" s="119"/>
      <c r="H355" s="119"/>
      <c r="I355" s="119"/>
      <c r="J355" s="119"/>
      <c r="K355" s="119"/>
      <c r="L355" s="119"/>
      <c r="M355" s="119"/>
      <c r="N355" s="119">
        <f t="shared" si="9"/>
        <v>43.407602610755681</v>
      </c>
      <c r="O355" s="119">
        <f t="shared" si="11"/>
        <v>1.0185733608531033</v>
      </c>
    </row>
    <row r="356" spans="2:15">
      <c r="B356" s="19" t="s">
        <v>457</v>
      </c>
      <c r="C356" s="83">
        <f>NYSEG!AI76</f>
        <v>1.5</v>
      </c>
      <c r="D356" s="119">
        <f>NYSEG!AB76</f>
        <v>17.847343581235684</v>
      </c>
      <c r="G356" s="119"/>
      <c r="H356" s="119"/>
      <c r="I356" s="119"/>
      <c r="J356" s="119"/>
      <c r="K356" s="119"/>
      <c r="L356" s="119"/>
      <c r="M356" s="119"/>
      <c r="N356" s="119">
        <f t="shared" si="9"/>
        <v>11.437541523409214</v>
      </c>
      <c r="O356" s="119">
        <f t="shared" ref="O356:O369" si="12">N356/(0.5*E$290)</f>
        <v>0.26838559166382475</v>
      </c>
    </row>
    <row r="357" spans="2:15">
      <c r="B357" s="19" t="s">
        <v>458</v>
      </c>
      <c r="C357" s="83">
        <f>NYSEG!AI77</f>
        <v>74</v>
      </c>
      <c r="D357" s="119">
        <f>NYSEG!AB77</f>
        <v>45.596460964546722</v>
      </c>
      <c r="G357" s="119"/>
      <c r="H357" s="119"/>
      <c r="I357" s="119"/>
      <c r="J357" s="119"/>
      <c r="K357" s="119"/>
      <c r="L357" s="119"/>
      <c r="M357" s="119"/>
      <c r="N357" s="119">
        <f t="shared" si="9"/>
        <v>29.220674394973628</v>
      </c>
      <c r="O357" s="119">
        <f t="shared" si="12"/>
        <v>0.68567252588853256</v>
      </c>
    </row>
    <row r="358" spans="2:15">
      <c r="B358" s="19" t="s">
        <v>459</v>
      </c>
      <c r="C358" s="83">
        <f>NYSEG!AI78</f>
        <v>11</v>
      </c>
      <c r="D358" s="119">
        <f>NYSEG!AB78</f>
        <v>34.582400829660784</v>
      </c>
      <c r="G358" s="119"/>
      <c r="H358" s="119"/>
      <c r="I358" s="119"/>
      <c r="J358" s="119"/>
      <c r="K358" s="119"/>
      <c r="L358" s="119"/>
      <c r="M358" s="119"/>
      <c r="N358" s="119">
        <f t="shared" si="9"/>
        <v>22.162269901291435</v>
      </c>
      <c r="O358" s="119">
        <f t="shared" si="12"/>
        <v>0.52004479353343869</v>
      </c>
    </row>
    <row r="359" spans="2:15">
      <c r="B359" s="19" t="s">
        <v>460</v>
      </c>
      <c r="C359" s="83">
        <f>NYSEG!AI79</f>
        <v>8</v>
      </c>
      <c r="D359" s="119">
        <f>NYSEG!AB79</f>
        <v>30.317596222240926</v>
      </c>
      <c r="G359" s="119"/>
      <c r="H359" s="119"/>
      <c r="I359" s="119"/>
      <c r="J359" s="119"/>
      <c r="K359" s="119"/>
      <c r="L359" s="119"/>
      <c r="M359" s="119"/>
      <c r="N359" s="119">
        <f t="shared" si="9"/>
        <v>19.429152809407988</v>
      </c>
      <c r="O359" s="119">
        <f t="shared" si="12"/>
        <v>0.45591132164261872</v>
      </c>
    </row>
    <row r="360" spans="2:15">
      <c r="B360" s="19" t="s">
        <v>461</v>
      </c>
      <c r="C360" s="83">
        <f>NYSEG!AI80</f>
        <v>0.8</v>
      </c>
      <c r="D360" s="119">
        <f>NYSEG!AB80</f>
        <v>41.813776390323611</v>
      </c>
      <c r="G360" s="119"/>
      <c r="H360" s="119"/>
      <c r="I360" s="119"/>
      <c r="J360" s="119"/>
      <c r="K360" s="119"/>
      <c r="L360" s="119"/>
      <c r="M360" s="119"/>
      <c r="N360" s="119">
        <f t="shared" si="9"/>
        <v>26.79652585484445</v>
      </c>
      <c r="O360" s="119">
        <f t="shared" si="12"/>
        <v>0.6287891004695324</v>
      </c>
    </row>
    <row r="361" spans="2:15">
      <c r="B361" s="19" t="s">
        <v>462</v>
      </c>
      <c r="C361" s="83">
        <f>NYSEG!AI81</f>
        <v>16</v>
      </c>
      <c r="D361" s="119">
        <f>NYSEG!AB81</f>
        <v>15.158798111120463</v>
      </c>
      <c r="G361" s="119"/>
      <c r="H361" s="119"/>
      <c r="I361" s="119"/>
      <c r="J361" s="119"/>
      <c r="K361" s="119"/>
      <c r="L361" s="119"/>
      <c r="M361" s="119"/>
      <c r="N361" s="119">
        <f t="shared" si="9"/>
        <v>9.714576404703994</v>
      </c>
      <c r="O361" s="119">
        <f t="shared" si="12"/>
        <v>0.22795566082130936</v>
      </c>
    </row>
    <row r="362" spans="2:15">
      <c r="B362" s="19" t="s">
        <v>463</v>
      </c>
      <c r="C362" s="83">
        <f>NYSEG!AI82</f>
        <v>34.299999999999997</v>
      </c>
      <c r="D362" s="119">
        <f>NYSEG!AB82</f>
        <v>11.090565863739613</v>
      </c>
      <c r="G362" s="119"/>
      <c r="H362" s="119"/>
      <c r="I362" s="119"/>
      <c r="J362" s="119"/>
      <c r="K362" s="119"/>
      <c r="L362" s="119"/>
      <c r="M362" s="119"/>
      <c r="N362" s="119">
        <f t="shared" si="9"/>
        <v>7.1074334960409864</v>
      </c>
      <c r="O362" s="119">
        <f t="shared" si="12"/>
        <v>0.16677821366961593</v>
      </c>
    </row>
    <row r="363" spans="2:15">
      <c r="B363" s="19" t="s">
        <v>464</v>
      </c>
      <c r="C363" s="83">
        <f>NYSEG!AI83</f>
        <v>50</v>
      </c>
      <c r="D363" s="119">
        <f>NYSEG!AB83</f>
        <v>61.206739026086616</v>
      </c>
      <c r="G363" s="119"/>
      <c r="H363" s="119"/>
      <c r="I363" s="119"/>
      <c r="J363" s="119"/>
      <c r="K363" s="119"/>
      <c r="L363" s="119"/>
      <c r="M363" s="119"/>
      <c r="N363" s="119">
        <f t="shared" si="9"/>
        <v>39.224583531823711</v>
      </c>
      <c r="O363" s="119">
        <f t="shared" si="12"/>
        <v>0.9204174723570947</v>
      </c>
    </row>
    <row r="364" spans="2:15">
      <c r="B364" s="19" t="s">
        <v>465</v>
      </c>
      <c r="C364" s="83">
        <f>NYSEG!AI84</f>
        <v>5.6</v>
      </c>
      <c r="D364" s="119">
        <f>NYSEG!AB84</f>
        <v>167.59646817188568</v>
      </c>
      <c r="G364" s="119"/>
      <c r="H364" s="119"/>
      <c r="I364" s="119"/>
      <c r="J364" s="119"/>
      <c r="K364" s="119"/>
      <c r="L364" s="119"/>
      <c r="M364" s="119"/>
      <c r="N364" s="119">
        <f t="shared" si="9"/>
        <v>107.40486701382562</v>
      </c>
      <c r="O364" s="119">
        <f t="shared" si="12"/>
        <v>2.5202897600049798</v>
      </c>
    </row>
    <row r="365" spans="2:15">
      <c r="B365" s="19" t="s">
        <v>466</v>
      </c>
      <c r="C365" s="83">
        <f>NYSEG!AI85</f>
        <v>22.4</v>
      </c>
      <c r="D365" s="119">
        <f>NYSEG!AB85</f>
        <v>16.982428978851278</v>
      </c>
      <c r="G365" s="119"/>
      <c r="H365" s="119"/>
      <c r="I365" s="119"/>
      <c r="J365" s="119"/>
      <c r="K365" s="119"/>
      <c r="L365" s="119"/>
      <c r="M365" s="119"/>
      <c r="N365" s="119">
        <f t="shared" si="9"/>
        <v>10.883257540812757</v>
      </c>
      <c r="O365" s="119">
        <f t="shared" si="12"/>
        <v>0.25537913968159931</v>
      </c>
    </row>
    <row r="366" spans="2:15">
      <c r="B366" s="19" t="s">
        <v>467</v>
      </c>
      <c r="C366" s="83">
        <f>NYSEG!AI86</f>
        <v>22.4</v>
      </c>
      <c r="D366" s="119">
        <f>NYSEG!AB86</f>
        <v>16.982428978851278</v>
      </c>
      <c r="G366" s="119"/>
      <c r="H366" s="119"/>
      <c r="I366" s="119"/>
      <c r="J366" s="119"/>
      <c r="K366" s="119"/>
      <c r="L366" s="119"/>
      <c r="M366" s="119"/>
      <c r="N366" s="119">
        <f t="shared" si="9"/>
        <v>10.883257540812757</v>
      </c>
      <c r="O366" s="119">
        <f t="shared" si="12"/>
        <v>0.25537913968159931</v>
      </c>
    </row>
    <row r="367" spans="2:15">
      <c r="B367" s="19" t="s">
        <v>468</v>
      </c>
      <c r="C367" s="83">
        <f>NYSEG!AI87</f>
        <v>22.4</v>
      </c>
      <c r="D367" s="119">
        <f>NYSEG!AB87</f>
        <v>16.982428978851278</v>
      </c>
      <c r="G367" s="119"/>
      <c r="H367" s="119"/>
      <c r="I367" s="119"/>
      <c r="J367" s="119"/>
      <c r="K367" s="119"/>
      <c r="L367" s="119"/>
      <c r="M367" s="119"/>
      <c r="N367" s="119">
        <f t="shared" si="9"/>
        <v>10.883257540812757</v>
      </c>
      <c r="O367" s="119">
        <f t="shared" si="12"/>
        <v>0.25537913968159931</v>
      </c>
    </row>
    <row r="368" spans="2:15">
      <c r="B368" s="19" t="s">
        <v>470</v>
      </c>
      <c r="C368" s="83">
        <f>NYSEG!AI88</f>
        <v>14</v>
      </c>
      <c r="D368" s="119">
        <f>NYSEG!AB88</f>
        <v>51.097243572101164</v>
      </c>
      <c r="G368" s="119"/>
      <c r="H368" s="119"/>
      <c r="I368" s="119"/>
      <c r="J368" s="119"/>
      <c r="K368" s="119"/>
      <c r="L368" s="119"/>
      <c r="M368" s="119"/>
      <c r="N368" s="119">
        <f t="shared" si="9"/>
        <v>32.745872932155322</v>
      </c>
      <c r="O368" s="119">
        <f t="shared" si="12"/>
        <v>0.76839244373080229</v>
      </c>
    </row>
    <row r="369" spans="1:17">
      <c r="A369" s="119"/>
      <c r="B369" s="19" t="s">
        <v>473</v>
      </c>
      <c r="C369" s="83">
        <f>NYSEG!AI89</f>
        <v>16.137999999999991</v>
      </c>
      <c r="D369" s="119">
        <f>NYSEG!AB89</f>
        <v>184.54526994863818</v>
      </c>
      <c r="G369" s="119"/>
      <c r="H369" s="119"/>
      <c r="I369" s="119"/>
      <c r="J369" s="119"/>
      <c r="K369" s="119"/>
      <c r="L369" s="119"/>
      <c r="M369" s="119"/>
      <c r="N369" s="119">
        <f t="shared" si="9"/>
        <v>118.26657442766458</v>
      </c>
      <c r="O369" s="119">
        <f t="shared" si="12"/>
        <v>2.7751632190237849</v>
      </c>
      <c r="P369" s="119"/>
      <c r="Q369" s="119"/>
    </row>
    <row r="371" spans="1:17">
      <c r="A371" s="119"/>
      <c r="B371" s="19"/>
      <c r="C371" s="19"/>
      <c r="D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</row>
    <row r="375" spans="1:17">
      <c r="A375" s="119" t="s">
        <v>598</v>
      </c>
      <c r="B375" s="119"/>
      <c r="C375" s="119"/>
      <c r="D375" s="119"/>
      <c r="E375" s="10">
        <f>SUMPRODUCT(D376:D434,C376:C434)/SUM(C376:C434)</f>
        <v>22.730459967300941</v>
      </c>
      <c r="F375" s="11">
        <f>_xlfn.STDEV.S(D376:D434)</f>
        <v>24.785051444177252</v>
      </c>
      <c r="G375" s="119">
        <f>F375/SQRT(M375)</f>
        <v>7.1548280615872306</v>
      </c>
      <c r="H375" s="119">
        <f>G375*$D$1</f>
        <v>11.769692161310994</v>
      </c>
      <c r="I375" s="4">
        <f>H375+E375</f>
        <v>34.500152128611937</v>
      </c>
      <c r="J375" s="119">
        <f>COUNTIF(D376:D434,"&gt;31.28")</f>
        <v>7</v>
      </c>
      <c r="K375" s="119"/>
      <c r="L375" s="119">
        <f>COUNTA(B376:B434)</f>
        <v>59</v>
      </c>
      <c r="M375" s="119">
        <f>ROUND(L375/5,0)</f>
        <v>12</v>
      </c>
      <c r="N375" s="119"/>
      <c r="O375" s="119"/>
      <c r="P375" s="4">
        <f>COUNTIF(O376:O434,"&gt;1")-COUNTIF(O376:O434,"&gt;2")</f>
        <v>9</v>
      </c>
      <c r="Q375" s="119">
        <f>COUNTIF(O376:O434,"&gt;2")</f>
        <v>7</v>
      </c>
    </row>
    <row r="376" spans="1:17">
      <c r="A376" s="119"/>
      <c r="B376" s="7" t="s">
        <v>488</v>
      </c>
      <c r="C376" s="186">
        <f>'O&amp;R'!Q124/1000</f>
        <v>16</v>
      </c>
      <c r="D376" s="4">
        <f>'O&amp;R'!L124</f>
        <v>1.8533204143941524</v>
      </c>
      <c r="G376" s="119"/>
      <c r="H376" s="119"/>
      <c r="I376" s="119"/>
      <c r="J376" s="119"/>
      <c r="K376" s="119"/>
      <c r="L376" s="119"/>
      <c r="M376" s="119"/>
      <c r="N376" s="119">
        <f t="shared" si="9"/>
        <v>1.1877078008461501</v>
      </c>
      <c r="O376" s="4">
        <f>N376/(0.5*E$375)</f>
        <v>0.10450363103560027</v>
      </c>
      <c r="P376" s="119"/>
      <c r="Q376" s="119"/>
    </row>
    <row r="377" spans="1:17">
      <c r="A377" s="119"/>
      <c r="B377" s="7" t="s">
        <v>490</v>
      </c>
      <c r="C377" s="186">
        <f>'O&amp;R'!Q125/1000</f>
        <v>27.989000000000001</v>
      </c>
      <c r="D377" s="4">
        <f>'O&amp;R'!L125</f>
        <v>27.964642424209767</v>
      </c>
      <c r="G377" s="119"/>
      <c r="H377" s="119"/>
      <c r="I377" s="119"/>
      <c r="J377" s="119"/>
      <c r="K377" s="119"/>
      <c r="L377" s="119"/>
      <c r="M377" s="119"/>
      <c r="N377" s="119">
        <f t="shared" si="9"/>
        <v>17.921252956124526</v>
      </c>
      <c r="O377" s="4">
        <f>N377/(0.5*E$375)</f>
        <v>1.5768491250863614</v>
      </c>
      <c r="P377" s="119"/>
      <c r="Q377" s="119"/>
    </row>
    <row r="378" spans="1:17">
      <c r="A378" s="119"/>
      <c r="B378" s="7" t="s">
        <v>492</v>
      </c>
      <c r="C378" s="186">
        <f>'O&amp;R'!Q126/1000</f>
        <v>16</v>
      </c>
      <c r="D378" s="4">
        <f>'O&amp;R'!L126</f>
        <v>1.8533204143941524</v>
      </c>
      <c r="G378" s="119"/>
      <c r="H378" s="119"/>
      <c r="I378" s="119"/>
      <c r="J378" s="119"/>
      <c r="K378" s="119"/>
      <c r="L378" s="119"/>
      <c r="M378" s="119"/>
      <c r="N378" s="119">
        <f t="shared" si="9"/>
        <v>1.1877078008461501</v>
      </c>
      <c r="O378" s="4">
        <f t="shared" ref="O378:O434" si="13">N378/(0.5*E$375)</f>
        <v>0.10450363103560027</v>
      </c>
      <c r="P378" s="119"/>
      <c r="Q378" s="119"/>
    </row>
    <row r="379" spans="1:17">
      <c r="A379" s="119"/>
      <c r="B379" s="7" t="s">
        <v>494</v>
      </c>
      <c r="C379" s="186">
        <f>'O&amp;R'!Q127/1000</f>
        <v>16</v>
      </c>
      <c r="D379" s="4">
        <f>'O&amp;R'!L127</f>
        <v>1.8533204143941524</v>
      </c>
      <c r="G379" s="119"/>
      <c r="H379" s="119"/>
      <c r="I379" s="119"/>
      <c r="J379" s="119"/>
      <c r="K379" s="119"/>
      <c r="L379" s="119"/>
      <c r="M379" s="119"/>
      <c r="N379" s="119">
        <f t="shared" si="9"/>
        <v>1.1877078008461501</v>
      </c>
      <c r="O379" s="4">
        <f t="shared" si="13"/>
        <v>0.10450363103560027</v>
      </c>
      <c r="P379" s="119"/>
      <c r="Q379" s="119"/>
    </row>
    <row r="380" spans="1:17">
      <c r="A380" s="119"/>
      <c r="B380" s="7" t="s">
        <v>496</v>
      </c>
      <c r="C380" s="186">
        <f>'O&amp;R'!Q128/1000</f>
        <v>16</v>
      </c>
      <c r="D380" s="4">
        <f>'O&amp;R'!L128</f>
        <v>1.8533204143941524</v>
      </c>
      <c r="G380" s="119"/>
      <c r="H380" s="119"/>
      <c r="I380" s="119"/>
      <c r="J380" s="119"/>
      <c r="K380" s="119"/>
      <c r="L380" s="119"/>
      <c r="M380" s="119"/>
      <c r="N380" s="119">
        <f t="shared" si="9"/>
        <v>1.1877078008461501</v>
      </c>
      <c r="O380" s="4">
        <f t="shared" si="13"/>
        <v>0.10450363103560027</v>
      </c>
      <c r="P380" s="119"/>
      <c r="Q380" s="119"/>
    </row>
    <row r="381" spans="1:17">
      <c r="A381" s="119"/>
      <c r="B381" s="7" t="s">
        <v>498</v>
      </c>
      <c r="C381" s="186">
        <f>'O&amp;R'!Q129/1000</f>
        <v>20.920999999999999</v>
      </c>
      <c r="D381" s="4">
        <f>'O&amp;R'!L129</f>
        <v>56.210410239611313</v>
      </c>
      <c r="G381" s="119"/>
      <c r="H381" s="119"/>
      <c r="I381" s="119"/>
      <c r="J381" s="119"/>
      <c r="K381" s="119"/>
      <c r="L381" s="119"/>
      <c r="M381" s="119"/>
      <c r="N381" s="119">
        <f t="shared" si="9"/>
        <v>36.022666243695873</v>
      </c>
      <c r="O381" s="4">
        <f t="shared" si="13"/>
        <v>3.1695501362943403</v>
      </c>
      <c r="P381" s="119"/>
      <c r="Q381" s="119"/>
    </row>
    <row r="382" spans="1:17">
      <c r="A382" s="119"/>
      <c r="B382" s="7" t="s">
        <v>500</v>
      </c>
      <c r="C382" s="186">
        <f>'O&amp;R'!Q130/1000</f>
        <v>16</v>
      </c>
      <c r="D382" s="4">
        <f>'O&amp;R'!L130</f>
        <v>1.8533204143941524</v>
      </c>
      <c r="G382" s="119"/>
      <c r="H382" s="119"/>
      <c r="I382" s="119"/>
      <c r="J382" s="119"/>
      <c r="K382" s="119"/>
      <c r="L382" s="119"/>
      <c r="M382" s="119"/>
      <c r="N382" s="119">
        <f t="shared" si="9"/>
        <v>1.1877078008461501</v>
      </c>
      <c r="O382" s="4">
        <f t="shared" si="13"/>
        <v>0.10450363103560027</v>
      </c>
      <c r="P382" s="119"/>
      <c r="Q382" s="119"/>
    </row>
    <row r="383" spans="1:17">
      <c r="A383" s="119"/>
      <c r="B383" s="7" t="s">
        <v>502</v>
      </c>
      <c r="C383" s="186">
        <f>'O&amp;R'!Q131/1000</f>
        <v>16</v>
      </c>
      <c r="D383" s="4">
        <f>'O&amp;R'!L131</f>
        <v>1.8533204143941524</v>
      </c>
      <c r="G383" s="119"/>
      <c r="H383" s="119"/>
      <c r="I383" s="119"/>
      <c r="J383" s="119"/>
      <c r="K383" s="119"/>
      <c r="L383" s="119"/>
      <c r="M383" s="119"/>
      <c r="N383" s="119">
        <f t="shared" si="9"/>
        <v>1.1877078008461501</v>
      </c>
      <c r="O383" s="4">
        <f t="shared" si="13"/>
        <v>0.10450363103560027</v>
      </c>
      <c r="P383" s="119"/>
      <c r="Q383" s="119"/>
    </row>
    <row r="384" spans="1:17">
      <c r="A384" s="119"/>
      <c r="B384" s="7" t="s">
        <v>503</v>
      </c>
      <c r="C384" s="186">
        <f>'O&amp;R'!Q132/1000</f>
        <v>16</v>
      </c>
      <c r="D384" s="4">
        <f>'O&amp;R'!L132</f>
        <v>1.8533204143941524</v>
      </c>
      <c r="G384" s="119"/>
      <c r="H384" s="119"/>
      <c r="I384" s="119"/>
      <c r="J384" s="119"/>
      <c r="K384" s="119"/>
      <c r="L384" s="119"/>
      <c r="M384" s="119"/>
      <c r="N384" s="119">
        <f t="shared" si="9"/>
        <v>1.1877078008461501</v>
      </c>
      <c r="O384" s="4">
        <f t="shared" si="13"/>
        <v>0.10450363103560027</v>
      </c>
      <c r="P384" s="119"/>
      <c r="Q384" s="119"/>
    </row>
    <row r="385" spans="2:15">
      <c r="B385" s="7" t="s">
        <v>505</v>
      </c>
      <c r="C385" s="186">
        <f>'O&amp;R'!Q133/1000</f>
        <v>16</v>
      </c>
      <c r="D385" s="4">
        <f>'O&amp;R'!L133</f>
        <v>1.8533204143941524</v>
      </c>
      <c r="G385" s="119"/>
      <c r="H385" s="119"/>
      <c r="I385" s="119"/>
      <c r="J385" s="119"/>
      <c r="K385" s="119"/>
      <c r="L385" s="119"/>
      <c r="M385" s="119"/>
      <c r="N385" s="119">
        <f t="shared" si="9"/>
        <v>1.1877078008461501</v>
      </c>
      <c r="O385" s="4">
        <f t="shared" si="13"/>
        <v>0.10450363103560027</v>
      </c>
    </row>
    <row r="386" spans="2:15">
      <c r="B386" s="7" t="s">
        <v>507</v>
      </c>
      <c r="C386" s="186">
        <f>'O&amp;R'!Q134/1000</f>
        <v>18.109000000000002</v>
      </c>
      <c r="D386" s="4">
        <f>'O&amp;R'!L134</f>
        <v>38.888302198696564</v>
      </c>
      <c r="G386" s="119"/>
      <c r="H386" s="119"/>
      <c r="I386" s="119"/>
      <c r="J386" s="119"/>
      <c r="K386" s="119"/>
      <c r="L386" s="119"/>
      <c r="M386" s="119"/>
      <c r="N386" s="4">
        <f>0.640854*D386</f>
        <v>24.921724017243488</v>
      </c>
      <c r="O386" s="4">
        <f>N386/(0.5*E$375)</f>
        <v>2.1928041978116415</v>
      </c>
    </row>
    <row r="387" spans="2:15">
      <c r="B387" s="7" t="s">
        <v>508</v>
      </c>
      <c r="C387" s="186">
        <f>'O&amp;R'!Q135/1000</f>
        <v>16</v>
      </c>
      <c r="D387" s="4">
        <f>'O&amp;R'!L135</f>
        <v>1.8533204143941524</v>
      </c>
      <c r="G387" s="119"/>
      <c r="H387" s="119"/>
      <c r="I387" s="119"/>
      <c r="J387" s="119"/>
      <c r="K387" s="119"/>
      <c r="L387" s="119"/>
      <c r="M387" s="119"/>
      <c r="N387" s="119">
        <f t="shared" si="9"/>
        <v>1.1877078008461501</v>
      </c>
      <c r="O387" s="4">
        <f t="shared" si="13"/>
        <v>0.10450363103560027</v>
      </c>
    </row>
    <row r="388" spans="2:15">
      <c r="B388" s="7" t="s">
        <v>509</v>
      </c>
      <c r="C388" s="186">
        <f>'O&amp;R'!Q136/1000</f>
        <v>18.812000000000001</v>
      </c>
      <c r="D388" s="4">
        <f>'O&amp;R'!L136</f>
        <v>24.848106072256581</v>
      </c>
      <c r="G388" s="119"/>
      <c r="H388" s="119"/>
      <c r="I388" s="119"/>
      <c r="J388" s="119"/>
      <c r="K388" s="119"/>
      <c r="L388" s="119"/>
      <c r="M388" s="119"/>
      <c r="N388" s="119">
        <f t="shared" si="9"/>
        <v>15.92400816882992</v>
      </c>
      <c r="O388" s="4">
        <f t="shared" si="13"/>
        <v>1.4011162283330394</v>
      </c>
    </row>
    <row r="389" spans="2:15">
      <c r="B389" s="7" t="s">
        <v>510</v>
      </c>
      <c r="C389" s="186">
        <f>'O&amp;R'!Q137/1000</f>
        <v>16</v>
      </c>
      <c r="D389" s="4">
        <f>'O&amp;R'!L137</f>
        <v>1.8533204143941524</v>
      </c>
      <c r="G389" s="119"/>
      <c r="H389" s="119"/>
      <c r="I389" s="119"/>
      <c r="J389" s="119"/>
      <c r="K389" s="119"/>
      <c r="L389" s="119"/>
      <c r="M389" s="119"/>
      <c r="N389" s="119">
        <f t="shared" si="9"/>
        <v>1.1877078008461501</v>
      </c>
      <c r="O389" s="4">
        <f t="shared" si="13"/>
        <v>0.10450363103560027</v>
      </c>
    </row>
    <row r="390" spans="2:15">
      <c r="B390" s="7" t="s">
        <v>512</v>
      </c>
      <c r="C390" s="186">
        <f>'O&amp;R'!Q138/1000</f>
        <v>16</v>
      </c>
      <c r="D390" s="4">
        <f>'O&amp;R'!L138</f>
        <v>1.8533204143941524</v>
      </c>
      <c r="G390" s="119"/>
      <c r="H390" s="119"/>
      <c r="I390" s="119"/>
      <c r="J390" s="119"/>
      <c r="K390" s="119"/>
      <c r="L390" s="119"/>
      <c r="M390" s="119"/>
      <c r="N390" s="119">
        <f t="shared" si="9"/>
        <v>1.1877078008461501</v>
      </c>
      <c r="O390" s="4">
        <f t="shared" si="13"/>
        <v>0.10450363103560027</v>
      </c>
    </row>
    <row r="391" spans="2:15">
      <c r="B391" s="7" t="s">
        <v>511</v>
      </c>
      <c r="C391" s="186">
        <f>'O&amp;R'!Q139/1000</f>
        <v>18.812000000000001</v>
      </c>
      <c r="D391" s="4">
        <f>'O&amp;R'!L139</f>
        <v>11.727225728859844</v>
      </c>
      <c r="G391" s="119"/>
      <c r="H391" s="119"/>
      <c r="I391" s="119"/>
      <c r="J391" s="119"/>
      <c r="K391" s="119"/>
      <c r="L391" s="119"/>
      <c r="M391" s="119"/>
      <c r="N391" s="119">
        <f t="shared" si="9"/>
        <v>7.5154395172427471</v>
      </c>
      <c r="O391" s="4">
        <f t="shared" si="13"/>
        <v>0.66126594253298299</v>
      </c>
    </row>
    <row r="392" spans="2:15">
      <c r="B392" s="7" t="s">
        <v>515</v>
      </c>
      <c r="C392" s="186">
        <f>'O&amp;R'!Q140/1000</f>
        <v>16</v>
      </c>
      <c r="D392" s="4">
        <f>'O&amp;R'!L140</f>
        <v>1.8533204143941524</v>
      </c>
      <c r="G392" s="119"/>
      <c r="H392" s="119"/>
      <c r="I392" s="119"/>
      <c r="J392" s="119"/>
      <c r="K392" s="119"/>
      <c r="L392" s="119"/>
      <c r="M392" s="119"/>
      <c r="N392" s="119">
        <f t="shared" si="9"/>
        <v>1.1877078008461501</v>
      </c>
      <c r="O392" s="4">
        <f t="shared" si="13"/>
        <v>0.10450363103560027</v>
      </c>
    </row>
    <row r="393" spans="2:15">
      <c r="B393" s="7" t="s">
        <v>517</v>
      </c>
      <c r="C393" s="186">
        <f>'O&amp;R'!Q141/1000</f>
        <v>16</v>
      </c>
      <c r="D393" s="4">
        <f>'O&amp;R'!L141</f>
        <v>1.8533204143941524</v>
      </c>
      <c r="G393" s="119"/>
      <c r="H393" s="119"/>
      <c r="I393" s="119"/>
      <c r="J393" s="119"/>
      <c r="K393" s="119"/>
      <c r="L393" s="119"/>
      <c r="M393" s="119"/>
      <c r="N393" s="119">
        <f t="shared" si="9"/>
        <v>1.1877078008461501</v>
      </c>
      <c r="O393" s="4">
        <f t="shared" si="13"/>
        <v>0.10450363103560027</v>
      </c>
    </row>
    <row r="394" spans="2:15">
      <c r="B394" s="7" t="s">
        <v>519</v>
      </c>
      <c r="C394" s="186">
        <f>'O&amp;R'!Q142/1000</f>
        <v>16</v>
      </c>
      <c r="D394" s="4">
        <f>'O&amp;R'!L142</f>
        <v>1.8533204143941524</v>
      </c>
      <c r="G394" s="119"/>
      <c r="H394" s="119"/>
      <c r="I394" s="119"/>
      <c r="J394" s="119"/>
      <c r="K394" s="119"/>
      <c r="L394" s="119"/>
      <c r="M394" s="119"/>
      <c r="N394" s="119">
        <f t="shared" si="9"/>
        <v>1.1877078008461501</v>
      </c>
      <c r="O394" s="4">
        <f t="shared" si="13"/>
        <v>0.10450363103560027</v>
      </c>
    </row>
    <row r="395" spans="2:15">
      <c r="B395" s="7" t="s">
        <v>521</v>
      </c>
      <c r="C395" s="186">
        <f>'O&amp;R'!Q143/1000</f>
        <v>16</v>
      </c>
      <c r="D395" s="4">
        <f>'O&amp;R'!L143</f>
        <v>1.8533204143941524</v>
      </c>
      <c r="G395" s="119"/>
      <c r="H395" s="119"/>
      <c r="I395" s="119"/>
      <c r="J395" s="119"/>
      <c r="K395" s="119"/>
      <c r="L395" s="119"/>
      <c r="M395" s="119"/>
      <c r="N395" s="119">
        <f t="shared" ref="N395:N458" si="14">0.640854*D395</f>
        <v>1.1877078008461501</v>
      </c>
      <c r="O395" s="4">
        <f t="shared" si="13"/>
        <v>0.10450363103560027</v>
      </c>
    </row>
    <row r="396" spans="2:15">
      <c r="B396" s="7" t="s">
        <v>523</v>
      </c>
      <c r="C396" s="186">
        <f>'O&amp;R'!Q144/1000</f>
        <v>16</v>
      </c>
      <c r="D396" s="4">
        <f>'O&amp;R'!L144</f>
        <v>1.8533204143941524</v>
      </c>
      <c r="G396" s="119"/>
      <c r="H396" s="119"/>
      <c r="I396" s="119"/>
      <c r="J396" s="119"/>
      <c r="K396" s="119"/>
      <c r="L396" s="119"/>
      <c r="M396" s="119"/>
      <c r="N396" s="119">
        <f t="shared" si="14"/>
        <v>1.1877078008461501</v>
      </c>
      <c r="O396" s="4">
        <f t="shared" si="13"/>
        <v>0.10450363103560027</v>
      </c>
    </row>
    <row r="397" spans="2:15">
      <c r="B397" s="7" t="s">
        <v>524</v>
      </c>
      <c r="C397" s="186">
        <f>'O&amp;R'!Q145/1000</f>
        <v>16</v>
      </c>
      <c r="D397" s="4">
        <f>'O&amp;R'!L145</f>
        <v>1.8533204143941524</v>
      </c>
      <c r="G397" s="119"/>
      <c r="H397" s="119"/>
      <c r="I397" s="119"/>
      <c r="J397" s="119"/>
      <c r="K397" s="119"/>
      <c r="L397" s="119"/>
      <c r="M397" s="119"/>
      <c r="N397" s="119">
        <f t="shared" si="14"/>
        <v>1.1877078008461501</v>
      </c>
      <c r="O397" s="4">
        <f t="shared" si="13"/>
        <v>0.10450363103560027</v>
      </c>
    </row>
    <row r="398" spans="2:15">
      <c r="B398" s="7" t="s">
        <v>525</v>
      </c>
      <c r="C398" s="186">
        <f>'O&amp;R'!Q146/1000</f>
        <v>16</v>
      </c>
      <c r="D398" s="4">
        <f>'O&amp;R'!L146</f>
        <v>1.8533204143941524</v>
      </c>
      <c r="G398" s="119"/>
      <c r="H398" s="119"/>
      <c r="I398" s="119"/>
      <c r="J398" s="119"/>
      <c r="K398" s="119"/>
      <c r="L398" s="119"/>
      <c r="M398" s="119"/>
      <c r="N398" s="119">
        <f t="shared" si="14"/>
        <v>1.1877078008461501</v>
      </c>
      <c r="O398" s="4">
        <f t="shared" si="13"/>
        <v>0.10450363103560027</v>
      </c>
    </row>
    <row r="399" spans="2:15">
      <c r="B399" s="7" t="s">
        <v>526</v>
      </c>
      <c r="C399" s="186">
        <f>'O&amp;R'!Q147/1000</f>
        <v>16</v>
      </c>
      <c r="D399" s="4">
        <f>'O&amp;R'!L147</f>
        <v>1.8533204143941524</v>
      </c>
      <c r="G399" s="119"/>
      <c r="H399" s="119"/>
      <c r="I399" s="119"/>
      <c r="J399" s="119"/>
      <c r="K399" s="119"/>
      <c r="L399" s="119"/>
      <c r="M399" s="119"/>
      <c r="N399" s="119">
        <f t="shared" si="14"/>
        <v>1.1877078008461501</v>
      </c>
      <c r="O399" s="4">
        <f t="shared" si="13"/>
        <v>0.10450363103560027</v>
      </c>
    </row>
    <row r="400" spans="2:15">
      <c r="B400" s="7" t="s">
        <v>527</v>
      </c>
      <c r="C400" s="186">
        <f>'O&amp;R'!Q148/1000</f>
        <v>16</v>
      </c>
      <c r="D400" s="4">
        <f>'O&amp;R'!L148</f>
        <v>1.8533204143941524</v>
      </c>
      <c r="G400" s="119"/>
      <c r="H400" s="119"/>
      <c r="I400" s="119"/>
      <c r="J400" s="119"/>
      <c r="K400" s="119"/>
      <c r="L400" s="119"/>
      <c r="M400" s="119"/>
      <c r="N400" s="119">
        <f t="shared" si="14"/>
        <v>1.1877078008461501</v>
      </c>
      <c r="O400" s="4">
        <f t="shared" si="13"/>
        <v>0.10450363103560027</v>
      </c>
    </row>
    <row r="401" spans="2:15">
      <c r="B401" s="7" t="s">
        <v>495</v>
      </c>
      <c r="C401" s="186">
        <f>'O&amp;R'!Q149/1000</f>
        <v>122.39999999999999</v>
      </c>
      <c r="D401" s="4">
        <f>'O&amp;R'!L149</f>
        <v>11.936103566535374</v>
      </c>
      <c r="G401" s="119"/>
      <c r="H401" s="119"/>
      <c r="I401" s="119"/>
      <c r="J401" s="119"/>
      <c r="K401" s="119"/>
      <c r="L401" s="119"/>
      <c r="M401" s="119"/>
      <c r="N401" s="119">
        <f t="shared" si="14"/>
        <v>7.6492997150284614</v>
      </c>
      <c r="O401" s="4">
        <f t="shared" si="13"/>
        <v>0.673043988201947</v>
      </c>
    </row>
    <row r="402" spans="2:15">
      <c r="B402" s="7" t="s">
        <v>504</v>
      </c>
      <c r="C402" s="186">
        <f>'O&amp;R'!Q150/1000</f>
        <v>18.109000000000002</v>
      </c>
      <c r="D402" s="4">
        <f>'O&amp;R'!L150</f>
        <v>90.969622243516753</v>
      </c>
      <c r="G402" s="119"/>
      <c r="H402" s="119"/>
      <c r="I402" s="119"/>
      <c r="J402" s="119"/>
      <c r="K402" s="119"/>
      <c r="L402" s="119"/>
      <c r="M402" s="119"/>
      <c r="N402" s="119">
        <f t="shared" si="14"/>
        <v>58.298246293246692</v>
      </c>
      <c r="O402" s="4">
        <f t="shared" si="13"/>
        <v>5.1295263164152445</v>
      </c>
    </row>
    <row r="403" spans="2:15">
      <c r="B403" s="7" t="s">
        <v>528</v>
      </c>
      <c r="C403" s="186">
        <f>'O&amp;R'!Q151/1000</f>
        <v>16</v>
      </c>
      <c r="D403" s="4">
        <f>'O&amp;R'!L151</f>
        <v>1.8533204143941524</v>
      </c>
      <c r="G403" s="119"/>
      <c r="H403" s="119"/>
      <c r="I403" s="119"/>
      <c r="J403" s="119"/>
      <c r="K403" s="119"/>
      <c r="L403" s="119"/>
      <c r="M403" s="119"/>
      <c r="N403" s="119">
        <f t="shared" si="14"/>
        <v>1.1877078008461501</v>
      </c>
      <c r="O403" s="4">
        <f t="shared" si="13"/>
        <v>0.10450363103560027</v>
      </c>
    </row>
    <row r="404" spans="2:15">
      <c r="B404" s="7" t="s">
        <v>529</v>
      </c>
      <c r="C404" s="186">
        <f>'O&amp;R'!Q152/1000</f>
        <v>16</v>
      </c>
      <c r="D404" s="4">
        <f>'O&amp;R'!L152</f>
        <v>1.8533204143941524</v>
      </c>
      <c r="G404" s="119"/>
      <c r="H404" s="119"/>
      <c r="I404" s="119"/>
      <c r="J404" s="119"/>
      <c r="K404" s="119"/>
      <c r="L404" s="119"/>
      <c r="M404" s="119"/>
      <c r="N404" s="119">
        <f t="shared" si="14"/>
        <v>1.1877078008461501</v>
      </c>
      <c r="O404" s="4">
        <f t="shared" si="13"/>
        <v>0.10450363103560027</v>
      </c>
    </row>
    <row r="405" spans="2:15">
      <c r="B405" s="7" t="s">
        <v>530</v>
      </c>
      <c r="C405" s="186">
        <f>'O&amp;R'!Q153/1000</f>
        <v>16</v>
      </c>
      <c r="D405" s="4">
        <f>'O&amp;R'!L153</f>
        <v>1.8533204143941524</v>
      </c>
      <c r="G405" s="119"/>
      <c r="H405" s="119"/>
      <c r="I405" s="119"/>
      <c r="J405" s="119"/>
      <c r="K405" s="119"/>
      <c r="L405" s="119"/>
      <c r="M405" s="119"/>
      <c r="N405" s="119">
        <f t="shared" si="14"/>
        <v>1.1877078008461501</v>
      </c>
      <c r="O405" s="4">
        <f t="shared" si="13"/>
        <v>0.10450363103560027</v>
      </c>
    </row>
    <row r="406" spans="2:15">
      <c r="B406" s="7" t="s">
        <v>493</v>
      </c>
      <c r="C406" s="186">
        <f>'O&amp;R'!Q154/1000</f>
        <v>105.3</v>
      </c>
      <c r="D406" s="4">
        <f>'O&amp;R'!L154</f>
        <v>7.5583615276430054</v>
      </c>
      <c r="G406" s="119"/>
      <c r="H406" s="119"/>
      <c r="I406" s="119"/>
      <c r="J406" s="119"/>
      <c r="K406" s="119"/>
      <c r="L406" s="119"/>
      <c r="M406" s="119"/>
      <c r="N406" s="119">
        <f t="shared" si="14"/>
        <v>4.8438062184361312</v>
      </c>
      <c r="O406" s="4">
        <f t="shared" si="13"/>
        <v>0.42619517822377739</v>
      </c>
    </row>
    <row r="407" spans="2:15">
      <c r="B407" s="7" t="s">
        <v>491</v>
      </c>
      <c r="C407" s="186">
        <f>'O&amp;R'!Q155/1000</f>
        <v>95.8</v>
      </c>
      <c r="D407" s="4">
        <f>'O&amp;R'!L155</f>
        <v>18.309792022590418</v>
      </c>
      <c r="G407" s="119"/>
      <c r="H407" s="119"/>
      <c r="I407" s="119"/>
      <c r="J407" s="119"/>
      <c r="K407" s="119"/>
      <c r="L407" s="119"/>
      <c r="M407" s="119"/>
      <c r="N407" s="119">
        <f t="shared" si="14"/>
        <v>11.733903456845161</v>
      </c>
      <c r="O407" s="4">
        <f t="shared" si="13"/>
        <v>1.0324387164822046</v>
      </c>
    </row>
    <row r="408" spans="2:15">
      <c r="B408" s="7" t="s">
        <v>531</v>
      </c>
      <c r="C408" s="186">
        <f>'O&amp;R'!Q156/1000</f>
        <v>16</v>
      </c>
      <c r="D408" s="4">
        <f>'O&amp;R'!L156</f>
        <v>1.8533204143941524</v>
      </c>
      <c r="G408" s="119"/>
      <c r="H408" s="119"/>
      <c r="I408" s="119"/>
      <c r="J408" s="119"/>
      <c r="K408" s="119"/>
      <c r="L408" s="119"/>
      <c r="M408" s="119"/>
      <c r="N408" s="119">
        <f t="shared" si="14"/>
        <v>1.1877078008461501</v>
      </c>
      <c r="O408" s="4">
        <f t="shared" si="13"/>
        <v>0.10450363103560027</v>
      </c>
    </row>
    <row r="409" spans="2:15">
      <c r="B409" s="7" t="s">
        <v>506</v>
      </c>
      <c r="C409" s="186">
        <f>'O&amp;R'!Q157/1000</f>
        <v>18.109000000000002</v>
      </c>
      <c r="D409" s="4">
        <f>'O&amp;R'!L157</f>
        <v>48.614722029622143</v>
      </c>
      <c r="G409" s="119"/>
      <c r="H409" s="119"/>
      <c r="I409" s="119"/>
      <c r="J409" s="119"/>
      <c r="K409" s="119"/>
      <c r="L409" s="119"/>
      <c r="M409" s="119"/>
      <c r="N409" s="119">
        <f t="shared" si="14"/>
        <v>31.154939071571469</v>
      </c>
      <c r="O409" s="4">
        <f t="shared" si="13"/>
        <v>2.7412502093129327</v>
      </c>
    </row>
    <row r="410" spans="2:15">
      <c r="B410" s="7" t="s">
        <v>513</v>
      </c>
      <c r="C410" s="186">
        <f>'O&amp;R'!Q158/1000</f>
        <v>18.109000000000002</v>
      </c>
      <c r="D410" s="4">
        <f>'O&amp;R'!L158</f>
        <v>13.618338438743271</v>
      </c>
      <c r="G410" s="119"/>
      <c r="H410" s="119"/>
      <c r="I410" s="119"/>
      <c r="J410" s="119"/>
      <c r="K410" s="119"/>
      <c r="L410" s="119"/>
      <c r="M410" s="119"/>
      <c r="N410" s="119">
        <f t="shared" si="14"/>
        <v>8.72736666182238</v>
      </c>
      <c r="O410" s="4">
        <f t="shared" si="13"/>
        <v>0.76790057696827896</v>
      </c>
    </row>
    <row r="411" spans="2:15">
      <c r="B411" s="7" t="s">
        <v>532</v>
      </c>
      <c r="C411" s="186">
        <f>'O&amp;R'!Q159/1000</f>
        <v>16</v>
      </c>
      <c r="D411" s="4">
        <f>'O&amp;R'!L159</f>
        <v>1.8533204143941524</v>
      </c>
      <c r="G411" s="119"/>
      <c r="H411" s="119"/>
      <c r="I411" s="119"/>
      <c r="J411" s="119"/>
      <c r="K411" s="119"/>
      <c r="L411" s="119"/>
      <c r="M411" s="119"/>
      <c r="N411" s="119">
        <f t="shared" si="14"/>
        <v>1.1877078008461501</v>
      </c>
      <c r="O411" s="4">
        <f t="shared" si="13"/>
        <v>0.10450363103560027</v>
      </c>
    </row>
    <row r="412" spans="2:15">
      <c r="B412" s="7" t="s">
        <v>533</v>
      </c>
      <c r="C412" s="186">
        <f>'O&amp;R'!Q160/1000</f>
        <v>16</v>
      </c>
      <c r="D412" s="4">
        <f>'O&amp;R'!L160</f>
        <v>1.8533204143941524</v>
      </c>
      <c r="G412" s="119"/>
      <c r="H412" s="119"/>
      <c r="I412" s="119"/>
      <c r="J412" s="119"/>
      <c r="K412" s="119"/>
      <c r="L412" s="119"/>
      <c r="M412" s="119"/>
      <c r="N412" s="119">
        <f t="shared" si="14"/>
        <v>1.1877078008461501</v>
      </c>
      <c r="O412" s="4">
        <f t="shared" si="13"/>
        <v>0.10450363103560027</v>
      </c>
    </row>
    <row r="413" spans="2:15">
      <c r="B413" s="7" t="s">
        <v>534</v>
      </c>
      <c r="C413" s="186">
        <f>'O&amp;R'!Q161/1000</f>
        <v>16</v>
      </c>
      <c r="D413" s="4">
        <f>'O&amp;R'!L161</f>
        <v>1.8533204143941524</v>
      </c>
      <c r="G413" s="119"/>
      <c r="H413" s="119"/>
      <c r="I413" s="119"/>
      <c r="J413" s="119"/>
      <c r="K413" s="119"/>
      <c r="L413" s="119"/>
      <c r="M413" s="119"/>
      <c r="N413" s="119">
        <f t="shared" si="14"/>
        <v>1.1877078008461501</v>
      </c>
      <c r="O413" s="4">
        <f t="shared" si="13"/>
        <v>0.10450363103560027</v>
      </c>
    </row>
    <row r="414" spans="2:15">
      <c r="B414" s="7" t="s">
        <v>535</v>
      </c>
      <c r="C414" s="186">
        <f>'O&amp;R'!Q162/1000</f>
        <v>16</v>
      </c>
      <c r="D414" s="4">
        <f>'O&amp;R'!L162</f>
        <v>1.8533204143941524</v>
      </c>
      <c r="G414" s="119"/>
      <c r="H414" s="119"/>
      <c r="I414" s="119"/>
      <c r="J414" s="119"/>
      <c r="K414" s="119"/>
      <c r="L414" s="119"/>
      <c r="M414" s="119"/>
      <c r="N414" s="119">
        <f t="shared" si="14"/>
        <v>1.1877078008461501</v>
      </c>
      <c r="O414" s="4">
        <f t="shared" si="13"/>
        <v>0.10450363103560027</v>
      </c>
    </row>
    <row r="415" spans="2:15">
      <c r="B415" s="7" t="s">
        <v>536</v>
      </c>
      <c r="C415" s="186">
        <f>'O&amp;R'!Q163/1000</f>
        <v>16</v>
      </c>
      <c r="D415" s="4">
        <f>'O&amp;R'!L163</f>
        <v>1.8533204143941524</v>
      </c>
      <c r="G415" s="119"/>
      <c r="H415" s="119"/>
      <c r="I415" s="119"/>
      <c r="J415" s="119"/>
      <c r="K415" s="119"/>
      <c r="L415" s="119"/>
      <c r="M415" s="119"/>
      <c r="N415" s="119">
        <f t="shared" si="14"/>
        <v>1.1877078008461501</v>
      </c>
      <c r="O415" s="4">
        <f t="shared" si="13"/>
        <v>0.10450363103560027</v>
      </c>
    </row>
    <row r="416" spans="2:15">
      <c r="B416" s="7" t="s">
        <v>501</v>
      </c>
      <c r="C416" s="186">
        <f>'O&amp;R'!Q164/1000</f>
        <v>98.649999999999991</v>
      </c>
      <c r="D416" s="4">
        <f>'O&amp;R'!L164</f>
        <v>24.477482972474181</v>
      </c>
      <c r="G416" s="119"/>
      <c r="H416" s="119"/>
      <c r="I416" s="119"/>
      <c r="J416" s="119"/>
      <c r="K416" s="119"/>
      <c r="L416" s="119"/>
      <c r="M416" s="119"/>
      <c r="N416" s="119">
        <f t="shared" si="14"/>
        <v>15.686492872841971</v>
      </c>
      <c r="O416" s="4">
        <f t="shared" si="13"/>
        <v>1.3802178130497915</v>
      </c>
    </row>
    <row r="417" spans="2:15">
      <c r="B417" s="7" t="s">
        <v>537</v>
      </c>
      <c r="C417" s="186">
        <f>'O&amp;R'!Q165/1000</f>
        <v>16</v>
      </c>
      <c r="D417" s="4">
        <f>'O&amp;R'!L165</f>
        <v>1.8533204143941524</v>
      </c>
      <c r="G417" s="119"/>
      <c r="H417" s="119"/>
      <c r="I417" s="119"/>
      <c r="J417" s="119"/>
      <c r="K417" s="119"/>
      <c r="L417" s="119"/>
      <c r="M417" s="119"/>
      <c r="N417" s="119">
        <f t="shared" si="14"/>
        <v>1.1877078008461501</v>
      </c>
      <c r="O417" s="4">
        <f t="shared" si="13"/>
        <v>0.10450363103560027</v>
      </c>
    </row>
    <row r="418" spans="2:15">
      <c r="B418" s="7" t="s">
        <v>499</v>
      </c>
      <c r="C418" s="186">
        <f>'O&amp;R'!Q166/1000</f>
        <v>103.39999999999999</v>
      </c>
      <c r="D418" s="4">
        <f>'O&amp;R'!L166</f>
        <v>44.106659690236022</v>
      </c>
      <c r="G418" s="119"/>
      <c r="H418" s="119"/>
      <c r="I418" s="119"/>
      <c r="J418" s="119"/>
      <c r="K418" s="119"/>
      <c r="L418" s="119"/>
      <c r="M418" s="119"/>
      <c r="N418" s="119">
        <f t="shared" si="14"/>
        <v>28.265929289126518</v>
      </c>
      <c r="O418" s="4">
        <f t="shared" si="13"/>
        <v>2.4870529967091439</v>
      </c>
    </row>
    <row r="419" spans="2:15">
      <c r="B419" s="7" t="s">
        <v>538</v>
      </c>
      <c r="C419" s="186">
        <f>'O&amp;R'!Q167/1000</f>
        <v>16</v>
      </c>
      <c r="D419" s="4">
        <f>'O&amp;R'!L167</f>
        <v>1.8533204143941524</v>
      </c>
      <c r="G419" s="119"/>
      <c r="H419" s="119"/>
      <c r="I419" s="119"/>
      <c r="J419" s="119"/>
      <c r="K419" s="119"/>
      <c r="L419" s="119"/>
      <c r="M419" s="119"/>
      <c r="N419" s="119">
        <f t="shared" si="14"/>
        <v>1.1877078008461501</v>
      </c>
      <c r="O419" s="4">
        <f t="shared" si="13"/>
        <v>0.10450363103560027</v>
      </c>
    </row>
    <row r="420" spans="2:15">
      <c r="B420" s="7" t="s">
        <v>539</v>
      </c>
      <c r="C420" s="186">
        <f>'O&amp;R'!Q168/1000</f>
        <v>16</v>
      </c>
      <c r="D420" s="4">
        <f>'O&amp;R'!L168</f>
        <v>1.8533204143941524</v>
      </c>
      <c r="G420" s="119"/>
      <c r="H420" s="119"/>
      <c r="I420" s="119"/>
      <c r="J420" s="119"/>
      <c r="K420" s="119"/>
      <c r="L420" s="119"/>
      <c r="M420" s="119"/>
      <c r="N420" s="119">
        <f t="shared" si="14"/>
        <v>1.1877078008461501</v>
      </c>
      <c r="O420" s="4">
        <f t="shared" si="13"/>
        <v>0.10450363103560027</v>
      </c>
    </row>
    <row r="421" spans="2:15">
      <c r="B421" s="7" t="s">
        <v>540</v>
      </c>
      <c r="C421" s="186">
        <f>'O&amp;R'!Q169/1000</f>
        <v>16</v>
      </c>
      <c r="D421" s="4">
        <f>'O&amp;R'!L169</f>
        <v>1.8533204143941524</v>
      </c>
      <c r="G421" s="119"/>
      <c r="H421" s="119"/>
      <c r="I421" s="119"/>
      <c r="J421" s="119"/>
      <c r="K421" s="119"/>
      <c r="L421" s="119"/>
      <c r="M421" s="119"/>
      <c r="N421" s="119">
        <f t="shared" si="14"/>
        <v>1.1877078008461501</v>
      </c>
      <c r="O421" s="4">
        <f t="shared" si="13"/>
        <v>0.10450363103560027</v>
      </c>
    </row>
    <row r="422" spans="2:15">
      <c r="B422" s="7" t="s">
        <v>514</v>
      </c>
      <c r="C422" s="186">
        <f>'O&amp;R'!Q170/1000</f>
        <v>25.518999999999998</v>
      </c>
      <c r="D422" s="4">
        <f>'O&amp;R'!L170</f>
        <v>23.985663449536517</v>
      </c>
      <c r="G422" s="119"/>
      <c r="H422" s="119"/>
      <c r="I422" s="119"/>
      <c r="J422" s="119"/>
      <c r="K422" s="119"/>
      <c r="L422" s="119"/>
      <c r="M422" s="119"/>
      <c r="N422" s="119">
        <f t="shared" si="14"/>
        <v>15.371308364289275</v>
      </c>
      <c r="O422" s="4">
        <f t="shared" si="13"/>
        <v>1.3524854654416827</v>
      </c>
    </row>
    <row r="423" spans="2:15">
      <c r="B423" s="7" t="s">
        <v>516</v>
      </c>
      <c r="C423" s="186">
        <f>'O&amp;R'!Q171/1000</f>
        <v>21.623999999999999</v>
      </c>
      <c r="D423" s="4">
        <f>'O&amp;R'!L171</f>
        <v>22.293129888049641</v>
      </c>
      <c r="G423" s="119"/>
      <c r="H423" s="119"/>
      <c r="I423" s="119"/>
      <c r="J423" s="119"/>
      <c r="K423" s="119"/>
      <c r="L423" s="119"/>
      <c r="M423" s="119"/>
      <c r="N423" s="119">
        <f t="shared" si="14"/>
        <v>14.286641461276165</v>
      </c>
      <c r="O423" s="4">
        <f t="shared" si="13"/>
        <v>1.2570481619666571</v>
      </c>
    </row>
    <row r="424" spans="2:15">
      <c r="B424" s="7" t="s">
        <v>518</v>
      </c>
      <c r="C424" s="186">
        <f>'O&amp;R'!Q172/1000</f>
        <v>18.109000000000002</v>
      </c>
      <c r="D424" s="4">
        <f>'O&amp;R'!L172</f>
        <v>29.012307056215924</v>
      </c>
      <c r="G424" s="119"/>
      <c r="H424" s="119"/>
      <c r="I424" s="119"/>
      <c r="J424" s="119"/>
      <c r="K424" s="119"/>
      <c r="L424" s="119"/>
      <c r="M424" s="119"/>
      <c r="N424" s="119">
        <f t="shared" si="14"/>
        <v>18.5926530262042</v>
      </c>
      <c r="O424" s="4">
        <f t="shared" si="13"/>
        <v>1.6359240466713643</v>
      </c>
    </row>
    <row r="425" spans="2:15">
      <c r="B425" s="7" t="s">
        <v>541</v>
      </c>
      <c r="C425" s="186">
        <f>'O&amp;R'!Q173/1000</f>
        <v>16</v>
      </c>
      <c r="D425" s="4">
        <f>'O&amp;R'!L173</f>
        <v>1.8533204143941524</v>
      </c>
      <c r="G425" s="119"/>
      <c r="H425" s="119"/>
      <c r="I425" s="119"/>
      <c r="J425" s="119"/>
      <c r="K425" s="119"/>
      <c r="L425" s="119"/>
      <c r="M425" s="119"/>
      <c r="N425" s="119">
        <f t="shared" si="14"/>
        <v>1.1877078008461501</v>
      </c>
      <c r="O425" s="4">
        <f t="shared" si="13"/>
        <v>0.10450363103560027</v>
      </c>
    </row>
    <row r="426" spans="2:15">
      <c r="B426" s="7" t="s">
        <v>520</v>
      </c>
      <c r="C426" s="186">
        <f>'O&amp;R'!Q174/1000</f>
        <v>19.515000000000001</v>
      </c>
      <c r="D426" s="4">
        <f>'O&amp;R'!L174</f>
        <v>24.649503701817789</v>
      </c>
      <c r="G426" s="119"/>
      <c r="H426" s="119"/>
      <c r="I426" s="119"/>
      <c r="J426" s="119"/>
      <c r="K426" s="119"/>
      <c r="L426" s="119"/>
      <c r="M426" s="119"/>
      <c r="N426" s="119">
        <f t="shared" si="14"/>
        <v>15.796733045324737</v>
      </c>
      <c r="O426" s="4">
        <f t="shared" si="13"/>
        <v>1.3899175879457992</v>
      </c>
    </row>
    <row r="427" spans="2:15">
      <c r="B427" s="7" t="s">
        <v>542</v>
      </c>
      <c r="C427" s="186">
        <f>'O&amp;R'!Q175/1000</f>
        <v>16</v>
      </c>
      <c r="D427" s="4">
        <f>'O&amp;R'!L175</f>
        <v>1.8533204143941524</v>
      </c>
      <c r="G427" s="119"/>
      <c r="H427" s="119"/>
      <c r="I427" s="119"/>
      <c r="J427" s="119"/>
      <c r="K427" s="119"/>
      <c r="L427" s="119"/>
      <c r="M427" s="119"/>
      <c r="N427" s="119">
        <f t="shared" si="14"/>
        <v>1.1877078008461501</v>
      </c>
      <c r="O427" s="4">
        <f t="shared" si="13"/>
        <v>0.10450363103560027</v>
      </c>
    </row>
    <row r="428" spans="2:15">
      <c r="B428" s="7" t="s">
        <v>543</v>
      </c>
      <c r="C428" s="186">
        <f>'O&amp;R'!Q176/1000</f>
        <v>16</v>
      </c>
      <c r="D428" s="4">
        <f>'O&amp;R'!L176</f>
        <v>1.8533204143941524</v>
      </c>
      <c r="G428" s="119"/>
      <c r="H428" s="119"/>
      <c r="I428" s="119"/>
      <c r="J428" s="119"/>
      <c r="K428" s="119"/>
      <c r="L428" s="119"/>
      <c r="M428" s="119"/>
      <c r="N428" s="119">
        <f t="shared" si="14"/>
        <v>1.1877078008461501</v>
      </c>
      <c r="O428" s="4">
        <f t="shared" si="13"/>
        <v>0.10450363103560027</v>
      </c>
    </row>
    <row r="429" spans="2:15">
      <c r="B429" s="7" t="s">
        <v>544</v>
      </c>
      <c r="C429" s="186">
        <f>'O&amp;R'!Q177/1000</f>
        <v>16</v>
      </c>
      <c r="D429" s="4">
        <f>'O&amp;R'!L177</f>
        <v>1.8533204143941524</v>
      </c>
      <c r="G429" s="119"/>
      <c r="H429" s="119"/>
      <c r="I429" s="119"/>
      <c r="J429" s="119"/>
      <c r="K429" s="119"/>
      <c r="L429" s="119"/>
      <c r="M429" s="119"/>
      <c r="N429" s="119">
        <f t="shared" si="14"/>
        <v>1.1877078008461501</v>
      </c>
      <c r="O429" s="4">
        <f t="shared" si="13"/>
        <v>0.10450363103560027</v>
      </c>
    </row>
    <row r="430" spans="2:15">
      <c r="B430" s="7" t="s">
        <v>489</v>
      </c>
      <c r="C430" s="186">
        <f>'O&amp;R'!Q178/1000</f>
        <v>293.39999999999998</v>
      </c>
      <c r="D430" s="4">
        <f>'O&amp;R'!L178</f>
        <v>24.471553663245658</v>
      </c>
      <c r="G430" s="119"/>
      <c r="H430" s="119"/>
      <c r="I430" s="119"/>
      <c r="J430" s="119"/>
      <c r="K430" s="119"/>
      <c r="L430" s="119"/>
      <c r="M430" s="119"/>
      <c r="N430" s="119">
        <f t="shared" si="14"/>
        <v>15.682693051305634</v>
      </c>
      <c r="O430" s="4">
        <f t="shared" si="13"/>
        <v>1.379883475641591</v>
      </c>
    </row>
    <row r="431" spans="2:15">
      <c r="B431" s="7" t="s">
        <v>545</v>
      </c>
      <c r="C431" s="186">
        <f>'O&amp;R'!Q179/1000</f>
        <v>16</v>
      </c>
      <c r="D431" s="4">
        <f>'O&amp;R'!L179</f>
        <v>1.8533204143941524</v>
      </c>
      <c r="G431" s="119"/>
      <c r="H431" s="119"/>
      <c r="I431" s="119"/>
      <c r="J431" s="119"/>
      <c r="K431" s="119"/>
      <c r="L431" s="119"/>
      <c r="M431" s="119"/>
      <c r="N431" s="119">
        <f t="shared" si="14"/>
        <v>1.1877078008461501</v>
      </c>
      <c r="O431" s="4">
        <f t="shared" si="13"/>
        <v>0.10450363103560027</v>
      </c>
    </row>
    <row r="432" spans="2:15">
      <c r="B432" s="7" t="s">
        <v>546</v>
      </c>
      <c r="C432" s="186">
        <f>'O&amp;R'!Q180/1000</f>
        <v>16</v>
      </c>
      <c r="D432" s="4">
        <f>'O&amp;R'!L180</f>
        <v>1.8533204143941524</v>
      </c>
      <c r="G432" s="119"/>
      <c r="H432" s="119"/>
      <c r="I432" s="119"/>
      <c r="J432" s="119"/>
      <c r="K432" s="119"/>
      <c r="L432" s="119"/>
      <c r="M432" s="119"/>
      <c r="N432" s="119">
        <f t="shared" si="14"/>
        <v>1.1877078008461501</v>
      </c>
      <c r="O432" s="4">
        <f t="shared" si="13"/>
        <v>0.10450363103560027</v>
      </c>
    </row>
    <row r="433" spans="1:17">
      <c r="A433" s="119"/>
      <c r="B433" s="7" t="s">
        <v>522</v>
      </c>
      <c r="C433" s="186">
        <f>'O&amp;R'!Q181/1000</f>
        <v>18.4605</v>
      </c>
      <c r="D433" s="4">
        <f>'O&amp;R'!L181</f>
        <v>136.2434405896735</v>
      </c>
      <c r="G433" s="119"/>
      <c r="H433" s="119"/>
      <c r="I433" s="119"/>
      <c r="J433" s="119"/>
      <c r="K433" s="119"/>
      <c r="L433" s="119"/>
      <c r="M433" s="119"/>
      <c r="N433" s="119">
        <f t="shared" si="14"/>
        <v>87.31215387565463</v>
      </c>
      <c r="O433" s="4">
        <f t="shared" si="13"/>
        <v>7.6823921734323131</v>
      </c>
      <c r="P433" s="119"/>
      <c r="Q433" s="119"/>
    </row>
    <row r="434" spans="1:17">
      <c r="A434" s="119"/>
      <c r="B434" s="7" t="s">
        <v>497</v>
      </c>
      <c r="C434" s="186">
        <f>'O&amp;R'!Q182/1000</f>
        <v>175.6</v>
      </c>
      <c r="D434" s="4">
        <f>'O&amp;R'!L182</f>
        <v>72.246788918458265</v>
      </c>
      <c r="G434" s="119"/>
      <c r="H434" s="119"/>
      <c r="I434" s="119"/>
      <c r="J434" s="119"/>
      <c r="K434" s="119"/>
      <c r="L434" s="119"/>
      <c r="M434" s="119"/>
      <c r="N434" s="119">
        <f t="shared" si="14"/>
        <v>46.299643665549652</v>
      </c>
      <c r="O434" s="4">
        <f t="shared" si="13"/>
        <v>4.0737973390907465</v>
      </c>
      <c r="P434" s="119"/>
      <c r="Q434" s="119"/>
    </row>
    <row r="435" spans="1:17">
      <c r="A435" s="119" t="s">
        <v>599</v>
      </c>
      <c r="B435" s="119"/>
      <c r="C435" s="119"/>
      <c r="D435" s="119"/>
      <c r="E435" s="9">
        <f>SUMPRODUCT(D436:D481,C436:C481)/SUM(C436:C481)</f>
        <v>66.850895255856145</v>
      </c>
      <c r="F435" s="11">
        <f>_xlfn.STDEV.S(D436:D481)</f>
        <v>44.754483443028384</v>
      </c>
      <c r="G435" s="119">
        <f>F435/SQRT(M435)</f>
        <v>14.918161147676129</v>
      </c>
      <c r="H435" s="119">
        <f>G435*$D$1</f>
        <v>24.540375087927231</v>
      </c>
      <c r="I435" s="119">
        <f>H435+E435</f>
        <v>91.391270343783376</v>
      </c>
      <c r="J435" s="119">
        <f>COUNTIF(D436:D486,"&gt;91.3913")</f>
        <v>6</v>
      </c>
      <c r="K435" s="119"/>
      <c r="L435" s="119">
        <f>COUNTA(B436:B481)</f>
        <v>46</v>
      </c>
      <c r="M435" s="119">
        <f>ROUND(L435/5,0)</f>
        <v>9</v>
      </c>
      <c r="N435" s="119"/>
      <c r="O435" s="119"/>
      <c r="P435" s="4">
        <f>COUNTIF(O436:O486,"&gt;1")-COUNTIF(O436:O486,"&gt;2")</f>
        <v>19</v>
      </c>
      <c r="Q435" s="119">
        <f>COUNTIF(O436:O486,"&gt;2")</f>
        <v>4</v>
      </c>
    </row>
    <row r="436" spans="1:17">
      <c r="A436" s="119"/>
      <c r="B436" s="62">
        <v>154</v>
      </c>
      <c r="C436" s="94">
        <f>RGE!V21</f>
        <v>109.66499999999999</v>
      </c>
      <c r="D436" s="119">
        <f>RGE!M21</f>
        <v>92.096067860683917</v>
      </c>
      <c r="G436" s="119"/>
      <c r="H436" s="119"/>
      <c r="I436" s="119"/>
      <c r="J436" s="119"/>
      <c r="K436" s="119"/>
      <c r="L436" s="119"/>
      <c r="M436" s="119"/>
      <c r="N436" s="119">
        <f t="shared" si="14"/>
        <v>59.020133472790732</v>
      </c>
      <c r="O436" s="4">
        <f>N436/(0.5*E$435)</f>
        <v>1.7657245500424488</v>
      </c>
      <c r="P436" s="119"/>
      <c r="Q436" s="119"/>
    </row>
    <row r="437" spans="1:17">
      <c r="A437" s="119"/>
      <c r="B437" s="44">
        <v>127</v>
      </c>
      <c r="C437" s="94">
        <f>RGE!V22</f>
        <v>50.760000000000005</v>
      </c>
      <c r="D437" s="119">
        <f>RGE!M22</f>
        <v>77.156213688562687</v>
      </c>
      <c r="G437" s="119"/>
      <c r="H437" s="119"/>
      <c r="I437" s="119"/>
      <c r="J437" s="119"/>
      <c r="K437" s="119"/>
      <c r="L437" s="119"/>
      <c r="M437" s="119"/>
      <c r="N437" s="119">
        <f t="shared" si="14"/>
        <v>49.445868167170154</v>
      </c>
      <c r="O437" s="4">
        <f t="shared" ref="O437:O481" si="15">N437/(0.5*E$435)</f>
        <v>1.479288137516414</v>
      </c>
      <c r="P437" s="119"/>
      <c r="Q437" s="119"/>
    </row>
    <row r="438" spans="1:17">
      <c r="A438" s="119"/>
      <c r="B438" s="44">
        <v>122</v>
      </c>
      <c r="C438" s="94">
        <f>RGE!V23</f>
        <v>66.599999999999994</v>
      </c>
      <c r="D438" s="119">
        <f>RGE!M23</f>
        <v>59.621036964770298</v>
      </c>
      <c r="G438" s="119"/>
      <c r="H438" s="119"/>
      <c r="I438" s="119"/>
      <c r="J438" s="119"/>
      <c r="K438" s="119"/>
      <c r="L438" s="119"/>
      <c r="M438" s="119"/>
      <c r="N438" s="119">
        <f t="shared" si="14"/>
        <v>38.208380023020908</v>
      </c>
      <c r="O438" s="4">
        <f t="shared" si="15"/>
        <v>1.1430925457852819</v>
      </c>
      <c r="P438" s="119"/>
      <c r="Q438" s="119"/>
    </row>
    <row r="439" spans="1:17">
      <c r="A439" s="119"/>
      <c r="B439" s="44">
        <v>156</v>
      </c>
      <c r="C439" s="94">
        <f>RGE!V24</f>
        <v>20.25</v>
      </c>
      <c r="D439" s="119">
        <f>RGE!M24</f>
        <v>10.214617376953118</v>
      </c>
      <c r="G439" s="119"/>
      <c r="H439" s="119"/>
      <c r="I439" s="119"/>
      <c r="J439" s="119"/>
      <c r="K439" s="119"/>
      <c r="L439" s="119"/>
      <c r="M439" s="119"/>
      <c r="N439" s="119">
        <f t="shared" si="14"/>
        <v>6.5460784044899141</v>
      </c>
      <c r="O439" s="4">
        <f t="shared" si="15"/>
        <v>0.19584115902820246</v>
      </c>
      <c r="P439" s="119"/>
      <c r="Q439" s="119"/>
    </row>
    <row r="440" spans="1:17">
      <c r="A440" s="119"/>
      <c r="B440" s="44">
        <v>45</v>
      </c>
      <c r="C440" s="94">
        <f>RGE!V25</f>
        <v>46.800000000000004</v>
      </c>
      <c r="D440" s="119">
        <f>RGE!M25</f>
        <v>135.62805784581735</v>
      </c>
      <c r="G440" s="119"/>
      <c r="H440" s="119"/>
      <c r="I440" s="119"/>
      <c r="J440" s="119"/>
      <c r="K440" s="119"/>
      <c r="L440" s="119"/>
      <c r="M440" s="119"/>
      <c r="N440" s="119">
        <f t="shared" si="14"/>
        <v>86.917783382723442</v>
      </c>
      <c r="O440" s="4">
        <f t="shared" si="15"/>
        <v>2.6003476258639764</v>
      </c>
      <c r="P440" s="119"/>
      <c r="Q440" s="119"/>
    </row>
    <row r="441" spans="1:17">
      <c r="A441" s="119"/>
      <c r="B441" s="44">
        <v>16</v>
      </c>
      <c r="C441" s="94">
        <f>RGE!V26</f>
        <v>20.772000000000002</v>
      </c>
      <c r="D441" s="119">
        <f>RGE!M26</f>
        <v>171.77955856129279</v>
      </c>
      <c r="G441" s="119"/>
      <c r="H441" s="119"/>
      <c r="I441" s="119"/>
      <c r="J441" s="119"/>
      <c r="K441" s="119"/>
      <c r="L441" s="119"/>
      <c r="M441" s="119"/>
      <c r="N441" s="119">
        <f t="shared" si="14"/>
        <v>110.08561722223874</v>
      </c>
      <c r="O441" s="4">
        <f t="shared" si="15"/>
        <v>3.2934672542801953</v>
      </c>
      <c r="P441" s="119"/>
      <c r="Q441" s="119"/>
    </row>
    <row r="442" spans="1:17">
      <c r="A442" s="119"/>
      <c r="B442" s="44">
        <v>424</v>
      </c>
      <c r="C442" s="94">
        <f>RGE!V27</f>
        <v>24.390000000000004</v>
      </c>
      <c r="D442" s="119">
        <f>RGE!M27</f>
        <v>74.830073688537325</v>
      </c>
      <c r="G442" s="119"/>
      <c r="H442" s="119"/>
      <c r="I442" s="119"/>
      <c r="J442" s="119"/>
      <c r="K442" s="119"/>
      <c r="L442" s="119"/>
      <c r="M442" s="119"/>
      <c r="N442" s="119">
        <f t="shared" si="14"/>
        <v>47.955152043593898</v>
      </c>
      <c r="O442" s="4">
        <f t="shared" si="15"/>
        <v>1.4346898978706804</v>
      </c>
      <c r="P442" s="119"/>
      <c r="Q442" s="119"/>
    </row>
    <row r="443" spans="1:17">
      <c r="A443" s="119"/>
      <c r="B443" s="44">
        <v>89</v>
      </c>
      <c r="C443" s="94">
        <f>RGE!V28</f>
        <v>90.9</v>
      </c>
      <c r="D443" s="119">
        <f>RGE!M28</f>
        <v>131.02232411406402</v>
      </c>
      <c r="G443" s="119"/>
      <c r="H443" s="119"/>
      <c r="I443" s="119"/>
      <c r="J443" s="119"/>
      <c r="K443" s="119"/>
      <c r="L443" s="119"/>
      <c r="M443" s="119"/>
      <c r="N443" s="119">
        <f t="shared" si="14"/>
        <v>83.966180497794383</v>
      </c>
      <c r="O443" s="4">
        <f t="shared" si="15"/>
        <v>2.5120435613145791</v>
      </c>
      <c r="P443" s="119"/>
      <c r="Q443" s="119"/>
    </row>
    <row r="444" spans="1:17">
      <c r="A444" s="119"/>
      <c r="B444" s="44">
        <v>255</v>
      </c>
      <c r="C444" s="94">
        <f>RGE!V29</f>
        <v>152.10000000000002</v>
      </c>
      <c r="D444" s="119">
        <f>RGE!M29</f>
        <v>67.750215705099507</v>
      </c>
      <c r="G444" s="119"/>
      <c r="H444" s="119"/>
      <c r="I444" s="119"/>
      <c r="J444" s="119"/>
      <c r="K444" s="119"/>
      <c r="L444" s="119"/>
      <c r="M444" s="119"/>
      <c r="N444" s="119">
        <f t="shared" si="14"/>
        <v>43.417996735475839</v>
      </c>
      <c r="O444" s="4">
        <f t="shared" si="15"/>
        <v>1.2989503452213653</v>
      </c>
      <c r="P444" s="119"/>
      <c r="Q444" s="119"/>
    </row>
    <row r="445" spans="1:17">
      <c r="A445" s="119"/>
      <c r="B445" s="44">
        <v>124</v>
      </c>
      <c r="C445" s="94">
        <f>RGE!V30</f>
        <v>116.28000000000002</v>
      </c>
      <c r="D445" s="119">
        <f>RGE!M30</f>
        <v>66.412346527869559</v>
      </c>
      <c r="G445" s="119"/>
      <c r="H445" s="119"/>
      <c r="I445" s="119"/>
      <c r="J445" s="119"/>
      <c r="K445" s="119"/>
      <c r="L445" s="119"/>
      <c r="M445" s="119"/>
      <c r="N445" s="119">
        <f t="shared" si="14"/>
        <v>42.560617921771318</v>
      </c>
      <c r="O445" s="4">
        <f t="shared" si="15"/>
        <v>1.2732998640894941</v>
      </c>
      <c r="P445" s="119"/>
      <c r="Q445" s="119"/>
    </row>
    <row r="446" spans="1:17">
      <c r="A446" s="119"/>
      <c r="B446" s="44">
        <v>19</v>
      </c>
      <c r="C446" s="94">
        <f>RGE!V31</f>
        <v>117</v>
      </c>
      <c r="D446" s="119">
        <f>RGE!M31</f>
        <v>87.623652109532884</v>
      </c>
      <c r="G446" s="119"/>
      <c r="H446" s="119"/>
      <c r="I446" s="119"/>
      <c r="J446" s="119"/>
      <c r="K446" s="119"/>
      <c r="L446" s="119"/>
      <c r="M446" s="119"/>
      <c r="N446" s="119">
        <f t="shared" si="14"/>
        <v>56.153967949002592</v>
      </c>
      <c r="O446" s="4">
        <f t="shared" si="15"/>
        <v>1.6799765428446825</v>
      </c>
      <c r="P446" s="119"/>
      <c r="Q446" s="119"/>
    </row>
    <row r="447" spans="1:17">
      <c r="A447" s="119"/>
      <c r="B447" s="44">
        <v>29</v>
      </c>
      <c r="C447" s="94">
        <f>RGE!V32</f>
        <v>124.2</v>
      </c>
      <c r="D447" s="119">
        <f>RGE!M32</f>
        <v>94.769052360082711</v>
      </c>
      <c r="G447" s="119"/>
      <c r="H447" s="119"/>
      <c r="I447" s="119"/>
      <c r="J447" s="119"/>
      <c r="K447" s="119"/>
      <c r="L447" s="119"/>
      <c r="M447" s="119"/>
      <c r="N447" s="119">
        <f t="shared" si="14"/>
        <v>60.733126281168445</v>
      </c>
      <c r="O447" s="4">
        <f t="shared" si="15"/>
        <v>1.8169727136406066</v>
      </c>
      <c r="P447" s="119"/>
      <c r="Q447" s="119"/>
    </row>
    <row r="448" spans="1:17">
      <c r="A448" s="119"/>
      <c r="B448" s="44">
        <v>49</v>
      </c>
      <c r="C448" s="94">
        <f>RGE!V33</f>
        <v>120.15</v>
      </c>
      <c r="D448" s="119">
        <f>RGE!M33</f>
        <v>88.075951632312112</v>
      </c>
      <c r="G448" s="119"/>
      <c r="H448" s="119"/>
      <c r="I448" s="119"/>
      <c r="J448" s="119"/>
      <c r="K448" s="119"/>
      <c r="L448" s="119"/>
      <c r="M448" s="119"/>
      <c r="N448" s="119">
        <f t="shared" si="14"/>
        <v>56.44382590737375</v>
      </c>
      <c r="O448" s="4">
        <f t="shared" si="15"/>
        <v>1.6886483177629328</v>
      </c>
      <c r="P448" s="119"/>
      <c r="Q448" s="119"/>
    </row>
    <row r="449" spans="2:15">
      <c r="B449" s="44">
        <v>81</v>
      </c>
      <c r="C449" s="94">
        <f>RGE!V34</f>
        <v>117</v>
      </c>
      <c r="D449" s="119">
        <f>RGE!M34</f>
        <v>82.642924062635629</v>
      </c>
      <c r="G449" s="119"/>
      <c r="H449" s="119"/>
      <c r="I449" s="119"/>
      <c r="J449" s="119"/>
      <c r="K449" s="119"/>
      <c r="L449" s="119"/>
      <c r="M449" s="119"/>
      <c r="N449" s="119">
        <f t="shared" si="14"/>
        <v>52.9620484572363</v>
      </c>
      <c r="O449" s="4">
        <f t="shared" si="15"/>
        <v>1.5844828481215236</v>
      </c>
    </row>
    <row r="450" spans="2:15">
      <c r="B450" s="44">
        <v>103</v>
      </c>
      <c r="C450" s="94">
        <f>RGE!V35</f>
        <v>117</v>
      </c>
      <c r="D450" s="119">
        <f>RGE!M35</f>
        <v>74.391046368158484</v>
      </c>
      <c r="G450" s="119"/>
      <c r="H450" s="119"/>
      <c r="I450" s="119"/>
      <c r="J450" s="119"/>
      <c r="K450" s="119"/>
      <c r="L450" s="119"/>
      <c r="M450" s="119"/>
      <c r="N450" s="119">
        <f t="shared" si="14"/>
        <v>47.673799629219843</v>
      </c>
      <c r="O450" s="4">
        <f t="shared" si="15"/>
        <v>1.4262725860815937</v>
      </c>
    </row>
    <row r="451" spans="2:15">
      <c r="B451" s="44">
        <v>23</v>
      </c>
      <c r="C451" s="94">
        <f>RGE!V36</f>
        <v>99</v>
      </c>
      <c r="D451" s="119">
        <f>RGE!M36</f>
        <v>17.736691718548286</v>
      </c>
      <c r="G451" s="119"/>
      <c r="H451" s="119"/>
      <c r="I451" s="119"/>
      <c r="J451" s="119"/>
      <c r="K451" s="119"/>
      <c r="L451" s="119"/>
      <c r="M451" s="119"/>
      <c r="N451" s="119">
        <f t="shared" si="14"/>
        <v>11.366629834598545</v>
      </c>
      <c r="O451" s="4">
        <f t="shared" si="15"/>
        <v>0.34005916573279776</v>
      </c>
    </row>
    <row r="452" spans="2:15">
      <c r="B452" s="44">
        <v>55</v>
      </c>
      <c r="C452" s="94">
        <f>RGE!V37</f>
        <v>167.4</v>
      </c>
      <c r="D452" s="119">
        <f>RGE!M37</f>
        <v>68.106915252089991</v>
      </c>
      <c r="G452" s="119"/>
      <c r="H452" s="119"/>
      <c r="I452" s="119"/>
      <c r="J452" s="119"/>
      <c r="K452" s="119"/>
      <c r="L452" s="119"/>
      <c r="M452" s="119"/>
      <c r="N452" s="119">
        <f t="shared" si="14"/>
        <v>43.646589066962882</v>
      </c>
      <c r="O452" s="4">
        <f t="shared" si="15"/>
        <v>1.3057892164320548</v>
      </c>
    </row>
    <row r="453" spans="2:15">
      <c r="B453" s="44">
        <v>62</v>
      </c>
      <c r="C453" s="94">
        <f>RGE!V38</f>
        <v>157.13999999999999</v>
      </c>
      <c r="D453" s="119">
        <f>RGE!M38</f>
        <v>62.930861997025694</v>
      </c>
      <c r="G453" s="119"/>
      <c r="H453" s="119"/>
      <c r="I453" s="119"/>
      <c r="J453" s="119"/>
      <c r="K453" s="119"/>
      <c r="L453" s="119"/>
      <c r="M453" s="119"/>
      <c r="N453" s="119">
        <f t="shared" si="14"/>
        <v>40.329494634241904</v>
      </c>
      <c r="O453" s="4">
        <f t="shared" si="15"/>
        <v>1.2065506222434332</v>
      </c>
    </row>
    <row r="454" spans="2:15">
      <c r="B454" s="44">
        <v>109</v>
      </c>
      <c r="C454" s="94">
        <f>RGE!V39</f>
        <v>135</v>
      </c>
      <c r="D454" s="119">
        <f>RGE!M39</f>
        <v>57.063882838284904</v>
      </c>
      <c r="G454" s="119"/>
      <c r="H454" s="119"/>
      <c r="I454" s="119"/>
      <c r="J454" s="119"/>
      <c r="K454" s="119"/>
      <c r="L454" s="119"/>
      <c r="M454" s="119"/>
      <c r="N454" s="119">
        <f t="shared" si="14"/>
        <v>36.569617572446234</v>
      </c>
      <c r="O454" s="4">
        <f t="shared" si="15"/>
        <v>1.0940651559708987</v>
      </c>
    </row>
    <row r="455" spans="2:15">
      <c r="B455" s="44">
        <v>58</v>
      </c>
      <c r="C455" s="94">
        <f>RGE!V40</f>
        <v>32.760000000000005</v>
      </c>
      <c r="D455" s="119">
        <f>RGE!M40</f>
        <v>84.340470271012379</v>
      </c>
      <c r="G455" s="119"/>
      <c r="H455" s="119"/>
      <c r="I455" s="119"/>
      <c r="J455" s="119"/>
      <c r="K455" s="119"/>
      <c r="L455" s="119"/>
      <c r="M455" s="119"/>
      <c r="N455" s="119">
        <f t="shared" si="14"/>
        <v>54.04992773505937</v>
      </c>
      <c r="O455" s="4">
        <f t="shared" si="15"/>
        <v>1.6170292866893086</v>
      </c>
    </row>
    <row r="456" spans="2:15">
      <c r="B456" s="44">
        <v>117</v>
      </c>
      <c r="C456" s="94">
        <f>RGE!V41</f>
        <v>7.2</v>
      </c>
      <c r="D456" s="119">
        <f>RGE!M41</f>
        <v>8.1071738424032294</v>
      </c>
      <c r="G456" s="119"/>
      <c r="H456" s="119"/>
      <c r="I456" s="119"/>
      <c r="J456" s="119"/>
      <c r="K456" s="119"/>
      <c r="L456" s="119"/>
      <c r="M456" s="119"/>
      <c r="N456" s="119">
        <f t="shared" si="14"/>
        <v>5.195514785599479</v>
      </c>
      <c r="O456" s="4">
        <f t="shared" si="15"/>
        <v>0.15543590749876612</v>
      </c>
    </row>
    <row r="457" spans="2:15">
      <c r="B457" s="44">
        <v>230</v>
      </c>
      <c r="C457" s="94">
        <f>RGE!V42</f>
        <v>73.53</v>
      </c>
      <c r="D457" s="119">
        <f>RGE!M42</f>
        <v>190.66236919767223</v>
      </c>
      <c r="G457" s="119"/>
      <c r="H457" s="119"/>
      <c r="I457" s="119"/>
      <c r="J457" s="119"/>
      <c r="K457" s="119"/>
      <c r="L457" s="119"/>
      <c r="M457" s="119"/>
      <c r="N457" s="119">
        <f t="shared" si="14"/>
        <v>122.18674194980505</v>
      </c>
      <c r="O457" s="4">
        <f t="shared" si="15"/>
        <v>3.6555005428772169</v>
      </c>
    </row>
    <row r="458" spans="2:15">
      <c r="B458" s="44">
        <v>60</v>
      </c>
      <c r="C458" s="94">
        <f>RGE!V43</f>
        <v>12.6</v>
      </c>
      <c r="D458" s="119">
        <f>RGE!M43</f>
        <v>6.3833337514667656</v>
      </c>
      <c r="G458" s="119"/>
      <c r="H458" s="119"/>
      <c r="I458" s="119"/>
      <c r="J458" s="119"/>
      <c r="K458" s="119"/>
      <c r="L458" s="119"/>
      <c r="M458" s="119"/>
      <c r="N458" s="119">
        <f t="shared" si="14"/>
        <v>4.0907849679624828</v>
      </c>
      <c r="O458" s="4">
        <f t="shared" si="15"/>
        <v>0.12238534584483757</v>
      </c>
    </row>
    <row r="459" spans="2:15">
      <c r="B459" s="44">
        <v>74</v>
      </c>
      <c r="C459" s="94">
        <f>RGE!V44</f>
        <v>18.900000000000002</v>
      </c>
      <c r="D459" s="119">
        <f>RGE!M44</f>
        <v>3.0545920571679694</v>
      </c>
      <c r="G459" s="119"/>
      <c r="H459" s="119"/>
      <c r="I459" s="119"/>
      <c r="J459" s="119"/>
      <c r="K459" s="119"/>
      <c r="L459" s="119"/>
      <c r="M459" s="119"/>
      <c r="N459" s="119">
        <f t="shared" ref="N459:N481" si="16">0.640854*D459</f>
        <v>1.9575475382043219</v>
      </c>
      <c r="O459" s="4">
        <f t="shared" si="15"/>
        <v>5.8564587077323864E-2</v>
      </c>
    </row>
    <row r="460" spans="2:15">
      <c r="B460" s="44">
        <v>420</v>
      </c>
      <c r="C460" s="94">
        <f>RGE!V45</f>
        <v>25.2</v>
      </c>
      <c r="D460" s="119">
        <f>RGE!M45</f>
        <v>3.0545920571679694</v>
      </c>
      <c r="G460" s="119"/>
      <c r="H460" s="119"/>
      <c r="I460" s="119"/>
      <c r="J460" s="119"/>
      <c r="K460" s="119"/>
      <c r="L460" s="119"/>
      <c r="M460" s="119"/>
      <c r="N460" s="119">
        <f t="shared" si="16"/>
        <v>1.9575475382043219</v>
      </c>
      <c r="O460" s="4">
        <f t="shared" si="15"/>
        <v>5.8564587077323864E-2</v>
      </c>
    </row>
    <row r="461" spans="2:15">
      <c r="B461" s="44">
        <v>136</v>
      </c>
      <c r="C461" s="94">
        <f>RGE!V46</f>
        <v>14.4</v>
      </c>
      <c r="D461" s="119">
        <f>RGE!M46</f>
        <v>2.6727680500219742</v>
      </c>
      <c r="G461" s="119"/>
      <c r="H461" s="119"/>
      <c r="I461" s="119"/>
      <c r="J461" s="119"/>
      <c r="K461" s="119"/>
      <c r="L461" s="119"/>
      <c r="M461" s="119"/>
      <c r="N461" s="119">
        <f t="shared" si="16"/>
        <v>1.7128540959287823</v>
      </c>
      <c r="O461" s="4">
        <f t="shared" si="15"/>
        <v>5.1244013692658401E-2</v>
      </c>
    </row>
    <row r="462" spans="2:15">
      <c r="B462" s="44">
        <v>46</v>
      </c>
      <c r="C462" s="94">
        <f>RGE!V47</f>
        <v>49.5</v>
      </c>
      <c r="D462" s="119">
        <f>RGE!M47</f>
        <v>68.485867761409352</v>
      </c>
      <c r="G462" s="119"/>
      <c r="H462" s="119"/>
      <c r="I462" s="119"/>
      <c r="J462" s="119"/>
      <c r="K462" s="119"/>
      <c r="L462" s="119"/>
      <c r="M462" s="119"/>
      <c r="N462" s="119">
        <f t="shared" si="16"/>
        <v>43.889442298370234</v>
      </c>
      <c r="O462" s="4">
        <f t="shared" si="15"/>
        <v>1.3130547356290045</v>
      </c>
    </row>
    <row r="463" spans="2:15">
      <c r="B463" s="44">
        <v>65</v>
      </c>
      <c r="C463" s="94">
        <f>RGE!V48</f>
        <v>192.60000000000002</v>
      </c>
      <c r="D463" s="119">
        <f>RGE!M48</f>
        <v>86.728055976739626</v>
      </c>
      <c r="G463" s="119"/>
      <c r="H463" s="119"/>
      <c r="I463" s="119"/>
      <c r="J463" s="119"/>
      <c r="K463" s="119"/>
      <c r="L463" s="119"/>
      <c r="M463" s="119"/>
      <c r="N463" s="119">
        <f t="shared" si="16"/>
        <v>55.580021584917496</v>
      </c>
      <c r="O463" s="4">
        <f t="shared" si="15"/>
        <v>1.6628056025935922</v>
      </c>
    </row>
    <row r="464" spans="2:15">
      <c r="B464" s="44">
        <v>69</v>
      </c>
      <c r="C464" s="94">
        <f>RGE!V49</f>
        <v>78.84</v>
      </c>
      <c r="D464" s="119">
        <f>RGE!M49</f>
        <v>19.771158190949997</v>
      </c>
      <c r="G464" s="119"/>
      <c r="H464" s="119"/>
      <c r="I464" s="119"/>
      <c r="J464" s="119"/>
      <c r="K464" s="119"/>
      <c r="L464" s="119"/>
      <c r="M464" s="119"/>
      <c r="N464" s="119">
        <f t="shared" si="16"/>
        <v>12.670425811303071</v>
      </c>
      <c r="O464" s="4">
        <f t="shared" si="15"/>
        <v>0.37906525448342865</v>
      </c>
    </row>
    <row r="465" spans="2:15">
      <c r="B465" s="44">
        <v>70</v>
      </c>
      <c r="C465" s="94">
        <f>RGE!V50</f>
        <v>118.8</v>
      </c>
      <c r="D465" s="119">
        <f>RGE!M50</f>
        <v>61.86601049765374</v>
      </c>
      <c r="G465" s="119"/>
      <c r="H465" s="119"/>
      <c r="I465" s="119"/>
      <c r="J465" s="119"/>
      <c r="K465" s="119"/>
      <c r="L465" s="119"/>
      <c r="M465" s="119"/>
      <c r="N465" s="119">
        <f t="shared" si="16"/>
        <v>39.647080291463389</v>
      </c>
      <c r="O465" s="4">
        <f t="shared" si="15"/>
        <v>1.1861346101566321</v>
      </c>
    </row>
    <row r="466" spans="2:15">
      <c r="B466" s="44">
        <v>71</v>
      </c>
      <c r="C466" s="94">
        <f>RGE!V51</f>
        <v>63.36</v>
      </c>
      <c r="D466" s="119">
        <f>RGE!M51</f>
        <v>43.588650462003201</v>
      </c>
      <c r="G466" s="119"/>
      <c r="H466" s="119"/>
      <c r="I466" s="119"/>
      <c r="J466" s="119"/>
      <c r="K466" s="119"/>
      <c r="L466" s="119"/>
      <c r="M466" s="119"/>
      <c r="N466" s="119">
        <f t="shared" si="16"/>
        <v>27.933961003176602</v>
      </c>
      <c r="O466" s="4">
        <f t="shared" si="15"/>
        <v>0.8357094066209857</v>
      </c>
    </row>
    <row r="467" spans="2:15">
      <c r="B467" s="44">
        <v>93</v>
      </c>
      <c r="C467" s="94">
        <f>RGE!V52</f>
        <v>111.24000000000001</v>
      </c>
      <c r="D467" s="119">
        <f>RGE!M52</f>
        <v>35.799465400690309</v>
      </c>
      <c r="G467" s="119"/>
      <c r="H467" s="119"/>
      <c r="I467" s="119"/>
      <c r="J467" s="119"/>
      <c r="K467" s="119"/>
      <c r="L467" s="119"/>
      <c r="M467" s="119"/>
      <c r="N467" s="119">
        <f t="shared" si="16"/>
        <v>22.942230599893989</v>
      </c>
      <c r="O467" s="4">
        <f t="shared" si="15"/>
        <v>0.6863701828401243</v>
      </c>
    </row>
    <row r="468" spans="2:15">
      <c r="B468" s="44">
        <v>112</v>
      </c>
      <c r="C468" s="94">
        <f>RGE!V53</f>
        <v>72.900000000000006</v>
      </c>
      <c r="D468" s="119">
        <f>RGE!M53</f>
        <v>23.292496874190686</v>
      </c>
      <c r="G468" s="119"/>
      <c r="H468" s="119"/>
      <c r="I468" s="119"/>
      <c r="J468" s="119"/>
      <c r="K468" s="119"/>
      <c r="L468" s="119"/>
      <c r="M468" s="119"/>
      <c r="N468" s="119">
        <f t="shared" si="16"/>
        <v>14.927089791812598</v>
      </c>
      <c r="O468" s="4">
        <f t="shared" si="15"/>
        <v>0.44657860555741724</v>
      </c>
    </row>
    <row r="469" spans="2:15">
      <c r="B469" s="44">
        <v>126</v>
      </c>
      <c r="C469" s="94">
        <f>RGE!V54</f>
        <v>129.6</v>
      </c>
      <c r="D469" s="119">
        <f>RGE!M54</f>
        <v>78.252008728381696</v>
      </c>
      <c r="G469" s="119"/>
      <c r="H469" s="119"/>
      <c r="I469" s="119"/>
      <c r="J469" s="119"/>
      <c r="K469" s="119"/>
      <c r="L469" s="119"/>
      <c r="M469" s="119"/>
      <c r="N469" s="119">
        <f t="shared" si="16"/>
        <v>50.148112801618325</v>
      </c>
      <c r="O469" s="4">
        <f t="shared" si="15"/>
        <v>1.5002974188958329</v>
      </c>
    </row>
    <row r="470" spans="2:15">
      <c r="B470" s="44">
        <v>72</v>
      </c>
      <c r="C470" s="94">
        <f>RGE!V55</f>
        <v>18.900000000000002</v>
      </c>
      <c r="D470" s="119">
        <f>RGE!M55</f>
        <v>14.68129332066586</v>
      </c>
      <c r="G470" s="119"/>
      <c r="H470" s="119"/>
      <c r="I470" s="119"/>
      <c r="J470" s="119"/>
      <c r="K470" s="119"/>
      <c r="L470" s="119"/>
      <c r="M470" s="119"/>
      <c r="N470" s="119">
        <f t="shared" si="16"/>
        <v>9.4085655497219989</v>
      </c>
      <c r="O470" s="4">
        <f t="shared" si="15"/>
        <v>0.28147911897702843</v>
      </c>
    </row>
    <row r="471" spans="2:15">
      <c r="B471" s="44">
        <v>115</v>
      </c>
      <c r="C471" s="94">
        <f>RGE!V56</f>
        <v>30.6</v>
      </c>
      <c r="D471" s="119">
        <f>RGE!M56</f>
        <v>22.721450486034168</v>
      </c>
      <c r="G471" s="119"/>
      <c r="H471" s="119"/>
      <c r="I471" s="119"/>
      <c r="J471" s="119"/>
      <c r="K471" s="119"/>
      <c r="L471" s="119"/>
      <c r="M471" s="119"/>
      <c r="N471" s="119">
        <f t="shared" si="16"/>
        <v>14.561132429776942</v>
      </c>
      <c r="O471" s="4">
        <f t="shared" si="15"/>
        <v>0.43563014000179406</v>
      </c>
    </row>
    <row r="472" spans="2:15">
      <c r="B472" s="44">
        <v>216</v>
      </c>
      <c r="C472" s="94">
        <f>RGE!V57</f>
        <v>54</v>
      </c>
      <c r="D472" s="119">
        <f>RGE!M57</f>
        <v>24.940059569099141</v>
      </c>
      <c r="G472" s="119"/>
      <c r="H472" s="119"/>
      <c r="I472" s="119"/>
      <c r="J472" s="119"/>
      <c r="K472" s="119"/>
      <c r="L472" s="119"/>
      <c r="M472" s="119"/>
      <c r="N472" s="119">
        <f t="shared" si="16"/>
        <v>15.982936935095461</v>
      </c>
      <c r="O472" s="4">
        <f t="shared" si="15"/>
        <v>0.47816672832650969</v>
      </c>
    </row>
    <row r="473" spans="2:15">
      <c r="B473" s="44">
        <v>104</v>
      </c>
      <c r="C473" s="94">
        <f>RGE!V58</f>
        <v>16.2</v>
      </c>
      <c r="D473" s="119">
        <f>RGE!M58</f>
        <v>13.732727193945239</v>
      </c>
      <c r="G473" s="119"/>
      <c r="H473" s="119"/>
      <c r="I473" s="119"/>
      <c r="J473" s="119"/>
      <c r="K473" s="119"/>
      <c r="L473" s="119"/>
      <c r="M473" s="119"/>
      <c r="N473" s="119">
        <f t="shared" si="16"/>
        <v>8.8006731531485833</v>
      </c>
      <c r="O473" s="4">
        <f t="shared" si="15"/>
        <v>0.26329260421916767</v>
      </c>
    </row>
    <row r="474" spans="2:15">
      <c r="B474" s="44" t="s">
        <v>554</v>
      </c>
      <c r="C474" s="94">
        <f>RGE!V59</f>
        <v>6.3</v>
      </c>
      <c r="D474" s="119">
        <f>RGE!M59</f>
        <v>6.8748504503297072</v>
      </c>
      <c r="G474" s="119"/>
      <c r="H474" s="119"/>
      <c r="I474" s="119"/>
      <c r="J474" s="119"/>
      <c r="K474" s="119"/>
      <c r="L474" s="119"/>
      <c r="M474" s="119"/>
      <c r="N474" s="119">
        <f t="shared" si="16"/>
        <v>4.4057754104955942</v>
      </c>
      <c r="O474" s="4">
        <f t="shared" si="15"/>
        <v>0.13180901747489007</v>
      </c>
    </row>
    <row r="475" spans="2:15">
      <c r="B475" s="44" t="s">
        <v>555</v>
      </c>
      <c r="C475" s="94">
        <f>RGE!V60</f>
        <v>12.6</v>
      </c>
      <c r="D475" s="119">
        <f>RGE!M60</f>
        <v>9.1664672671062775</v>
      </c>
      <c r="G475" s="119"/>
      <c r="H475" s="119"/>
      <c r="I475" s="119"/>
      <c r="J475" s="119"/>
      <c r="K475" s="119"/>
      <c r="L475" s="119"/>
      <c r="M475" s="119"/>
      <c r="N475" s="119">
        <f t="shared" si="16"/>
        <v>5.8743672139941268</v>
      </c>
      <c r="O475" s="4">
        <f t="shared" si="15"/>
        <v>0.1757453566331868</v>
      </c>
    </row>
    <row r="476" spans="2:15">
      <c r="B476" s="44">
        <v>762</v>
      </c>
      <c r="C476" s="94">
        <f>RGE!V61</f>
        <v>19.8</v>
      </c>
      <c r="D476" s="119">
        <f>RGE!M61</f>
        <v>20.614037227498308</v>
      </c>
      <c r="G476" s="119"/>
      <c r="H476" s="119"/>
      <c r="I476" s="119"/>
      <c r="J476" s="119"/>
      <c r="K476" s="119"/>
      <c r="L476" s="119"/>
      <c r="M476" s="119"/>
      <c r="N476" s="119">
        <f t="shared" si="16"/>
        <v>13.210588213391201</v>
      </c>
      <c r="O476" s="4">
        <f t="shared" si="15"/>
        <v>0.3952254689434081</v>
      </c>
    </row>
    <row r="477" spans="2:15">
      <c r="B477" s="44">
        <v>567</v>
      </c>
      <c r="C477" s="94">
        <f>RGE!V62</f>
        <v>19.8</v>
      </c>
      <c r="D477" s="119">
        <f>RGE!M62</f>
        <v>20.178293927418515</v>
      </c>
      <c r="G477" s="119"/>
      <c r="H477" s="119"/>
      <c r="I477" s="119"/>
      <c r="J477" s="119"/>
      <c r="K477" s="119"/>
      <c r="L477" s="119"/>
      <c r="M477" s="119"/>
      <c r="N477" s="119">
        <f t="shared" si="16"/>
        <v>12.931340376561867</v>
      </c>
      <c r="O477" s="4">
        <f t="shared" si="15"/>
        <v>0.38687112048597672</v>
      </c>
    </row>
    <row r="478" spans="2:15">
      <c r="B478" s="44">
        <v>769</v>
      </c>
      <c r="C478" s="94">
        <f>RGE!V63</f>
        <v>118.8</v>
      </c>
      <c r="D478" s="119">
        <f>RGE!M63</f>
        <v>25.207497743194917</v>
      </c>
      <c r="G478" s="119"/>
      <c r="H478" s="119"/>
      <c r="I478" s="119"/>
      <c r="J478" s="119"/>
      <c r="K478" s="119"/>
      <c r="L478" s="119"/>
      <c r="M478" s="119"/>
      <c r="N478" s="119">
        <f t="shared" si="16"/>
        <v>16.154325758717437</v>
      </c>
      <c r="O478" s="4">
        <f t="shared" si="15"/>
        <v>0.48329422356695567</v>
      </c>
    </row>
    <row r="479" spans="2:15">
      <c r="B479" s="44">
        <v>766</v>
      </c>
      <c r="C479" s="94">
        <f>RGE!V64</f>
        <v>18</v>
      </c>
      <c r="D479" s="119">
        <f>RGE!M64</f>
        <v>25.28208192084729</v>
      </c>
      <c r="G479" s="119"/>
      <c r="H479" s="119"/>
      <c r="I479" s="119"/>
      <c r="J479" s="119"/>
      <c r="K479" s="119"/>
      <c r="L479" s="119"/>
      <c r="M479" s="119"/>
      <c r="N479" s="119">
        <f t="shared" si="16"/>
        <v>16.202123327302669</v>
      </c>
      <c r="O479" s="4">
        <f t="shared" si="15"/>
        <v>0.48472419898919339</v>
      </c>
    </row>
    <row r="480" spans="2:15">
      <c r="B480" s="44">
        <v>246</v>
      </c>
      <c r="C480" s="94">
        <f>RGE!V65</f>
        <v>12.6</v>
      </c>
      <c r="D480" s="119">
        <f>RGE!M65</f>
        <v>15.36252779059889</v>
      </c>
      <c r="G480" s="119"/>
      <c r="H480" s="119"/>
      <c r="I480" s="119"/>
      <c r="J480" s="119"/>
      <c r="K480" s="119"/>
      <c r="L480" s="119"/>
      <c r="M480" s="119"/>
      <c r="N480" s="119">
        <f t="shared" si="16"/>
        <v>9.8451373847164607</v>
      </c>
      <c r="O480" s="4">
        <f t="shared" si="15"/>
        <v>0.29454018071221044</v>
      </c>
    </row>
    <row r="481" spans="1:15">
      <c r="A481" s="119"/>
      <c r="B481" s="44">
        <v>205</v>
      </c>
      <c r="C481" s="94">
        <f>RGE!V66</f>
        <v>15.434999999999999</v>
      </c>
      <c r="D481" s="119">
        <f>RGE!M66</f>
        <v>18.324599273762111</v>
      </c>
      <c r="G481" s="119"/>
      <c r="H481" s="119"/>
      <c r="I481" s="119"/>
      <c r="J481" s="119"/>
      <c r="K481" s="119"/>
      <c r="L481" s="119"/>
      <c r="M481" s="119"/>
      <c r="N481" s="119">
        <f t="shared" si="16"/>
        <v>11.743392742987544</v>
      </c>
      <c r="O481" s="4">
        <f t="shared" si="15"/>
        <v>0.35133090433695641</v>
      </c>
    </row>
    <row r="482" spans="1:15">
      <c r="A482" s="119"/>
      <c r="B482" s="119"/>
      <c r="C482" s="119"/>
      <c r="D482" s="119"/>
      <c r="G482" s="119"/>
      <c r="H482" s="119"/>
      <c r="I482" s="119"/>
      <c r="J482" s="119"/>
      <c r="K482" s="119"/>
      <c r="L482" s="119"/>
      <c r="M482" s="119"/>
      <c r="N482" s="119"/>
      <c r="O482" s="4"/>
    </row>
    <row r="483" spans="1:15">
      <c r="A483" s="119"/>
      <c r="B483" s="119"/>
      <c r="C483" s="119"/>
      <c r="D483" s="119"/>
      <c r="G483" s="119"/>
      <c r="H483" s="119"/>
      <c r="I483" s="119"/>
      <c r="J483" s="119"/>
      <c r="K483" s="119"/>
      <c r="L483" s="119"/>
      <c r="M483" s="119"/>
      <c r="N483" s="119"/>
      <c r="O483" s="4"/>
    </row>
    <row r="484" spans="1:15">
      <c r="A484" s="119"/>
      <c r="B484" s="119"/>
      <c r="C484" s="119"/>
      <c r="D484" s="119"/>
      <c r="G484" s="119"/>
      <c r="H484" s="119"/>
      <c r="I484" s="119"/>
      <c r="J484" s="119"/>
      <c r="K484" s="119"/>
      <c r="L484" s="119"/>
      <c r="M484" s="119"/>
      <c r="N484" s="119"/>
      <c r="O484" s="4"/>
    </row>
    <row r="485" spans="1:15">
      <c r="A485" s="98" t="s">
        <v>600</v>
      </c>
      <c r="B485" s="98"/>
      <c r="C485" s="98"/>
      <c r="D485" s="119"/>
      <c r="G485" s="119"/>
      <c r="H485" s="119"/>
      <c r="I485" s="119"/>
      <c r="J485" s="119"/>
      <c r="K485" s="119"/>
      <c r="L485" s="119"/>
      <c r="M485" s="119"/>
      <c r="N485" s="119"/>
      <c r="O485" s="4"/>
    </row>
    <row r="486" spans="1:15">
      <c r="A486" s="98">
        <v>130</v>
      </c>
      <c r="B486" s="98" t="s">
        <v>601</v>
      </c>
      <c r="C486" s="98"/>
      <c r="D486" s="119"/>
      <c r="G486" s="119"/>
      <c r="H486" s="119"/>
      <c r="I486" s="119"/>
      <c r="J486" s="119"/>
      <c r="K486" s="119"/>
      <c r="L486" s="119"/>
      <c r="M486" s="119"/>
      <c r="N486" s="119"/>
      <c r="O486" s="4"/>
    </row>
    <row r="487" spans="1:15">
      <c r="A487" s="98">
        <v>16.459000000000003</v>
      </c>
      <c r="B487" s="98" t="s">
        <v>602</v>
      </c>
      <c r="C487" s="98"/>
      <c r="D487" s="119"/>
      <c r="G487" s="119"/>
      <c r="H487" s="119"/>
      <c r="I487" s="119"/>
      <c r="J487" s="119"/>
      <c r="K487" s="119"/>
      <c r="L487" s="119"/>
      <c r="M487" s="119"/>
      <c r="N487" s="119"/>
      <c r="O487" s="119"/>
    </row>
    <row r="488" spans="1:15">
      <c r="A488" s="98">
        <v>13</v>
      </c>
      <c r="B488" s="98" t="s">
        <v>603</v>
      </c>
      <c r="C488" s="98"/>
      <c r="D488" s="119"/>
      <c r="G488" s="119"/>
      <c r="H488" s="119"/>
      <c r="I488" s="119"/>
      <c r="J488" s="119"/>
      <c r="K488" s="119"/>
      <c r="L488" s="119"/>
      <c r="M488" s="119"/>
      <c r="N488" s="119"/>
      <c r="O488" s="119"/>
    </row>
    <row r="489" spans="1:15">
      <c r="A489" s="98">
        <v>166.5</v>
      </c>
      <c r="B489" s="98" t="s">
        <v>604</v>
      </c>
      <c r="C489" s="98"/>
      <c r="D489" s="119"/>
      <c r="G489" s="119"/>
      <c r="H489" s="119"/>
      <c r="I489" s="119"/>
      <c r="J489" s="119"/>
      <c r="K489" s="119"/>
      <c r="L489" s="119"/>
      <c r="M489" s="119"/>
      <c r="N489" s="119"/>
      <c r="O489" s="119"/>
    </row>
    <row r="490" spans="1:15">
      <c r="A490" s="98">
        <f>SUM(A486:A489)</f>
        <v>325.959</v>
      </c>
      <c r="B490" s="98" t="s">
        <v>605</v>
      </c>
      <c r="C490" s="98"/>
      <c r="D490" s="119"/>
      <c r="G490" s="119"/>
      <c r="H490" s="119"/>
      <c r="I490" s="119"/>
      <c r="J490" s="119"/>
      <c r="K490" s="119"/>
      <c r="L490" s="119"/>
      <c r="M490" s="119"/>
      <c r="N490" s="119"/>
      <c r="O490" s="119"/>
    </row>
    <row r="491" spans="1:15">
      <c r="A491" s="98">
        <f>136-73</f>
        <v>63</v>
      </c>
      <c r="B491" s="98" t="s">
        <v>606</v>
      </c>
      <c r="C491" s="98"/>
      <c r="D491" s="119"/>
      <c r="G491" s="119"/>
      <c r="H491" s="119"/>
      <c r="I491" s="119"/>
      <c r="J491" s="119"/>
      <c r="K491" s="119"/>
      <c r="L491" s="119"/>
      <c r="M491" s="119"/>
      <c r="N491" s="119"/>
      <c r="O491" s="119"/>
    </row>
    <row r="492" spans="1:15">
      <c r="A492" s="98">
        <f>A490/A491</f>
        <v>5.1739523809523806</v>
      </c>
      <c r="B492" s="98" t="s">
        <v>607</v>
      </c>
      <c r="C492" s="98"/>
      <c r="D492" s="119"/>
      <c r="G492" s="119"/>
      <c r="H492" s="119"/>
      <c r="I492" s="119"/>
      <c r="J492" s="119"/>
      <c r="K492" s="119"/>
      <c r="L492" s="119"/>
      <c r="M492" s="119"/>
      <c r="N492" s="119"/>
      <c r="O492" s="119"/>
    </row>
    <row r="493" spans="1:15">
      <c r="A493" s="80">
        <v>2.73</v>
      </c>
      <c r="B493" s="98" t="s">
        <v>608</v>
      </c>
      <c r="C493" s="119"/>
      <c r="D493" s="119"/>
      <c r="G493" s="119"/>
      <c r="H493" s="119"/>
      <c r="I493" s="119"/>
      <c r="J493" s="119"/>
      <c r="K493" s="119"/>
      <c r="L493" s="119"/>
      <c r="M493" s="119"/>
      <c r="N493" s="119"/>
      <c r="O493" s="119"/>
    </row>
    <row r="498" spans="1:17">
      <c r="A498" s="98" t="s">
        <v>609</v>
      </c>
      <c r="B498" s="119"/>
      <c r="C498" s="119"/>
      <c r="D498" s="119"/>
      <c r="G498" s="119"/>
      <c r="H498" s="119"/>
      <c r="I498" s="98" t="str">
        <f>A498</f>
        <v>N Grid transmission projects</v>
      </c>
      <c r="J498" s="119"/>
      <c r="K498" s="119"/>
      <c r="L498" s="119"/>
      <c r="M498" s="119"/>
      <c r="N498" s="119"/>
      <c r="O498" s="119"/>
      <c r="P498" s="119"/>
      <c r="Q498" s="119"/>
    </row>
    <row r="499" spans="1:17">
      <c r="A499" s="78" t="str">
        <f>B289</f>
        <v>Transm Net</v>
      </c>
      <c r="B499" s="119"/>
      <c r="C499" s="119"/>
      <c r="D499" s="119"/>
      <c r="G499" s="119"/>
      <c r="H499" s="119"/>
      <c r="I499" s="98"/>
      <c r="J499" s="119"/>
      <c r="K499" s="119"/>
      <c r="L499" s="119"/>
      <c r="M499" s="119"/>
      <c r="N499" s="119"/>
      <c r="O499" s="119"/>
      <c r="P499" s="119"/>
      <c r="Q499" s="119"/>
    </row>
    <row r="500" spans="1:17">
      <c r="A500" s="76">
        <f>D289</f>
        <v>65.817916755074293</v>
      </c>
      <c r="B500" s="119" t="s">
        <v>610</v>
      </c>
      <c r="C500" s="119"/>
      <c r="D500" s="119"/>
      <c r="G500" s="119"/>
      <c r="H500" s="119"/>
      <c r="I500" s="98" t="s">
        <v>611</v>
      </c>
      <c r="J500" s="119"/>
      <c r="K500" s="119"/>
      <c r="L500" s="98">
        <v>103.491</v>
      </c>
      <c r="M500" s="98" t="s">
        <v>612</v>
      </c>
      <c r="N500" s="98"/>
      <c r="O500" s="98"/>
      <c r="P500" s="98"/>
      <c r="Q500" s="98"/>
    </row>
    <row r="501" spans="1:17">
      <c r="A501" s="78">
        <f>C289</f>
        <v>4053</v>
      </c>
      <c r="B501" s="98" t="s">
        <v>605</v>
      </c>
      <c r="C501" s="119"/>
      <c r="D501" s="119"/>
      <c r="G501" s="119"/>
      <c r="H501" s="119"/>
      <c r="I501" s="98" t="s">
        <v>613</v>
      </c>
      <c r="J501" s="119"/>
      <c r="K501" s="119"/>
      <c r="L501" s="98">
        <v>56.776000000000003</v>
      </c>
      <c r="M501" s="98" t="s">
        <v>612</v>
      </c>
      <c r="N501" s="98"/>
      <c r="O501" s="98"/>
      <c r="P501" s="98"/>
      <c r="Q501" s="98"/>
    </row>
    <row r="502" spans="1:17">
      <c r="A502" s="119">
        <v>107</v>
      </c>
      <c r="B502" s="98" t="s">
        <v>606</v>
      </c>
      <c r="C502" s="119"/>
      <c r="D502" s="119"/>
      <c r="G502" s="119"/>
      <c r="H502" s="119"/>
      <c r="I502" s="98" t="s">
        <v>614</v>
      </c>
      <c r="J502" s="119"/>
      <c r="K502" s="119"/>
      <c r="L502" s="98">
        <v>72.847999999999999</v>
      </c>
      <c r="M502" s="98" t="s">
        <v>612</v>
      </c>
      <c r="N502" s="98"/>
      <c r="O502" s="98"/>
      <c r="P502" s="98"/>
      <c r="Q502" s="98"/>
    </row>
    <row r="503" spans="1:17">
      <c r="A503" s="228">
        <f>A501/A502</f>
        <v>37.878504672897193</v>
      </c>
      <c r="B503" s="98" t="s">
        <v>615</v>
      </c>
      <c r="C503" s="119"/>
      <c r="D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</row>
    <row r="504" spans="1:17">
      <c r="A504" s="4">
        <f>A500/A503</f>
        <v>1.7376059937806438</v>
      </c>
      <c r="B504" s="98" t="s">
        <v>616</v>
      </c>
      <c r="C504" s="119"/>
      <c r="D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</row>
    <row r="508" spans="1:17">
      <c r="A508" s="119">
        <f>SUM(L501:L502)</f>
        <v>129.624</v>
      </c>
      <c r="B508" s="98" t="s">
        <v>617</v>
      </c>
      <c r="C508" s="119"/>
      <c r="D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</row>
    <row r="509" spans="1:17">
      <c r="A509" s="119">
        <f>COUNTIF((B138:V288),"*")</f>
        <v>151</v>
      </c>
      <c r="B509" s="119" t="s">
        <v>618</v>
      </c>
      <c r="C509" s="119"/>
      <c r="D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</row>
  </sheetData>
  <conditionalFormatting sqref="B138:C147 C139:C288">
    <cfRule type="duplicateValues" dxfId="53" priority="30"/>
  </conditionalFormatting>
  <conditionalFormatting sqref="B138:C288 B289">
    <cfRule type="duplicateValues" dxfId="52" priority="43"/>
  </conditionalFormatting>
  <conditionalFormatting sqref="B148:C151">
    <cfRule type="duplicateValues" dxfId="51" priority="29"/>
  </conditionalFormatting>
  <conditionalFormatting sqref="B152:C152">
    <cfRule type="duplicateValues" dxfId="50" priority="28"/>
  </conditionalFormatting>
  <conditionalFormatting sqref="B153:C155">
    <cfRule type="duplicateValues" dxfId="49" priority="27"/>
  </conditionalFormatting>
  <conditionalFormatting sqref="B156:C156">
    <cfRule type="duplicateValues" dxfId="48" priority="25"/>
  </conditionalFormatting>
  <conditionalFormatting sqref="B157:C176">
    <cfRule type="duplicateValues" dxfId="47" priority="32"/>
  </conditionalFormatting>
  <conditionalFormatting sqref="B177:C189">
    <cfRule type="duplicateValues" dxfId="46" priority="22"/>
  </conditionalFormatting>
  <conditionalFormatting sqref="B190:C191">
    <cfRule type="duplicateValues" dxfId="45" priority="21"/>
  </conditionalFormatting>
  <conditionalFormatting sqref="B192:C196">
    <cfRule type="duplicateValues" dxfId="44" priority="20"/>
  </conditionalFormatting>
  <conditionalFormatting sqref="B197:C199">
    <cfRule type="duplicateValues" dxfId="43" priority="40"/>
  </conditionalFormatting>
  <conditionalFormatting sqref="B200:C200">
    <cfRule type="duplicateValues" dxfId="42" priority="18"/>
  </conditionalFormatting>
  <conditionalFormatting sqref="B201:C204">
    <cfRule type="duplicateValues" dxfId="41" priority="17"/>
  </conditionalFormatting>
  <conditionalFormatting sqref="B205:C207">
    <cfRule type="duplicateValues" dxfId="40" priority="16"/>
  </conditionalFormatting>
  <conditionalFormatting sqref="B208:C212">
    <cfRule type="duplicateValues" dxfId="39" priority="15"/>
  </conditionalFormatting>
  <conditionalFormatting sqref="B213:C214">
    <cfRule type="duplicateValues" dxfId="38" priority="14"/>
  </conditionalFormatting>
  <conditionalFormatting sqref="B215:C217">
    <cfRule type="duplicateValues" dxfId="37" priority="13"/>
  </conditionalFormatting>
  <conditionalFormatting sqref="B218:C232">
    <cfRule type="duplicateValues" dxfId="36" priority="12"/>
  </conditionalFormatting>
  <conditionalFormatting sqref="B233:C242">
    <cfRule type="duplicateValues" dxfId="35" priority="11"/>
  </conditionalFormatting>
  <conditionalFormatting sqref="B243:C243">
    <cfRule type="duplicateValues" dxfId="34" priority="10"/>
  </conditionalFormatting>
  <conditionalFormatting sqref="B244:C247">
    <cfRule type="duplicateValues" dxfId="33" priority="9"/>
  </conditionalFormatting>
  <conditionalFormatting sqref="B248:C253">
    <cfRule type="duplicateValues" dxfId="32" priority="8"/>
  </conditionalFormatting>
  <conditionalFormatting sqref="B254:C262">
    <cfRule type="duplicateValues" dxfId="31" priority="41"/>
  </conditionalFormatting>
  <conditionalFormatting sqref="B263:C276">
    <cfRule type="duplicateValues" dxfId="30" priority="6"/>
  </conditionalFormatting>
  <conditionalFormatting sqref="B277:C277">
    <cfRule type="duplicateValues" dxfId="29" priority="5"/>
  </conditionalFormatting>
  <conditionalFormatting sqref="B278:C288 B289">
    <cfRule type="duplicateValues" dxfId="28" priority="31"/>
  </conditionalFormatting>
  <conditionalFormatting sqref="B436:C481">
    <cfRule type="duplicateValues" dxfId="27" priority="1"/>
  </conditionalFormatting>
  <pageMargins left="0.7" right="0.7" top="0.75" bottom="0.75" header="0.3" footer="0.3"/>
  <pageSetup scale="35" fitToHeight="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F03D6-D6EC-48C0-BF06-499908C1C765}">
  <sheetPr>
    <pageSetUpPr fitToPage="1"/>
  </sheetPr>
  <dimension ref="A1:M480"/>
  <sheetViews>
    <sheetView zoomScale="80" zoomScaleNormal="80" workbookViewId="0">
      <selection activeCell="K118" sqref="K118"/>
    </sheetView>
  </sheetViews>
  <sheetFormatPr defaultRowHeight="15"/>
  <cols>
    <col min="4" max="4" width="8.7109375" style="9"/>
    <col min="5" max="5" width="8.7109375" style="12"/>
  </cols>
  <sheetData>
    <row r="1" spans="1:13">
      <c r="A1" s="119" t="s">
        <v>561</v>
      </c>
      <c r="B1" s="119" t="s">
        <v>8</v>
      </c>
      <c r="C1" s="119"/>
      <c r="F1" s="119"/>
      <c r="G1" s="119"/>
      <c r="H1" s="119"/>
      <c r="I1" s="119"/>
      <c r="J1" s="119"/>
      <c r="K1" s="119"/>
      <c r="L1" s="119"/>
      <c r="M1" s="119"/>
    </row>
    <row r="2" spans="1:13">
      <c r="A2" s="119" t="s">
        <v>572</v>
      </c>
      <c r="B2" s="119"/>
      <c r="C2" s="119"/>
      <c r="D2" s="9" t="s">
        <v>619</v>
      </c>
      <c r="E2" s="12" t="s">
        <v>620</v>
      </c>
      <c r="F2" s="119" t="s">
        <v>621</v>
      </c>
      <c r="G2" s="119"/>
      <c r="H2" s="119" t="s">
        <v>622</v>
      </c>
      <c r="I2" s="119" t="s">
        <v>623</v>
      </c>
      <c r="J2" s="119" t="s">
        <v>624</v>
      </c>
      <c r="K2" s="119" t="s">
        <v>625</v>
      </c>
      <c r="L2" s="119"/>
      <c r="M2" s="119"/>
    </row>
    <row r="3" spans="1:13">
      <c r="A3" s="119"/>
      <c r="B3" s="5" t="s">
        <v>45</v>
      </c>
      <c r="C3" s="75">
        <f>'Aggregated Table'!D3</f>
        <v>0</v>
      </c>
      <c r="D3" s="9">
        <f>SUMPRODUCT(C3:C71,'Aggregated Table'!C3:C71)/SUM('Aggregated Table'!C3:C71)</f>
        <v>252.53717153770606</v>
      </c>
      <c r="E3" s="12">
        <v>169.86</v>
      </c>
      <c r="F3" s="119" t="str">
        <f>IF(E3&lt;C3,"TRUE","FALSE")</f>
        <v>FALSE</v>
      </c>
      <c r="G3" s="119">
        <f>IF(F3="FALSE",0,E$4-D$3)</f>
        <v>0</v>
      </c>
      <c r="H3" s="119">
        <f>IF(F3="False",C3,C3-(E3-D3))</f>
        <v>0</v>
      </c>
      <c r="I3" s="9">
        <f>SUMPRODUCT(H3:H71,'Aggregated Table'!C3:C71)/SUM('Aggregated Table'!C3:C71)</f>
        <v>325.63861924734584</v>
      </c>
      <c r="J3" s="119">
        <f>E3-I3</f>
        <v>-155.77861924734583</v>
      </c>
      <c r="K3" s="119">
        <f>L3-M3</f>
        <v>11</v>
      </c>
      <c r="L3" s="119">
        <f>COUNT(G3:G71)</f>
        <v>69</v>
      </c>
      <c r="M3" s="119">
        <f>COUNTIF(G3:G71,0)</f>
        <v>58</v>
      </c>
    </row>
    <row r="4" spans="1:13">
      <c r="A4" s="119"/>
      <c r="B4" s="5" t="s">
        <v>15</v>
      </c>
      <c r="C4" s="75">
        <f>'Aggregated Table'!D4</f>
        <v>204.35575005146114</v>
      </c>
      <c r="E4" s="12">
        <v>169.86</v>
      </c>
      <c r="F4" s="119" t="str">
        <f t="shared" ref="F4:F67" si="0">IF(E4&lt;C4,"TRUE","FALSE")</f>
        <v>TRUE</v>
      </c>
      <c r="G4" s="119">
        <f t="shared" ref="G4:G67" si="1">IF(F4="FALSE",0,E$4-D$3)</f>
        <v>-82.677171537706045</v>
      </c>
      <c r="H4" s="119">
        <f>IF(F4="False",C4,C4-(G4))</f>
        <v>287.03292158916719</v>
      </c>
      <c r="I4" s="119"/>
      <c r="J4" s="119"/>
      <c r="K4" s="119"/>
      <c r="L4" s="119"/>
      <c r="M4" s="119"/>
    </row>
    <row r="5" spans="1:13">
      <c r="A5" s="119"/>
      <c r="B5" s="5" t="s">
        <v>16</v>
      </c>
      <c r="C5" s="75">
        <f>'Aggregated Table'!D5</f>
        <v>66.024933905551279</v>
      </c>
      <c r="E5" s="12">
        <v>169.86</v>
      </c>
      <c r="F5" s="119" t="str">
        <f t="shared" si="0"/>
        <v>FALSE</v>
      </c>
      <c r="G5" s="119">
        <f t="shared" si="1"/>
        <v>0</v>
      </c>
      <c r="H5" s="119">
        <f>IF(F5="False",C5,C5-(G5))</f>
        <v>66.024933905551279</v>
      </c>
      <c r="I5" s="119"/>
      <c r="J5" s="119"/>
      <c r="K5" s="119"/>
      <c r="L5" s="119"/>
      <c r="M5" s="119"/>
    </row>
    <row r="6" spans="1:13">
      <c r="A6" s="119"/>
      <c r="B6" s="5" t="s">
        <v>17</v>
      </c>
      <c r="C6" s="75">
        <f>'Aggregated Table'!D6</f>
        <v>57.22074249119099</v>
      </c>
      <c r="E6" s="12">
        <v>169.86</v>
      </c>
      <c r="F6" s="119" t="str">
        <f t="shared" si="0"/>
        <v>FALSE</v>
      </c>
      <c r="G6" s="119">
        <f t="shared" si="1"/>
        <v>0</v>
      </c>
      <c r="H6" s="119">
        <f t="shared" ref="H6:H68" si="2">IF(F6="False",C6,C6-(G6))</f>
        <v>57.22074249119099</v>
      </c>
      <c r="I6" s="119"/>
      <c r="J6" s="119"/>
      <c r="K6" s="119"/>
      <c r="L6" s="119"/>
      <c r="M6" s="119"/>
    </row>
    <row r="7" spans="1:13">
      <c r="A7" s="119"/>
      <c r="B7" s="5" t="s">
        <v>18</v>
      </c>
      <c r="C7" s="75">
        <f>'Aggregated Table'!D7</f>
        <v>45.918807829107799</v>
      </c>
      <c r="E7" s="12">
        <v>169.86</v>
      </c>
      <c r="F7" s="119" t="str">
        <f t="shared" si="0"/>
        <v>FALSE</v>
      </c>
      <c r="G7" s="119">
        <f t="shared" si="1"/>
        <v>0</v>
      </c>
      <c r="H7" s="119">
        <f t="shared" si="2"/>
        <v>45.918807829107799</v>
      </c>
      <c r="I7" s="119"/>
      <c r="J7" s="119"/>
      <c r="K7" s="119"/>
      <c r="L7" s="119"/>
      <c r="M7" s="119"/>
    </row>
    <row r="8" spans="1:13">
      <c r="A8" s="119"/>
      <c r="B8" s="5" t="s">
        <v>19</v>
      </c>
      <c r="C8" s="75">
        <f>'Aggregated Table'!D8</f>
        <v>103.21450476191932</v>
      </c>
      <c r="E8" s="12">
        <v>169.86</v>
      </c>
      <c r="F8" s="119" t="str">
        <f t="shared" si="0"/>
        <v>FALSE</v>
      </c>
      <c r="G8" s="119">
        <f t="shared" si="1"/>
        <v>0</v>
      </c>
      <c r="H8" s="119">
        <f t="shared" si="2"/>
        <v>103.21450476191932</v>
      </c>
      <c r="I8" s="119"/>
      <c r="J8" s="119"/>
      <c r="K8" s="119"/>
      <c r="L8" s="119"/>
      <c r="M8" s="119"/>
    </row>
    <row r="9" spans="1:13">
      <c r="A9" s="119"/>
      <c r="B9" s="5" t="s">
        <v>20</v>
      </c>
      <c r="C9" s="75">
        <f>'Aggregated Table'!D9</f>
        <v>38.505684486784119</v>
      </c>
      <c r="E9" s="12">
        <v>169.86</v>
      </c>
      <c r="F9" s="119" t="str">
        <f t="shared" si="0"/>
        <v>FALSE</v>
      </c>
      <c r="G9" s="119">
        <f t="shared" si="1"/>
        <v>0</v>
      </c>
      <c r="H9" s="119">
        <f t="shared" si="2"/>
        <v>38.505684486784119</v>
      </c>
      <c r="I9" s="119"/>
      <c r="J9" s="119"/>
      <c r="K9" s="119"/>
      <c r="L9" s="119"/>
      <c r="M9" s="119"/>
    </row>
    <row r="10" spans="1:13">
      <c r="A10" s="119"/>
      <c r="B10" s="5" t="s">
        <v>21</v>
      </c>
      <c r="C10" s="75">
        <f>'Aggregated Table'!D10</f>
        <v>137.05325353607603</v>
      </c>
      <c r="E10" s="12">
        <v>169.86</v>
      </c>
      <c r="F10" s="119" t="str">
        <f t="shared" si="0"/>
        <v>FALSE</v>
      </c>
      <c r="G10" s="119">
        <f t="shared" si="1"/>
        <v>0</v>
      </c>
      <c r="H10" s="119">
        <f t="shared" si="2"/>
        <v>137.05325353607603</v>
      </c>
      <c r="I10" s="119"/>
      <c r="J10" s="119"/>
      <c r="K10" s="119"/>
      <c r="L10" s="119"/>
      <c r="M10" s="119"/>
    </row>
    <row r="11" spans="1:13">
      <c r="A11" s="119"/>
      <c r="B11" s="5" t="s">
        <v>54</v>
      </c>
      <c r="C11" s="75">
        <f>'Aggregated Table'!D11</f>
        <v>0</v>
      </c>
      <c r="E11" s="12">
        <v>169.86</v>
      </c>
      <c r="F11" s="119" t="str">
        <f t="shared" si="0"/>
        <v>FALSE</v>
      </c>
      <c r="G11" s="119">
        <f t="shared" si="1"/>
        <v>0</v>
      </c>
      <c r="H11" s="119">
        <f t="shared" si="2"/>
        <v>0</v>
      </c>
      <c r="I11" s="119"/>
      <c r="J11" s="119"/>
      <c r="K11" s="119"/>
      <c r="L11" s="119"/>
      <c r="M11" s="119"/>
    </row>
    <row r="12" spans="1:13">
      <c r="A12" s="119"/>
      <c r="B12" s="5" t="s">
        <v>22</v>
      </c>
      <c r="C12" s="75">
        <f>'Aggregated Table'!D12</f>
        <v>208.43670079928495</v>
      </c>
      <c r="E12" s="12">
        <v>169.86</v>
      </c>
      <c r="F12" s="119" t="str">
        <f t="shared" si="0"/>
        <v>TRUE</v>
      </c>
      <c r="G12" s="119">
        <f t="shared" si="1"/>
        <v>-82.677171537706045</v>
      </c>
      <c r="H12" s="119">
        <f t="shared" si="2"/>
        <v>291.11387233699099</v>
      </c>
      <c r="I12" s="119"/>
      <c r="J12" s="119"/>
      <c r="K12" s="119"/>
      <c r="L12" s="119"/>
      <c r="M12" s="119"/>
    </row>
    <row r="13" spans="1:13">
      <c r="A13" s="119"/>
      <c r="B13" s="5" t="s">
        <v>57</v>
      </c>
      <c r="C13" s="75">
        <f>'Aggregated Table'!D13</f>
        <v>0</v>
      </c>
      <c r="E13" s="12">
        <v>169.86</v>
      </c>
      <c r="F13" s="119" t="str">
        <f t="shared" si="0"/>
        <v>FALSE</v>
      </c>
      <c r="G13" s="119">
        <f t="shared" si="1"/>
        <v>0</v>
      </c>
      <c r="H13" s="119">
        <f t="shared" si="2"/>
        <v>0</v>
      </c>
      <c r="I13" s="119"/>
      <c r="J13" s="119"/>
      <c r="K13" s="119"/>
      <c r="L13" s="119"/>
      <c r="M13" s="119"/>
    </row>
    <row r="14" spans="1:13">
      <c r="A14" s="119"/>
      <c r="B14" s="5" t="s">
        <v>59</v>
      </c>
      <c r="C14" s="75">
        <f>'Aggregated Table'!D14</f>
        <v>0</v>
      </c>
      <c r="E14" s="12">
        <v>169.86</v>
      </c>
      <c r="F14" s="119" t="str">
        <f t="shared" si="0"/>
        <v>FALSE</v>
      </c>
      <c r="G14" s="119">
        <f t="shared" si="1"/>
        <v>0</v>
      </c>
      <c r="H14" s="119">
        <f t="shared" si="2"/>
        <v>0</v>
      </c>
      <c r="I14" s="119"/>
      <c r="J14" s="119"/>
      <c r="K14" s="119"/>
      <c r="L14" s="119"/>
      <c r="M14" s="119"/>
    </row>
    <row r="15" spans="1:13">
      <c r="A15" s="119"/>
      <c r="B15" s="5" t="s">
        <v>61</v>
      </c>
      <c r="C15" s="75">
        <f>'Aggregated Table'!D15</f>
        <v>0</v>
      </c>
      <c r="E15" s="12">
        <v>169.86</v>
      </c>
      <c r="F15" s="119" t="str">
        <f t="shared" si="0"/>
        <v>FALSE</v>
      </c>
      <c r="G15" s="119">
        <f t="shared" si="1"/>
        <v>0</v>
      </c>
      <c r="H15" s="119">
        <f t="shared" si="2"/>
        <v>0</v>
      </c>
      <c r="I15" s="119"/>
      <c r="J15" s="119"/>
      <c r="K15" s="119"/>
      <c r="L15" s="119"/>
      <c r="M15" s="119"/>
    </row>
    <row r="16" spans="1:13">
      <c r="A16" s="119"/>
      <c r="B16" s="5" t="s">
        <v>23</v>
      </c>
      <c r="C16" s="75">
        <f>'Aggregated Table'!D16</f>
        <v>97.887337482166032</v>
      </c>
      <c r="E16" s="12">
        <v>169.86</v>
      </c>
      <c r="F16" s="119" t="str">
        <f t="shared" si="0"/>
        <v>FALSE</v>
      </c>
      <c r="G16" s="119">
        <f t="shared" si="1"/>
        <v>0</v>
      </c>
      <c r="H16" s="119">
        <f t="shared" si="2"/>
        <v>97.887337482166032</v>
      </c>
      <c r="I16" s="119"/>
      <c r="J16" s="119"/>
      <c r="K16" s="119"/>
      <c r="L16" s="119"/>
      <c r="M16" s="119"/>
    </row>
    <row r="17" spans="2:8">
      <c r="B17" s="5" t="s">
        <v>24</v>
      </c>
      <c r="C17" s="75">
        <f>'Aggregated Table'!D17</f>
        <v>33.719617257045861</v>
      </c>
      <c r="E17" s="12">
        <v>169.86</v>
      </c>
      <c r="F17" s="119" t="str">
        <f t="shared" si="0"/>
        <v>FALSE</v>
      </c>
      <c r="G17" s="119">
        <f t="shared" si="1"/>
        <v>0</v>
      </c>
      <c r="H17" s="119">
        <f t="shared" si="2"/>
        <v>33.719617257045861</v>
      </c>
    </row>
    <row r="18" spans="2:8">
      <c r="B18" s="5" t="s">
        <v>25</v>
      </c>
      <c r="C18" s="75">
        <f>'Aggregated Table'!D18</f>
        <v>40.233115237517076</v>
      </c>
      <c r="E18" s="12">
        <v>169.86</v>
      </c>
      <c r="F18" s="119" t="str">
        <f t="shared" si="0"/>
        <v>FALSE</v>
      </c>
      <c r="G18" s="119">
        <f t="shared" si="1"/>
        <v>0</v>
      </c>
      <c r="H18" s="119">
        <f t="shared" si="2"/>
        <v>40.233115237517076</v>
      </c>
    </row>
    <row r="19" spans="2:8">
      <c r="B19" s="5" t="s">
        <v>27</v>
      </c>
      <c r="C19" s="75">
        <f>'Aggregated Table'!D19</f>
        <v>18.359767903321202</v>
      </c>
      <c r="E19" s="12">
        <v>169.86</v>
      </c>
      <c r="F19" s="119" t="str">
        <f t="shared" si="0"/>
        <v>FALSE</v>
      </c>
      <c r="G19" s="119">
        <f t="shared" si="1"/>
        <v>0</v>
      </c>
      <c r="H19" s="119">
        <f t="shared" si="2"/>
        <v>18.359767903321202</v>
      </c>
    </row>
    <row r="20" spans="2:8">
      <c r="B20" s="5" t="s">
        <v>67</v>
      </c>
      <c r="C20" s="75">
        <f>'Aggregated Table'!D20</f>
        <v>0</v>
      </c>
      <c r="E20" s="12">
        <v>169.86</v>
      </c>
      <c r="F20" s="119" t="str">
        <f t="shared" si="0"/>
        <v>FALSE</v>
      </c>
      <c r="G20" s="119">
        <f t="shared" si="1"/>
        <v>0</v>
      </c>
      <c r="H20" s="119">
        <f t="shared" si="2"/>
        <v>0</v>
      </c>
    </row>
    <row r="21" spans="2:8">
      <c r="B21" s="5" t="s">
        <v>69</v>
      </c>
      <c r="C21" s="75">
        <f>'Aggregated Table'!D21</f>
        <v>0</v>
      </c>
      <c r="E21" s="12">
        <v>169.86</v>
      </c>
      <c r="F21" s="119" t="str">
        <f t="shared" si="0"/>
        <v>FALSE</v>
      </c>
      <c r="G21" s="119">
        <f t="shared" si="1"/>
        <v>0</v>
      </c>
      <c r="H21" s="119">
        <f t="shared" si="2"/>
        <v>0</v>
      </c>
    </row>
    <row r="22" spans="2:8">
      <c r="B22" s="5" t="s">
        <v>28</v>
      </c>
      <c r="C22" s="75">
        <f>'Aggregated Table'!D22</f>
        <v>23.483628599520422</v>
      </c>
      <c r="E22" s="12">
        <v>169.86</v>
      </c>
      <c r="F22" s="119" t="str">
        <f t="shared" si="0"/>
        <v>FALSE</v>
      </c>
      <c r="G22" s="119">
        <f t="shared" si="1"/>
        <v>0</v>
      </c>
      <c r="H22" s="119">
        <f t="shared" si="2"/>
        <v>23.483628599520422</v>
      </c>
    </row>
    <row r="23" spans="2:8">
      <c r="B23" s="5" t="s">
        <v>29</v>
      </c>
      <c r="C23" s="75">
        <f>'Aggregated Table'!D23</f>
        <v>32.232160948657857</v>
      </c>
      <c r="E23" s="12">
        <v>169.86</v>
      </c>
      <c r="F23" s="119" t="str">
        <f t="shared" si="0"/>
        <v>FALSE</v>
      </c>
      <c r="G23" s="119">
        <f t="shared" si="1"/>
        <v>0</v>
      </c>
      <c r="H23" s="119">
        <f t="shared" si="2"/>
        <v>32.232160948657857</v>
      </c>
    </row>
    <row r="24" spans="2:8">
      <c r="B24" s="5" t="s">
        <v>30</v>
      </c>
      <c r="C24" s="75">
        <f>'Aggregated Table'!D24</f>
        <v>59.195794035960724</v>
      </c>
      <c r="E24" s="12">
        <v>169.86</v>
      </c>
      <c r="F24" s="119" t="str">
        <f t="shared" si="0"/>
        <v>FALSE</v>
      </c>
      <c r="G24" s="119">
        <f t="shared" si="1"/>
        <v>0</v>
      </c>
      <c r="H24" s="119">
        <f t="shared" si="2"/>
        <v>59.195794035960724</v>
      </c>
    </row>
    <row r="25" spans="2:8">
      <c r="B25" s="5" t="s">
        <v>70</v>
      </c>
      <c r="C25" s="75">
        <f>'Aggregated Table'!D25</f>
        <v>0</v>
      </c>
      <c r="E25" s="12">
        <v>169.86</v>
      </c>
      <c r="F25" s="119" t="str">
        <f t="shared" si="0"/>
        <v>FALSE</v>
      </c>
      <c r="G25" s="119">
        <f t="shared" si="1"/>
        <v>0</v>
      </c>
      <c r="H25" s="119">
        <f t="shared" si="2"/>
        <v>0</v>
      </c>
    </row>
    <row r="26" spans="2:8">
      <c r="B26" s="5" t="s">
        <v>31</v>
      </c>
      <c r="C26" s="75">
        <f>'Aggregated Table'!D26</f>
        <v>143.43945748196464</v>
      </c>
      <c r="E26" s="12">
        <v>169.86</v>
      </c>
      <c r="F26" s="119" t="str">
        <f t="shared" si="0"/>
        <v>FALSE</v>
      </c>
      <c r="G26" s="119">
        <f t="shared" si="1"/>
        <v>0</v>
      </c>
      <c r="H26" s="119">
        <f t="shared" si="2"/>
        <v>143.43945748196464</v>
      </c>
    </row>
    <row r="27" spans="2:8">
      <c r="B27" s="5" t="s">
        <v>32</v>
      </c>
      <c r="C27" s="75">
        <f>'Aggregated Table'!D27</f>
        <v>18.808303705133991</v>
      </c>
      <c r="E27" s="12">
        <v>169.86</v>
      </c>
      <c r="F27" s="119" t="str">
        <f t="shared" si="0"/>
        <v>FALSE</v>
      </c>
      <c r="G27" s="119">
        <f t="shared" si="1"/>
        <v>0</v>
      </c>
      <c r="H27" s="119">
        <f t="shared" si="2"/>
        <v>18.808303705133991</v>
      </c>
    </row>
    <row r="28" spans="2:8">
      <c r="B28" s="5" t="s">
        <v>33</v>
      </c>
      <c r="C28" s="75">
        <f>'Aggregated Table'!D28</f>
        <v>493.18022584767357</v>
      </c>
      <c r="E28" s="12">
        <v>169.86</v>
      </c>
      <c r="F28" s="119" t="str">
        <f t="shared" si="0"/>
        <v>TRUE</v>
      </c>
      <c r="G28" s="119">
        <f t="shared" si="1"/>
        <v>-82.677171537706045</v>
      </c>
      <c r="H28" s="119">
        <f t="shared" si="2"/>
        <v>575.85739738537961</v>
      </c>
    </row>
    <row r="29" spans="2:8">
      <c r="B29" s="5" t="s">
        <v>34</v>
      </c>
      <c r="C29" s="75">
        <f>'Aggregated Table'!D29</f>
        <v>150.68364487658209</v>
      </c>
      <c r="E29" s="12">
        <v>169.86</v>
      </c>
      <c r="F29" s="119" t="str">
        <f t="shared" si="0"/>
        <v>FALSE</v>
      </c>
      <c r="G29" s="119">
        <f t="shared" si="1"/>
        <v>0</v>
      </c>
      <c r="H29" s="119">
        <f t="shared" si="2"/>
        <v>150.68364487658209</v>
      </c>
    </row>
    <row r="30" spans="2:8">
      <c r="B30" s="5" t="s">
        <v>71</v>
      </c>
      <c r="C30" s="75">
        <f>'Aggregated Table'!D30</f>
        <v>0</v>
      </c>
      <c r="E30" s="12">
        <v>169.86</v>
      </c>
      <c r="F30" s="119" t="str">
        <f t="shared" si="0"/>
        <v>FALSE</v>
      </c>
      <c r="G30" s="119">
        <f t="shared" si="1"/>
        <v>0</v>
      </c>
      <c r="H30" s="119">
        <f t="shared" si="2"/>
        <v>0</v>
      </c>
    </row>
    <row r="31" spans="2:8">
      <c r="B31" s="5" t="s">
        <v>35</v>
      </c>
      <c r="C31" s="75">
        <f>'Aggregated Table'!D31</f>
        <v>82.966867314449644</v>
      </c>
      <c r="E31" s="12">
        <v>169.86</v>
      </c>
      <c r="F31" s="119" t="str">
        <f t="shared" si="0"/>
        <v>FALSE</v>
      </c>
      <c r="G31" s="119">
        <f t="shared" si="1"/>
        <v>0</v>
      </c>
      <c r="H31" s="119">
        <f t="shared" si="2"/>
        <v>82.966867314449644</v>
      </c>
    </row>
    <row r="32" spans="2:8">
      <c r="B32" s="5" t="s">
        <v>36</v>
      </c>
      <c r="C32" s="75">
        <f>'Aggregated Table'!D32</f>
        <v>56.323802447687406</v>
      </c>
      <c r="E32" s="12">
        <v>169.86</v>
      </c>
      <c r="F32" s="119" t="str">
        <f t="shared" si="0"/>
        <v>FALSE</v>
      </c>
      <c r="G32" s="119">
        <f t="shared" si="1"/>
        <v>0</v>
      </c>
      <c r="H32" s="119">
        <f t="shared" si="2"/>
        <v>56.323802447687406</v>
      </c>
    </row>
    <row r="33" spans="2:8">
      <c r="B33" s="5" t="s">
        <v>72</v>
      </c>
      <c r="C33" s="75">
        <f>'Aggregated Table'!D33</f>
        <v>0</v>
      </c>
      <c r="E33" s="12">
        <v>169.86</v>
      </c>
      <c r="F33" s="119" t="str">
        <f t="shared" si="0"/>
        <v>FALSE</v>
      </c>
      <c r="G33" s="119">
        <f t="shared" si="1"/>
        <v>0</v>
      </c>
      <c r="H33" s="119">
        <f t="shared" si="2"/>
        <v>0</v>
      </c>
    </row>
    <row r="34" spans="2:8">
      <c r="B34" s="5" t="s">
        <v>73</v>
      </c>
      <c r="C34" s="75">
        <f>'Aggregated Table'!D34</f>
        <v>0</v>
      </c>
      <c r="E34" s="12">
        <v>169.86</v>
      </c>
      <c r="F34" s="119" t="str">
        <f t="shared" si="0"/>
        <v>FALSE</v>
      </c>
      <c r="G34" s="119">
        <f t="shared" si="1"/>
        <v>0</v>
      </c>
      <c r="H34" s="119">
        <f t="shared" si="2"/>
        <v>0</v>
      </c>
    </row>
    <row r="35" spans="2:8">
      <c r="B35" s="5" t="s">
        <v>37</v>
      </c>
      <c r="C35" s="75">
        <f>'Aggregated Table'!D35</f>
        <v>248.67979268799635</v>
      </c>
      <c r="E35" s="12">
        <v>169.86</v>
      </c>
      <c r="F35" s="119" t="str">
        <f t="shared" si="0"/>
        <v>TRUE</v>
      </c>
      <c r="G35" s="119">
        <f t="shared" si="1"/>
        <v>-82.677171537706045</v>
      </c>
      <c r="H35" s="119">
        <f t="shared" si="2"/>
        <v>331.35696422570243</v>
      </c>
    </row>
    <row r="36" spans="2:8">
      <c r="B36" s="5" t="s">
        <v>38</v>
      </c>
      <c r="C36" s="75">
        <f>'Aggregated Table'!D36</f>
        <v>213.70910012258565</v>
      </c>
      <c r="E36" s="12">
        <v>169.86</v>
      </c>
      <c r="F36" s="119" t="str">
        <f t="shared" si="0"/>
        <v>TRUE</v>
      </c>
      <c r="G36" s="119">
        <f t="shared" si="1"/>
        <v>-82.677171537706045</v>
      </c>
      <c r="H36" s="119">
        <f t="shared" si="2"/>
        <v>296.3862716602917</v>
      </c>
    </row>
    <row r="37" spans="2:8">
      <c r="B37" s="5" t="s">
        <v>39</v>
      </c>
      <c r="C37" s="75">
        <f>'Aggregated Table'!D37</f>
        <v>249.87130599553203</v>
      </c>
      <c r="E37" s="12">
        <v>169.86</v>
      </c>
      <c r="F37" s="119" t="str">
        <f t="shared" si="0"/>
        <v>TRUE</v>
      </c>
      <c r="G37" s="119">
        <f>IF(F37="FALSE",0,E$4-D$3)</f>
        <v>-82.677171537706045</v>
      </c>
      <c r="H37" s="119">
        <f t="shared" si="2"/>
        <v>332.54847753323804</v>
      </c>
    </row>
    <row r="38" spans="2:8">
      <c r="B38" s="5" t="s">
        <v>74</v>
      </c>
      <c r="C38" s="75">
        <f>'Aggregated Table'!D38</f>
        <v>0</v>
      </c>
      <c r="E38" s="12">
        <v>169.86</v>
      </c>
      <c r="F38" s="119" t="str">
        <f t="shared" si="0"/>
        <v>FALSE</v>
      </c>
      <c r="G38" s="119">
        <f t="shared" si="1"/>
        <v>0</v>
      </c>
      <c r="H38" s="119">
        <f t="shared" si="2"/>
        <v>0</v>
      </c>
    </row>
    <row r="39" spans="2:8">
      <c r="B39" s="5" t="s">
        <v>40</v>
      </c>
      <c r="C39" s="75">
        <f>'Aggregated Table'!D39</f>
        <v>201.93596448367052</v>
      </c>
      <c r="E39" s="12">
        <v>169.86</v>
      </c>
      <c r="F39" s="119" t="str">
        <f t="shared" si="0"/>
        <v>TRUE</v>
      </c>
      <c r="G39" s="119">
        <f t="shared" si="1"/>
        <v>-82.677171537706045</v>
      </c>
      <c r="H39" s="119">
        <f t="shared" si="2"/>
        <v>284.61313602137659</v>
      </c>
    </row>
    <row r="40" spans="2:8">
      <c r="B40" s="5" t="s">
        <v>75</v>
      </c>
      <c r="C40" s="75">
        <f>'Aggregated Table'!D40</f>
        <v>0</v>
      </c>
      <c r="E40" s="12">
        <v>169.86</v>
      </c>
      <c r="F40" s="119" t="str">
        <f t="shared" si="0"/>
        <v>FALSE</v>
      </c>
      <c r="G40" s="119">
        <f t="shared" si="1"/>
        <v>0</v>
      </c>
      <c r="H40" s="119">
        <f t="shared" si="2"/>
        <v>0</v>
      </c>
    </row>
    <row r="41" spans="2:8">
      <c r="B41" s="5" t="s">
        <v>41</v>
      </c>
      <c r="C41" s="75">
        <f>'Aggregated Table'!D41</f>
        <v>70.327798639962978</v>
      </c>
      <c r="E41" s="12">
        <v>169.86</v>
      </c>
      <c r="F41" s="119" t="str">
        <f t="shared" si="0"/>
        <v>FALSE</v>
      </c>
      <c r="G41" s="119">
        <f t="shared" si="1"/>
        <v>0</v>
      </c>
      <c r="H41" s="119">
        <f t="shared" si="2"/>
        <v>70.327798639962978</v>
      </c>
    </row>
    <row r="42" spans="2:8">
      <c r="B42" s="5" t="s">
        <v>42</v>
      </c>
      <c r="C42" s="75">
        <f>'Aggregated Table'!D42</f>
        <v>126.42271982009569</v>
      </c>
      <c r="E42" s="12">
        <v>169.86</v>
      </c>
      <c r="F42" s="119" t="str">
        <f t="shared" si="0"/>
        <v>FALSE</v>
      </c>
      <c r="G42" s="119">
        <f t="shared" si="1"/>
        <v>0</v>
      </c>
      <c r="H42" s="119">
        <f t="shared" si="2"/>
        <v>126.42271982009569</v>
      </c>
    </row>
    <row r="43" spans="2:8">
      <c r="B43" s="5" t="s">
        <v>44</v>
      </c>
      <c r="C43" s="75">
        <f>'Aggregated Table'!D43</f>
        <v>4.3312806000458099</v>
      </c>
      <c r="E43" s="12">
        <v>169.86</v>
      </c>
      <c r="F43" s="119" t="str">
        <f t="shared" si="0"/>
        <v>FALSE</v>
      </c>
      <c r="G43" s="119">
        <f t="shared" si="1"/>
        <v>0</v>
      </c>
      <c r="H43" s="119">
        <f t="shared" si="2"/>
        <v>4.3312806000458099</v>
      </c>
    </row>
    <row r="44" spans="2:8">
      <c r="B44" s="5" t="s">
        <v>46</v>
      </c>
      <c r="C44" s="75">
        <f>'Aggregated Table'!D44</f>
        <v>329.98838316101359</v>
      </c>
      <c r="E44" s="12">
        <v>169.86</v>
      </c>
      <c r="F44" s="119" t="str">
        <f t="shared" si="0"/>
        <v>TRUE</v>
      </c>
      <c r="G44" s="119">
        <f t="shared" si="1"/>
        <v>-82.677171537706045</v>
      </c>
      <c r="H44" s="119">
        <f t="shared" si="2"/>
        <v>412.66555469871963</v>
      </c>
    </row>
    <row r="45" spans="2:8">
      <c r="B45" s="5" t="s">
        <v>47</v>
      </c>
      <c r="C45" s="75">
        <f>'Aggregated Table'!D45</f>
        <v>222.2840062357408</v>
      </c>
      <c r="E45" s="12">
        <v>169.86</v>
      </c>
      <c r="F45" s="119" t="str">
        <f t="shared" si="0"/>
        <v>TRUE</v>
      </c>
      <c r="G45" s="119">
        <f t="shared" si="1"/>
        <v>-82.677171537706045</v>
      </c>
      <c r="H45" s="119">
        <f t="shared" si="2"/>
        <v>304.96117777344682</v>
      </c>
    </row>
    <row r="46" spans="2:8">
      <c r="B46" s="5" t="s">
        <v>48</v>
      </c>
      <c r="C46" s="75">
        <f>'Aggregated Table'!D46</f>
        <v>50.343023075866157</v>
      </c>
      <c r="E46" s="12">
        <v>169.86</v>
      </c>
      <c r="F46" s="119" t="str">
        <f t="shared" si="0"/>
        <v>FALSE</v>
      </c>
      <c r="G46" s="119">
        <f t="shared" si="1"/>
        <v>0</v>
      </c>
      <c r="H46" s="119">
        <f t="shared" si="2"/>
        <v>50.343023075866157</v>
      </c>
    </row>
    <row r="47" spans="2:8">
      <c r="B47" s="5" t="s">
        <v>76</v>
      </c>
      <c r="C47" s="75">
        <f>'Aggregated Table'!D47</f>
        <v>0</v>
      </c>
      <c r="E47" s="12">
        <v>169.86</v>
      </c>
      <c r="F47" s="119" t="str">
        <f t="shared" si="0"/>
        <v>FALSE</v>
      </c>
      <c r="G47" s="119">
        <f t="shared" si="1"/>
        <v>0</v>
      </c>
      <c r="H47" s="119">
        <f t="shared" si="2"/>
        <v>0</v>
      </c>
    </row>
    <row r="48" spans="2:8">
      <c r="B48" s="5" t="s">
        <v>49</v>
      </c>
      <c r="C48" s="75">
        <f>'Aggregated Table'!D48</f>
        <v>216.15052913874314</v>
      </c>
      <c r="E48" s="12">
        <v>169.86</v>
      </c>
      <c r="F48" s="119" t="str">
        <f t="shared" si="0"/>
        <v>TRUE</v>
      </c>
      <c r="G48" s="119">
        <f t="shared" si="1"/>
        <v>-82.677171537706045</v>
      </c>
      <c r="H48" s="119">
        <f t="shared" si="2"/>
        <v>298.82770067644918</v>
      </c>
    </row>
    <row r="49" spans="2:8">
      <c r="B49" s="5" t="s">
        <v>50</v>
      </c>
      <c r="C49" s="75">
        <f>'Aggregated Table'!D49</f>
        <v>88.610418714533878</v>
      </c>
      <c r="E49" s="12">
        <v>169.86</v>
      </c>
      <c r="F49" s="119" t="str">
        <f t="shared" si="0"/>
        <v>FALSE</v>
      </c>
      <c r="G49" s="119">
        <f t="shared" si="1"/>
        <v>0</v>
      </c>
      <c r="H49" s="119">
        <f t="shared" si="2"/>
        <v>88.610418714533878</v>
      </c>
    </row>
    <row r="50" spans="2:8">
      <c r="B50" s="5" t="s">
        <v>51</v>
      </c>
      <c r="C50" s="75">
        <f>'Aggregated Table'!D50</f>
        <v>296.25949722554589</v>
      </c>
      <c r="E50" s="12">
        <v>169.86</v>
      </c>
      <c r="F50" s="119" t="str">
        <f t="shared" si="0"/>
        <v>TRUE</v>
      </c>
      <c r="G50" s="119">
        <f t="shared" si="1"/>
        <v>-82.677171537706045</v>
      </c>
      <c r="H50" s="119">
        <f t="shared" si="2"/>
        <v>378.93666876325193</v>
      </c>
    </row>
    <row r="51" spans="2:8">
      <c r="B51" s="5" t="s">
        <v>77</v>
      </c>
      <c r="C51" s="75">
        <f>'Aggregated Table'!D51</f>
        <v>0</v>
      </c>
      <c r="E51" s="12">
        <v>169.86</v>
      </c>
      <c r="F51" s="119" t="str">
        <f t="shared" si="0"/>
        <v>FALSE</v>
      </c>
      <c r="G51" s="119">
        <f t="shared" si="1"/>
        <v>0</v>
      </c>
      <c r="H51" s="119">
        <f t="shared" si="2"/>
        <v>0</v>
      </c>
    </row>
    <row r="52" spans="2:8">
      <c r="B52" s="5" t="s">
        <v>52</v>
      </c>
      <c r="C52" s="75">
        <f>'Aggregated Table'!D52</f>
        <v>60.121781917451003</v>
      </c>
      <c r="E52" s="12">
        <v>169.86</v>
      </c>
      <c r="F52" s="119" t="str">
        <f t="shared" si="0"/>
        <v>FALSE</v>
      </c>
      <c r="G52" s="119">
        <f t="shared" si="1"/>
        <v>0</v>
      </c>
      <c r="H52" s="119">
        <f t="shared" si="2"/>
        <v>60.121781917451003</v>
      </c>
    </row>
    <row r="53" spans="2:8">
      <c r="B53" s="5" t="s">
        <v>78</v>
      </c>
      <c r="C53" s="75">
        <f>'Aggregated Table'!D53</f>
        <v>0</v>
      </c>
      <c r="E53" s="12">
        <v>169.86</v>
      </c>
      <c r="F53" s="119" t="str">
        <f t="shared" si="0"/>
        <v>FALSE</v>
      </c>
      <c r="G53" s="119">
        <f t="shared" si="1"/>
        <v>0</v>
      </c>
      <c r="H53" s="119">
        <f t="shared" si="2"/>
        <v>0</v>
      </c>
    </row>
    <row r="54" spans="2:8">
      <c r="B54" s="5" t="s">
        <v>79</v>
      </c>
      <c r="C54" s="75">
        <f>'Aggregated Table'!D54</f>
        <v>0</v>
      </c>
      <c r="E54" s="12">
        <v>169.86</v>
      </c>
      <c r="F54" s="119" t="str">
        <f t="shared" si="0"/>
        <v>FALSE</v>
      </c>
      <c r="G54" s="119">
        <f t="shared" si="1"/>
        <v>0</v>
      </c>
      <c r="H54" s="119">
        <f t="shared" si="2"/>
        <v>0</v>
      </c>
    </row>
    <row r="55" spans="2:8">
      <c r="B55" s="5" t="s">
        <v>80</v>
      </c>
      <c r="C55" s="75">
        <f>'Aggregated Table'!D55</f>
        <v>0</v>
      </c>
      <c r="E55" s="12">
        <v>169.86</v>
      </c>
      <c r="F55" s="119" t="str">
        <f t="shared" si="0"/>
        <v>FALSE</v>
      </c>
      <c r="G55" s="119">
        <f t="shared" si="1"/>
        <v>0</v>
      </c>
      <c r="H55" s="119">
        <f t="shared" si="2"/>
        <v>0</v>
      </c>
    </row>
    <row r="56" spans="2:8">
      <c r="B56" s="5" t="s">
        <v>53</v>
      </c>
      <c r="C56" s="75">
        <f>'Aggregated Table'!D56</f>
        <v>103.23809009937526</v>
      </c>
      <c r="E56" s="12">
        <v>169.86</v>
      </c>
      <c r="F56" s="119" t="str">
        <f t="shared" si="0"/>
        <v>FALSE</v>
      </c>
      <c r="G56" s="119">
        <f t="shared" si="1"/>
        <v>0</v>
      </c>
      <c r="H56" s="119">
        <f t="shared" si="2"/>
        <v>103.23809009937526</v>
      </c>
    </row>
    <row r="57" spans="2:8">
      <c r="B57" s="5" t="s">
        <v>81</v>
      </c>
      <c r="C57" s="75">
        <f>'Aggregated Table'!D57</f>
        <v>0</v>
      </c>
      <c r="E57" s="12">
        <v>169.86</v>
      </c>
      <c r="F57" s="119" t="str">
        <f t="shared" si="0"/>
        <v>FALSE</v>
      </c>
      <c r="G57" s="119">
        <f t="shared" si="1"/>
        <v>0</v>
      </c>
      <c r="H57" s="119">
        <f t="shared" si="2"/>
        <v>0</v>
      </c>
    </row>
    <row r="58" spans="2:8">
      <c r="B58" s="5" t="s">
        <v>55</v>
      </c>
      <c r="C58" s="75">
        <f>'Aggregated Table'!D58</f>
        <v>6.5556326993431897</v>
      </c>
      <c r="E58" s="12">
        <v>169.86</v>
      </c>
      <c r="F58" s="119" t="str">
        <f t="shared" si="0"/>
        <v>FALSE</v>
      </c>
      <c r="G58" s="119">
        <f t="shared" si="1"/>
        <v>0</v>
      </c>
      <c r="H58" s="119">
        <f t="shared" si="2"/>
        <v>6.5556326993431897</v>
      </c>
    </row>
    <row r="59" spans="2:8">
      <c r="B59" s="5" t="s">
        <v>56</v>
      </c>
      <c r="C59" s="75">
        <f>'Aggregated Table'!D59</f>
        <v>16.438570741433765</v>
      </c>
      <c r="E59" s="12">
        <v>169.86</v>
      </c>
      <c r="F59" s="119" t="str">
        <f t="shared" si="0"/>
        <v>FALSE</v>
      </c>
      <c r="G59" s="119">
        <f t="shared" si="1"/>
        <v>0</v>
      </c>
      <c r="H59" s="119">
        <f t="shared" si="2"/>
        <v>16.438570741433765</v>
      </c>
    </row>
    <row r="60" spans="2:8">
      <c r="B60" s="5" t="s">
        <v>58</v>
      </c>
      <c r="C60" s="75">
        <f>'Aggregated Table'!D60</f>
        <v>63.391895830716443</v>
      </c>
      <c r="E60" s="12">
        <v>169.86</v>
      </c>
      <c r="F60" s="119" t="str">
        <f t="shared" si="0"/>
        <v>FALSE</v>
      </c>
      <c r="G60" s="119">
        <f t="shared" si="1"/>
        <v>0</v>
      </c>
      <c r="H60" s="119">
        <f t="shared" si="2"/>
        <v>63.391895830716443</v>
      </c>
    </row>
    <row r="61" spans="2:8">
      <c r="B61" s="5" t="s">
        <v>60</v>
      </c>
      <c r="C61" s="75">
        <f>'Aggregated Table'!D61</f>
        <v>34.126866570942042</v>
      </c>
      <c r="E61" s="12">
        <v>169.86</v>
      </c>
      <c r="F61" s="119" t="str">
        <f t="shared" si="0"/>
        <v>FALSE</v>
      </c>
      <c r="G61" s="119">
        <f t="shared" si="1"/>
        <v>0</v>
      </c>
      <c r="H61" s="119">
        <f t="shared" si="2"/>
        <v>34.126866570942042</v>
      </c>
    </row>
    <row r="62" spans="2:8">
      <c r="B62" s="5" t="s">
        <v>82</v>
      </c>
      <c r="C62" s="75">
        <f>'Aggregated Table'!D62</f>
        <v>0</v>
      </c>
      <c r="E62" s="12">
        <v>169.86</v>
      </c>
      <c r="F62" s="119" t="str">
        <f t="shared" si="0"/>
        <v>FALSE</v>
      </c>
      <c r="G62" s="119">
        <f t="shared" si="1"/>
        <v>0</v>
      </c>
      <c r="H62" s="119">
        <f t="shared" si="2"/>
        <v>0</v>
      </c>
    </row>
    <row r="63" spans="2:8">
      <c r="B63" s="5" t="s">
        <v>83</v>
      </c>
      <c r="C63" s="75">
        <f>'Aggregated Table'!D63</f>
        <v>0</v>
      </c>
      <c r="E63" s="12">
        <v>169.86</v>
      </c>
      <c r="F63" s="119" t="str">
        <f t="shared" si="0"/>
        <v>FALSE</v>
      </c>
      <c r="G63" s="119">
        <f t="shared" si="1"/>
        <v>0</v>
      </c>
      <c r="H63" s="119">
        <f t="shared" si="2"/>
        <v>0</v>
      </c>
    </row>
    <row r="64" spans="2:8">
      <c r="B64" s="5" t="s">
        <v>84</v>
      </c>
      <c r="C64" s="75">
        <f>'Aggregated Table'!D64</f>
        <v>0</v>
      </c>
      <c r="E64" s="12">
        <v>169.86</v>
      </c>
      <c r="F64" s="119" t="str">
        <f t="shared" si="0"/>
        <v>FALSE</v>
      </c>
      <c r="G64" s="119">
        <f t="shared" si="1"/>
        <v>0</v>
      </c>
      <c r="H64" s="119">
        <f t="shared" si="2"/>
        <v>0</v>
      </c>
    </row>
    <row r="65" spans="1:13">
      <c r="A65" s="119"/>
      <c r="B65" s="5" t="s">
        <v>62</v>
      </c>
      <c r="C65" s="75">
        <f>'Aggregated Table'!D65</f>
        <v>32.745326025569781</v>
      </c>
      <c r="E65" s="12">
        <v>169.86</v>
      </c>
      <c r="F65" s="119" t="str">
        <f t="shared" si="0"/>
        <v>FALSE</v>
      </c>
      <c r="G65" s="119">
        <f t="shared" si="1"/>
        <v>0</v>
      </c>
      <c r="H65" s="119">
        <f t="shared" si="2"/>
        <v>32.745326025569781</v>
      </c>
      <c r="I65" s="119"/>
      <c r="J65" s="119"/>
      <c r="K65" s="119"/>
      <c r="L65" s="119"/>
      <c r="M65" s="119"/>
    </row>
    <row r="66" spans="1:13">
      <c r="A66" s="119"/>
      <c r="B66" s="5" t="s">
        <v>63</v>
      </c>
      <c r="C66" s="75">
        <f>'Aggregated Table'!D66</f>
        <v>62.082431113594964</v>
      </c>
      <c r="E66" s="12">
        <v>169.86</v>
      </c>
      <c r="F66" s="119" t="str">
        <f t="shared" si="0"/>
        <v>FALSE</v>
      </c>
      <c r="G66" s="119">
        <f t="shared" si="1"/>
        <v>0</v>
      </c>
      <c r="H66" s="119">
        <f t="shared" si="2"/>
        <v>62.082431113594964</v>
      </c>
      <c r="I66" s="119"/>
      <c r="J66" s="119"/>
      <c r="K66" s="119"/>
      <c r="L66" s="119"/>
      <c r="M66" s="119"/>
    </row>
    <row r="67" spans="1:13">
      <c r="A67" s="119"/>
      <c r="B67" s="5" t="s">
        <v>64</v>
      </c>
      <c r="C67" s="75">
        <f>'Aggregated Table'!D67</f>
        <v>58.130546130387529</v>
      </c>
      <c r="E67" s="12">
        <v>169.86</v>
      </c>
      <c r="F67" s="119" t="str">
        <f t="shared" si="0"/>
        <v>FALSE</v>
      </c>
      <c r="G67" s="119">
        <f t="shared" si="1"/>
        <v>0</v>
      </c>
      <c r="H67" s="119">
        <f t="shared" si="2"/>
        <v>58.130546130387529</v>
      </c>
      <c r="I67" s="119"/>
      <c r="J67" s="119"/>
      <c r="K67" s="119"/>
      <c r="L67" s="119"/>
      <c r="M67" s="119"/>
    </row>
    <row r="68" spans="1:13">
      <c r="A68" s="119"/>
      <c r="B68" s="5" t="s">
        <v>65</v>
      </c>
      <c r="C68" s="75">
        <f>'Aggregated Table'!D68</f>
        <v>20.964767046435458</v>
      </c>
      <c r="E68" s="12">
        <v>169.86</v>
      </c>
      <c r="F68" s="119" t="str">
        <f t="shared" ref="F68:F131" si="3">IF(E68&lt;C68,"TRUE","FALSE")</f>
        <v>FALSE</v>
      </c>
      <c r="G68" s="119">
        <f t="shared" ref="G68:G70" si="4">IF(F68="FALSE",0,E$4-D$3)</f>
        <v>0</v>
      </c>
      <c r="H68" s="119">
        <f t="shared" si="2"/>
        <v>20.964767046435458</v>
      </c>
      <c r="I68" s="119"/>
      <c r="J68" s="119"/>
      <c r="K68" s="119"/>
      <c r="L68" s="119"/>
      <c r="M68" s="119"/>
    </row>
    <row r="69" spans="1:13">
      <c r="A69" s="119"/>
      <c r="B69" s="5" t="s">
        <v>66</v>
      </c>
      <c r="C69" s="75">
        <f>'Aggregated Table'!D69</f>
        <v>103.35866281743959</v>
      </c>
      <c r="E69" s="12">
        <v>169.86</v>
      </c>
      <c r="F69" s="119" t="str">
        <f t="shared" si="3"/>
        <v>FALSE</v>
      </c>
      <c r="G69" s="119">
        <f t="shared" si="4"/>
        <v>0</v>
      </c>
      <c r="H69" s="119">
        <f t="shared" ref="H69:H132" si="5">IF(F69="False",C69,C69-(G69))</f>
        <v>103.35866281743959</v>
      </c>
      <c r="I69" s="119"/>
      <c r="J69" s="119"/>
      <c r="K69" s="119"/>
      <c r="L69" s="119"/>
      <c r="M69" s="119"/>
    </row>
    <row r="70" spans="1:13">
      <c r="A70" s="119"/>
      <c r="B70" s="5" t="s">
        <v>85</v>
      </c>
      <c r="C70" s="75">
        <f>'Aggregated Table'!D70</f>
        <v>0</v>
      </c>
      <c r="E70" s="12">
        <v>169.86</v>
      </c>
      <c r="F70" s="119" t="str">
        <f t="shared" si="3"/>
        <v>FALSE</v>
      </c>
      <c r="G70" s="119">
        <f t="shared" si="4"/>
        <v>0</v>
      </c>
      <c r="H70" s="119">
        <f t="shared" si="5"/>
        <v>0</v>
      </c>
      <c r="I70" s="119"/>
      <c r="J70" s="119"/>
      <c r="K70" s="119"/>
      <c r="L70" s="119"/>
      <c r="M70" s="119"/>
    </row>
    <row r="71" spans="1:13">
      <c r="A71" s="119"/>
      <c r="B71" s="5" t="s">
        <v>68</v>
      </c>
      <c r="C71" s="75">
        <f>'Aggregated Table'!D71</f>
        <v>54.560309629071988</v>
      </c>
      <c r="E71" s="12">
        <v>169.86</v>
      </c>
      <c r="F71" s="119" t="str">
        <f t="shared" si="3"/>
        <v>FALSE</v>
      </c>
      <c r="G71" s="119">
        <f>IF(F71="FALSE",0,E$4-D$3)</f>
        <v>0</v>
      </c>
      <c r="H71" s="119">
        <f t="shared" si="5"/>
        <v>54.560309629071988</v>
      </c>
      <c r="I71" s="119"/>
      <c r="J71" s="119"/>
      <c r="K71" s="119"/>
      <c r="L71" s="119"/>
      <c r="M71" s="119"/>
    </row>
    <row r="72" spans="1:13">
      <c r="A72" s="119" t="s">
        <v>574</v>
      </c>
      <c r="B72" s="119"/>
      <c r="C72" s="119"/>
      <c r="F72" s="119"/>
      <c r="G72" s="119"/>
      <c r="H72" s="119"/>
      <c r="I72" s="119"/>
      <c r="J72" s="119"/>
      <c r="K72" s="119"/>
      <c r="L72" s="119"/>
      <c r="M72" s="119"/>
    </row>
    <row r="73" spans="1:13">
      <c r="A73" s="119"/>
      <c r="B73" s="119" t="s">
        <v>576</v>
      </c>
      <c r="C73" s="119">
        <f>'CEN HUD'!F5</f>
        <v>9.14</v>
      </c>
      <c r="D73" s="9">
        <f>SUMPRODUCT(C73:C136,'data for stata'!C71:C134)/SUM('data for stata'!C71:C134)</f>
        <v>21.637211580243036</v>
      </c>
      <c r="E73" s="12">
        <v>194.86</v>
      </c>
      <c r="F73" s="119" t="str">
        <f t="shared" si="3"/>
        <v>FALSE</v>
      </c>
      <c r="G73" s="119">
        <f>IF(F73="FALSE",0,E$73-D$73)</f>
        <v>0</v>
      </c>
      <c r="H73" s="119">
        <f t="shared" si="5"/>
        <v>9.14</v>
      </c>
      <c r="I73" s="9">
        <f>SUMPRODUCT(H73:H136,'data for stata'!C71:C134)/SUM('data for stata'!C71:C134)</f>
        <v>21.637211580243036</v>
      </c>
      <c r="J73" s="119">
        <f>E73-I73</f>
        <v>173.22278841975697</v>
      </c>
      <c r="K73" s="119">
        <f>L73-M73</f>
        <v>0</v>
      </c>
      <c r="L73" s="119">
        <f>COUNT(G73:G136)</f>
        <v>64</v>
      </c>
      <c r="M73" s="119">
        <f>COUNTIF(G73:G136,0)</f>
        <v>64</v>
      </c>
    </row>
    <row r="74" spans="1:13">
      <c r="A74" s="119"/>
      <c r="B74" s="119" t="s">
        <v>577</v>
      </c>
      <c r="C74" s="119">
        <f>'CEN HUD'!F6</f>
        <v>9.16</v>
      </c>
      <c r="E74" s="12">
        <v>194.86</v>
      </c>
      <c r="F74" s="119" t="str">
        <f t="shared" si="3"/>
        <v>FALSE</v>
      </c>
      <c r="G74" s="119">
        <f t="shared" ref="G74:G136" si="6">IF(F74="FALSE",0,E$73-D$73)</f>
        <v>0</v>
      </c>
      <c r="H74" s="119">
        <f t="shared" si="5"/>
        <v>9.16</v>
      </c>
      <c r="I74" s="119"/>
      <c r="J74" s="119"/>
      <c r="K74" s="119"/>
      <c r="L74" s="119"/>
      <c r="M74" s="119"/>
    </row>
    <row r="75" spans="1:13">
      <c r="A75" s="119"/>
      <c r="B75" s="119" t="s">
        <v>578</v>
      </c>
      <c r="C75" s="119">
        <f>'CEN HUD'!F7</f>
        <v>9.3699999999999992</v>
      </c>
      <c r="E75" s="12">
        <v>194.86</v>
      </c>
      <c r="F75" s="119" t="str">
        <f t="shared" si="3"/>
        <v>FALSE</v>
      </c>
      <c r="G75" s="119">
        <f t="shared" si="6"/>
        <v>0</v>
      </c>
      <c r="H75" s="119">
        <f t="shared" si="5"/>
        <v>9.3699999999999992</v>
      </c>
      <c r="I75" s="119"/>
      <c r="J75" s="119"/>
      <c r="K75" s="119"/>
      <c r="L75" s="119"/>
      <c r="M75" s="119"/>
    </row>
    <row r="76" spans="1:13">
      <c r="A76" s="119"/>
      <c r="B76" s="119" t="s">
        <v>579</v>
      </c>
      <c r="C76" s="119">
        <f>'CEN HUD'!F8</f>
        <v>9.129999999999999</v>
      </c>
      <c r="E76" s="12">
        <v>194.86</v>
      </c>
      <c r="F76" s="119" t="str">
        <f t="shared" si="3"/>
        <v>FALSE</v>
      </c>
      <c r="G76" s="119">
        <f t="shared" si="6"/>
        <v>0</v>
      </c>
      <c r="H76" s="119">
        <f t="shared" si="5"/>
        <v>9.129999999999999</v>
      </c>
      <c r="I76" s="119"/>
      <c r="J76" s="119"/>
      <c r="K76" s="119"/>
      <c r="L76" s="119"/>
      <c r="M76" s="119"/>
    </row>
    <row r="77" spans="1:13">
      <c r="A77" s="119"/>
      <c r="B77" s="119" t="s">
        <v>580</v>
      </c>
      <c r="C77" s="119">
        <f>'CEN HUD'!F9</f>
        <v>7.8699999999999992</v>
      </c>
      <c r="E77" s="12">
        <v>194.86</v>
      </c>
      <c r="F77" s="119" t="str">
        <f t="shared" si="3"/>
        <v>FALSE</v>
      </c>
      <c r="G77" s="119">
        <f t="shared" si="6"/>
        <v>0</v>
      </c>
      <c r="H77" s="119">
        <f t="shared" si="5"/>
        <v>7.8699999999999992</v>
      </c>
      <c r="I77" s="119"/>
      <c r="J77" s="119"/>
      <c r="K77" s="119"/>
      <c r="L77" s="119"/>
      <c r="M77" s="119"/>
    </row>
    <row r="78" spans="1:13">
      <c r="A78" s="119"/>
      <c r="B78" s="119" t="s">
        <v>581</v>
      </c>
      <c r="C78" s="119">
        <f>'CEN HUD'!F10</f>
        <v>9.17</v>
      </c>
      <c r="E78" s="12">
        <v>194.86</v>
      </c>
      <c r="F78" s="119" t="str">
        <f t="shared" si="3"/>
        <v>FALSE</v>
      </c>
      <c r="G78" s="119">
        <f t="shared" si="6"/>
        <v>0</v>
      </c>
      <c r="H78" s="119">
        <f t="shared" si="5"/>
        <v>9.17</v>
      </c>
      <c r="I78" s="119"/>
      <c r="J78" s="119"/>
      <c r="K78" s="119"/>
      <c r="L78" s="119"/>
      <c r="M78" s="119"/>
    </row>
    <row r="79" spans="1:13">
      <c r="A79" s="119"/>
      <c r="B79" s="119" t="s">
        <v>582</v>
      </c>
      <c r="C79" s="119">
        <f>'CEN HUD'!F11</f>
        <v>9.129999999999999</v>
      </c>
      <c r="E79" s="12">
        <v>194.86</v>
      </c>
      <c r="F79" s="119" t="str">
        <f t="shared" si="3"/>
        <v>FALSE</v>
      </c>
      <c r="G79" s="119">
        <f t="shared" si="6"/>
        <v>0</v>
      </c>
      <c r="H79" s="119">
        <f t="shared" si="5"/>
        <v>9.129999999999999</v>
      </c>
      <c r="I79" s="119"/>
      <c r="J79" s="119"/>
      <c r="K79" s="119"/>
      <c r="L79" s="119"/>
      <c r="M79" s="119"/>
    </row>
    <row r="80" spans="1:13">
      <c r="A80" s="119"/>
      <c r="B80" s="119" t="s">
        <v>583</v>
      </c>
      <c r="C80" s="119">
        <f>'CEN HUD'!F12</f>
        <v>9.1999999999999993</v>
      </c>
      <c r="E80" s="12">
        <v>194.86</v>
      </c>
      <c r="F80" s="119" t="str">
        <f t="shared" si="3"/>
        <v>FALSE</v>
      </c>
      <c r="G80" s="119">
        <f t="shared" si="6"/>
        <v>0</v>
      </c>
      <c r="H80" s="119">
        <f t="shared" si="5"/>
        <v>9.1999999999999993</v>
      </c>
      <c r="I80" s="119"/>
      <c r="J80" s="119"/>
      <c r="K80" s="119"/>
      <c r="L80" s="119"/>
      <c r="M80" s="119"/>
    </row>
    <row r="81" spans="2:8">
      <c r="B81" s="119" t="s">
        <v>450</v>
      </c>
      <c r="C81" s="119">
        <f>'CEN HUD'!F13</f>
        <v>9.1499999999999986</v>
      </c>
      <c r="E81" s="12">
        <v>194.86</v>
      </c>
      <c r="F81" s="119" t="str">
        <f t="shared" si="3"/>
        <v>FALSE</v>
      </c>
      <c r="G81" s="119">
        <f t="shared" si="6"/>
        <v>0</v>
      </c>
      <c r="H81" s="119">
        <f t="shared" si="5"/>
        <v>9.1499999999999986</v>
      </c>
    </row>
    <row r="82" spans="2:8">
      <c r="B82" s="119" t="s">
        <v>584</v>
      </c>
      <c r="C82" s="119">
        <f>'CEN HUD'!F14</f>
        <v>9.129999999999999</v>
      </c>
      <c r="E82" s="12">
        <v>194.86</v>
      </c>
      <c r="F82" s="119" t="str">
        <f t="shared" si="3"/>
        <v>FALSE</v>
      </c>
      <c r="G82" s="119">
        <f t="shared" si="6"/>
        <v>0</v>
      </c>
      <c r="H82" s="119">
        <f t="shared" si="5"/>
        <v>9.129999999999999</v>
      </c>
    </row>
    <row r="83" spans="2:8">
      <c r="B83" s="119" t="s">
        <v>585</v>
      </c>
      <c r="C83" s="119">
        <f>'CEN HUD'!F15</f>
        <v>9.1999999999999993</v>
      </c>
      <c r="E83" s="12">
        <v>194.86</v>
      </c>
      <c r="F83" s="119" t="str">
        <f t="shared" si="3"/>
        <v>FALSE</v>
      </c>
      <c r="G83" s="119">
        <f t="shared" si="6"/>
        <v>0</v>
      </c>
      <c r="H83" s="119">
        <f t="shared" si="5"/>
        <v>9.1999999999999993</v>
      </c>
    </row>
    <row r="84" spans="2:8">
      <c r="B84" s="119" t="s">
        <v>133</v>
      </c>
      <c r="C84" s="119">
        <f>'CEN HUD'!F16</f>
        <v>9.32</v>
      </c>
      <c r="E84" s="12">
        <v>194.86</v>
      </c>
      <c r="F84" s="119" t="str">
        <f t="shared" si="3"/>
        <v>FALSE</v>
      </c>
      <c r="G84" s="119">
        <f t="shared" si="6"/>
        <v>0</v>
      </c>
      <c r="H84" s="119">
        <f t="shared" si="5"/>
        <v>9.32</v>
      </c>
    </row>
    <row r="85" spans="2:8">
      <c r="B85" s="119" t="s">
        <v>135</v>
      </c>
      <c r="C85" s="119">
        <f>'CEN HUD'!F17</f>
        <v>9.33</v>
      </c>
      <c r="E85" s="12">
        <v>194.86</v>
      </c>
      <c r="F85" s="119" t="str">
        <f t="shared" si="3"/>
        <v>FALSE</v>
      </c>
      <c r="G85" s="119">
        <f t="shared" si="6"/>
        <v>0</v>
      </c>
      <c r="H85" s="119">
        <f t="shared" si="5"/>
        <v>9.33</v>
      </c>
    </row>
    <row r="86" spans="2:8">
      <c r="B86" s="119" t="s">
        <v>586</v>
      </c>
      <c r="C86" s="119">
        <f>'CEN HUD'!F18</f>
        <v>9.129999999999999</v>
      </c>
      <c r="E86" s="12">
        <v>194.86</v>
      </c>
      <c r="F86" s="119" t="str">
        <f t="shared" si="3"/>
        <v>FALSE</v>
      </c>
      <c r="G86" s="119">
        <f t="shared" si="6"/>
        <v>0</v>
      </c>
      <c r="H86" s="119">
        <f t="shared" si="5"/>
        <v>9.129999999999999</v>
      </c>
    </row>
    <row r="87" spans="2:8">
      <c r="B87" s="119" t="s">
        <v>587</v>
      </c>
      <c r="C87" s="119">
        <f>'CEN HUD'!F19</f>
        <v>9.129999999999999</v>
      </c>
      <c r="E87" s="12">
        <v>194.86</v>
      </c>
      <c r="F87" s="119" t="str">
        <f t="shared" si="3"/>
        <v>FALSE</v>
      </c>
      <c r="G87" s="119">
        <f t="shared" si="6"/>
        <v>0</v>
      </c>
      <c r="H87" s="119">
        <f t="shared" si="5"/>
        <v>9.129999999999999</v>
      </c>
    </row>
    <row r="88" spans="2:8">
      <c r="B88" s="119" t="s">
        <v>588</v>
      </c>
      <c r="C88" s="119">
        <f>'CEN HUD'!F20</f>
        <v>9.129999999999999</v>
      </c>
      <c r="E88" s="12">
        <v>194.86</v>
      </c>
      <c r="F88" s="119" t="str">
        <f t="shared" si="3"/>
        <v>FALSE</v>
      </c>
      <c r="G88" s="119">
        <f t="shared" si="6"/>
        <v>0</v>
      </c>
      <c r="H88" s="119">
        <f t="shared" si="5"/>
        <v>9.129999999999999</v>
      </c>
    </row>
    <row r="89" spans="2:8">
      <c r="B89" s="119" t="s">
        <v>139</v>
      </c>
      <c r="C89" s="119">
        <f>'CEN HUD'!F21</f>
        <v>9.129999999999999</v>
      </c>
      <c r="E89" s="12">
        <v>194.86</v>
      </c>
      <c r="F89" s="119" t="str">
        <f t="shared" si="3"/>
        <v>FALSE</v>
      </c>
      <c r="G89" s="119">
        <f t="shared" si="6"/>
        <v>0</v>
      </c>
      <c r="H89" s="119">
        <f t="shared" si="5"/>
        <v>9.129999999999999</v>
      </c>
    </row>
    <row r="90" spans="2:8">
      <c r="B90" s="119" t="s">
        <v>141</v>
      </c>
      <c r="C90" s="119">
        <f>'CEN HUD'!F22</f>
        <v>6.49</v>
      </c>
      <c r="E90" s="12">
        <v>194.86</v>
      </c>
      <c r="F90" s="119" t="str">
        <f t="shared" si="3"/>
        <v>FALSE</v>
      </c>
      <c r="G90" s="119">
        <f t="shared" si="6"/>
        <v>0</v>
      </c>
      <c r="H90" s="119">
        <f t="shared" si="5"/>
        <v>6.49</v>
      </c>
    </row>
    <row r="91" spans="2:8">
      <c r="B91" s="119" t="s">
        <v>143</v>
      </c>
      <c r="C91" s="119">
        <f>'CEN HUD'!F23</f>
        <v>145.99</v>
      </c>
      <c r="E91" s="12">
        <v>194.86</v>
      </c>
      <c r="F91" s="119" t="str">
        <f>IF(E91&lt;C91,"TRUE","FALSE")</f>
        <v>FALSE</v>
      </c>
      <c r="G91" s="119">
        <f t="shared" si="6"/>
        <v>0</v>
      </c>
      <c r="H91" s="119">
        <f t="shared" si="5"/>
        <v>145.99</v>
      </c>
    </row>
    <row r="92" spans="2:8">
      <c r="B92" s="119" t="s">
        <v>145</v>
      </c>
      <c r="C92" s="119">
        <f>'CEN HUD'!F24</f>
        <v>9.24</v>
      </c>
      <c r="E92" s="12">
        <v>194.86</v>
      </c>
      <c r="F92" s="119" t="str">
        <f t="shared" si="3"/>
        <v>FALSE</v>
      </c>
      <c r="G92" s="119">
        <f t="shared" si="6"/>
        <v>0</v>
      </c>
      <c r="H92" s="119">
        <f t="shared" si="5"/>
        <v>9.24</v>
      </c>
    </row>
    <row r="93" spans="2:8">
      <c r="B93" s="119" t="s">
        <v>147</v>
      </c>
      <c r="C93" s="119">
        <f>'CEN HUD'!F25</f>
        <v>9.129999999999999</v>
      </c>
      <c r="E93" s="12">
        <v>194.86</v>
      </c>
      <c r="F93" s="119" t="str">
        <f t="shared" si="3"/>
        <v>FALSE</v>
      </c>
      <c r="G93" s="119">
        <f t="shared" si="6"/>
        <v>0</v>
      </c>
      <c r="H93" s="119">
        <f t="shared" si="5"/>
        <v>9.129999999999999</v>
      </c>
    </row>
    <row r="94" spans="2:8">
      <c r="B94" s="119" t="s">
        <v>589</v>
      </c>
      <c r="C94" s="119">
        <f>'CEN HUD'!F26</f>
        <v>9.129999999999999</v>
      </c>
      <c r="E94" s="12">
        <v>194.86</v>
      </c>
      <c r="F94" s="119" t="str">
        <f t="shared" si="3"/>
        <v>FALSE</v>
      </c>
      <c r="G94" s="119">
        <f t="shared" si="6"/>
        <v>0</v>
      </c>
      <c r="H94" s="119">
        <f t="shared" si="5"/>
        <v>9.129999999999999</v>
      </c>
    </row>
    <row r="95" spans="2:8">
      <c r="B95" s="119" t="s">
        <v>590</v>
      </c>
      <c r="C95" s="119">
        <f>'CEN HUD'!F27</f>
        <v>9.2099999999999991</v>
      </c>
      <c r="E95" s="12">
        <v>194.86</v>
      </c>
      <c r="F95" s="119" t="str">
        <f t="shared" si="3"/>
        <v>FALSE</v>
      </c>
      <c r="G95" s="119">
        <f t="shared" si="6"/>
        <v>0</v>
      </c>
      <c r="H95" s="119">
        <f t="shared" si="5"/>
        <v>9.2099999999999991</v>
      </c>
    </row>
    <row r="96" spans="2:8">
      <c r="B96" s="119" t="s">
        <v>591</v>
      </c>
      <c r="C96" s="119">
        <f>'CEN HUD'!F28</f>
        <v>9.129999999999999</v>
      </c>
      <c r="E96" s="12">
        <v>194.86</v>
      </c>
      <c r="F96" s="119" t="str">
        <f t="shared" si="3"/>
        <v>FALSE</v>
      </c>
      <c r="G96" s="119">
        <f t="shared" si="6"/>
        <v>0</v>
      </c>
      <c r="H96" s="119">
        <f t="shared" si="5"/>
        <v>9.129999999999999</v>
      </c>
    </row>
    <row r="97" spans="2:8">
      <c r="B97" s="119" t="s">
        <v>155</v>
      </c>
      <c r="C97" s="119">
        <f>'CEN HUD'!F29</f>
        <v>87.550000000000011</v>
      </c>
      <c r="E97" s="12">
        <v>194.86</v>
      </c>
      <c r="F97" s="119" t="str">
        <f t="shared" si="3"/>
        <v>FALSE</v>
      </c>
      <c r="G97" s="119">
        <f t="shared" si="6"/>
        <v>0</v>
      </c>
      <c r="H97" s="119">
        <f t="shared" si="5"/>
        <v>87.550000000000011</v>
      </c>
    </row>
    <row r="98" spans="2:8">
      <c r="B98" s="119" t="s">
        <v>592</v>
      </c>
      <c r="C98" s="119">
        <f>'CEN HUD'!F30</f>
        <v>9.129999999999999</v>
      </c>
      <c r="E98" s="12">
        <v>194.86</v>
      </c>
      <c r="F98" s="119" t="str">
        <f t="shared" si="3"/>
        <v>FALSE</v>
      </c>
      <c r="G98" s="119">
        <f t="shared" si="6"/>
        <v>0</v>
      </c>
      <c r="H98" s="119">
        <f t="shared" si="5"/>
        <v>9.129999999999999</v>
      </c>
    </row>
    <row r="99" spans="2:8">
      <c r="B99" s="119" t="s">
        <v>593</v>
      </c>
      <c r="C99" s="119">
        <f>'CEN HUD'!F31</f>
        <v>9.129999999999999</v>
      </c>
      <c r="E99" s="12">
        <v>194.86</v>
      </c>
      <c r="F99" s="119" t="str">
        <f t="shared" si="3"/>
        <v>FALSE</v>
      </c>
      <c r="G99" s="119">
        <f t="shared" si="6"/>
        <v>0</v>
      </c>
      <c r="H99" s="119">
        <f t="shared" si="5"/>
        <v>9.129999999999999</v>
      </c>
    </row>
    <row r="100" spans="2:8">
      <c r="B100" s="119" t="s">
        <v>594</v>
      </c>
      <c r="C100" s="119">
        <f>'CEN HUD'!F32</f>
        <v>9.14</v>
      </c>
      <c r="E100" s="12">
        <v>194.86</v>
      </c>
      <c r="F100" s="119" t="str">
        <f t="shared" si="3"/>
        <v>FALSE</v>
      </c>
      <c r="G100" s="119">
        <f t="shared" si="6"/>
        <v>0</v>
      </c>
      <c r="H100" s="119">
        <f t="shared" si="5"/>
        <v>9.14</v>
      </c>
    </row>
    <row r="101" spans="2:8">
      <c r="B101" s="119" t="s">
        <v>595</v>
      </c>
      <c r="C101" s="119">
        <f>'CEN HUD'!F33</f>
        <v>9.64</v>
      </c>
      <c r="E101" s="12">
        <v>194.86</v>
      </c>
      <c r="F101" s="119" t="str">
        <f t="shared" si="3"/>
        <v>FALSE</v>
      </c>
      <c r="G101" s="119">
        <f t="shared" si="6"/>
        <v>0</v>
      </c>
      <c r="H101" s="119">
        <f t="shared" si="5"/>
        <v>9.64</v>
      </c>
    </row>
    <row r="102" spans="2:8">
      <c r="B102" s="119" t="s">
        <v>596</v>
      </c>
      <c r="C102" s="119">
        <f>'CEN HUD'!F34</f>
        <v>9.1499999999999986</v>
      </c>
      <c r="E102" s="12">
        <v>194.86</v>
      </c>
      <c r="F102" s="119" t="str">
        <f t="shared" si="3"/>
        <v>FALSE</v>
      </c>
      <c r="G102" s="119">
        <f t="shared" si="6"/>
        <v>0</v>
      </c>
      <c r="H102" s="119">
        <f t="shared" si="5"/>
        <v>9.1499999999999986</v>
      </c>
    </row>
    <row r="103" spans="2:8">
      <c r="B103" s="119" t="s">
        <v>167</v>
      </c>
      <c r="C103" s="119">
        <f>'CEN HUD'!F35</f>
        <v>6.62</v>
      </c>
      <c r="E103" s="12">
        <v>194.86</v>
      </c>
      <c r="F103" s="119" t="str">
        <f t="shared" si="3"/>
        <v>FALSE</v>
      </c>
      <c r="G103" s="119">
        <f t="shared" si="6"/>
        <v>0</v>
      </c>
      <c r="H103" s="119">
        <f t="shared" si="5"/>
        <v>6.62</v>
      </c>
    </row>
    <row r="104" spans="2:8">
      <c r="B104" s="119" t="s">
        <v>168</v>
      </c>
      <c r="C104" s="119">
        <f>'CEN HUD'!F36</f>
        <v>6.6</v>
      </c>
      <c r="E104" s="12">
        <v>194.86</v>
      </c>
      <c r="F104" s="119" t="str">
        <f t="shared" si="3"/>
        <v>FALSE</v>
      </c>
      <c r="G104" s="119">
        <f t="shared" si="6"/>
        <v>0</v>
      </c>
      <c r="H104" s="119">
        <f t="shared" si="5"/>
        <v>6.6</v>
      </c>
    </row>
    <row r="105" spans="2:8">
      <c r="B105" s="119" t="s">
        <v>170</v>
      </c>
      <c r="C105" s="119">
        <f>'CEN HUD'!F37</f>
        <v>9.6499999999999986</v>
      </c>
      <c r="E105" s="12">
        <v>194.86</v>
      </c>
      <c r="F105" s="119" t="str">
        <f t="shared" si="3"/>
        <v>FALSE</v>
      </c>
      <c r="G105" s="119">
        <f t="shared" si="6"/>
        <v>0</v>
      </c>
      <c r="H105" s="119">
        <f t="shared" si="5"/>
        <v>9.6499999999999986</v>
      </c>
    </row>
    <row r="106" spans="2:8">
      <c r="B106" s="119" t="s">
        <v>171</v>
      </c>
      <c r="C106" s="119">
        <f>'CEN HUD'!F38</f>
        <v>9.3000000000000007</v>
      </c>
      <c r="E106" s="12">
        <v>194.86</v>
      </c>
      <c r="F106" s="119" t="str">
        <f t="shared" si="3"/>
        <v>FALSE</v>
      </c>
      <c r="G106" s="119">
        <f t="shared" si="6"/>
        <v>0</v>
      </c>
      <c r="H106" s="119">
        <f t="shared" si="5"/>
        <v>9.3000000000000007</v>
      </c>
    </row>
    <row r="107" spans="2:8">
      <c r="B107" s="119" t="s">
        <v>172</v>
      </c>
      <c r="C107" s="119">
        <f>'CEN HUD'!F39</f>
        <v>9.129999999999999</v>
      </c>
      <c r="E107" s="12">
        <v>194.86</v>
      </c>
      <c r="F107" s="119" t="str">
        <f t="shared" si="3"/>
        <v>FALSE</v>
      </c>
      <c r="G107" s="119">
        <f t="shared" si="6"/>
        <v>0</v>
      </c>
      <c r="H107" s="119">
        <f t="shared" si="5"/>
        <v>9.129999999999999</v>
      </c>
    </row>
    <row r="108" spans="2:8">
      <c r="B108" s="119" t="s">
        <v>173</v>
      </c>
      <c r="C108" s="119">
        <f>'CEN HUD'!F40</f>
        <v>9.35</v>
      </c>
      <c r="E108" s="12">
        <v>194.86</v>
      </c>
      <c r="F108" s="119" t="str">
        <f t="shared" si="3"/>
        <v>FALSE</v>
      </c>
      <c r="G108" s="119">
        <f t="shared" si="6"/>
        <v>0</v>
      </c>
      <c r="H108" s="119">
        <f t="shared" si="5"/>
        <v>9.35</v>
      </c>
    </row>
    <row r="109" spans="2:8">
      <c r="B109" s="119" t="s">
        <v>174</v>
      </c>
      <c r="C109" s="119">
        <f>'CEN HUD'!F41</f>
        <v>14.76</v>
      </c>
      <c r="E109" s="12">
        <v>194.86</v>
      </c>
      <c r="F109" s="119" t="str">
        <f t="shared" si="3"/>
        <v>FALSE</v>
      </c>
      <c r="G109" s="119">
        <f t="shared" si="6"/>
        <v>0</v>
      </c>
      <c r="H109" s="119">
        <f t="shared" si="5"/>
        <v>14.76</v>
      </c>
    </row>
    <row r="110" spans="2:8">
      <c r="B110" s="119" t="s">
        <v>176</v>
      </c>
      <c r="C110" s="119">
        <f>'CEN HUD'!F42</f>
        <v>9.18</v>
      </c>
      <c r="E110" s="12">
        <v>194.86</v>
      </c>
      <c r="F110" s="119" t="str">
        <f t="shared" si="3"/>
        <v>FALSE</v>
      </c>
      <c r="G110" s="119">
        <f t="shared" si="6"/>
        <v>0</v>
      </c>
      <c r="H110" s="119">
        <f t="shared" si="5"/>
        <v>9.18</v>
      </c>
    </row>
    <row r="111" spans="2:8">
      <c r="B111" s="119" t="s">
        <v>177</v>
      </c>
      <c r="C111" s="119">
        <f>'CEN HUD'!F43</f>
        <v>9.16</v>
      </c>
      <c r="E111" s="12">
        <v>194.86</v>
      </c>
      <c r="F111" s="119" t="str">
        <f t="shared" si="3"/>
        <v>FALSE</v>
      </c>
      <c r="G111" s="119">
        <f t="shared" si="6"/>
        <v>0</v>
      </c>
      <c r="H111" s="119">
        <f t="shared" si="5"/>
        <v>9.16</v>
      </c>
    </row>
    <row r="112" spans="2:8">
      <c r="B112" s="119" t="s">
        <v>178</v>
      </c>
      <c r="C112" s="119">
        <f>'CEN HUD'!F44</f>
        <v>9.129999999999999</v>
      </c>
      <c r="E112" s="12">
        <v>194.86</v>
      </c>
      <c r="F112" s="119" t="str">
        <f t="shared" si="3"/>
        <v>FALSE</v>
      </c>
      <c r="G112" s="119">
        <f t="shared" si="6"/>
        <v>0</v>
      </c>
      <c r="H112" s="119">
        <f t="shared" si="5"/>
        <v>9.129999999999999</v>
      </c>
    </row>
    <row r="113" spans="2:8">
      <c r="B113" s="119" t="s">
        <v>179</v>
      </c>
      <c r="C113" s="119">
        <f>'CEN HUD'!F45</f>
        <v>9.129999999999999</v>
      </c>
      <c r="E113" s="12">
        <v>194.86</v>
      </c>
      <c r="F113" s="119" t="str">
        <f t="shared" si="3"/>
        <v>FALSE</v>
      </c>
      <c r="G113" s="119">
        <f t="shared" si="6"/>
        <v>0</v>
      </c>
      <c r="H113" s="119">
        <f t="shared" si="5"/>
        <v>9.129999999999999</v>
      </c>
    </row>
    <row r="114" spans="2:8">
      <c r="B114" s="119" t="s">
        <v>180</v>
      </c>
      <c r="C114" s="119">
        <f>'CEN HUD'!F46</f>
        <v>9.16</v>
      </c>
      <c r="E114" s="12">
        <v>194.86</v>
      </c>
      <c r="F114" s="119" t="str">
        <f t="shared" si="3"/>
        <v>FALSE</v>
      </c>
      <c r="G114" s="119">
        <f t="shared" si="6"/>
        <v>0</v>
      </c>
      <c r="H114" s="119">
        <f t="shared" si="5"/>
        <v>9.16</v>
      </c>
    </row>
    <row r="115" spans="2:8">
      <c r="B115" s="119" t="s">
        <v>181</v>
      </c>
      <c r="C115" s="119">
        <f>'CEN HUD'!F47</f>
        <v>63.6</v>
      </c>
      <c r="E115" s="12">
        <v>194.86</v>
      </c>
      <c r="F115" s="119" t="str">
        <f t="shared" si="3"/>
        <v>FALSE</v>
      </c>
      <c r="G115" s="119">
        <f t="shared" si="6"/>
        <v>0</v>
      </c>
      <c r="H115" s="119">
        <f t="shared" si="5"/>
        <v>63.6</v>
      </c>
    </row>
    <row r="116" spans="2:8">
      <c r="B116" s="119" t="s">
        <v>182</v>
      </c>
      <c r="C116" s="119">
        <f>'CEN HUD'!F48</f>
        <v>9.2099999999999991</v>
      </c>
      <c r="E116" s="12">
        <v>194.86</v>
      </c>
      <c r="F116" s="119" t="str">
        <f t="shared" si="3"/>
        <v>FALSE</v>
      </c>
      <c r="G116" s="119">
        <f t="shared" si="6"/>
        <v>0</v>
      </c>
      <c r="H116" s="119">
        <f t="shared" si="5"/>
        <v>9.2099999999999991</v>
      </c>
    </row>
    <row r="117" spans="2:8">
      <c r="B117" s="119" t="s">
        <v>183</v>
      </c>
      <c r="C117" s="119">
        <f>'CEN HUD'!F49</f>
        <v>9.1999999999999993</v>
      </c>
      <c r="E117" s="12">
        <v>194.86</v>
      </c>
      <c r="F117" s="119" t="str">
        <f t="shared" si="3"/>
        <v>FALSE</v>
      </c>
      <c r="G117" s="119">
        <f t="shared" si="6"/>
        <v>0</v>
      </c>
      <c r="H117" s="119">
        <f t="shared" si="5"/>
        <v>9.1999999999999993</v>
      </c>
    </row>
    <row r="118" spans="2:8">
      <c r="B118" s="119" t="s">
        <v>184</v>
      </c>
      <c r="C118" s="119">
        <f>'CEN HUD'!F50</f>
        <v>9.14</v>
      </c>
      <c r="E118" s="12">
        <v>194.86</v>
      </c>
      <c r="F118" s="119" t="str">
        <f t="shared" si="3"/>
        <v>FALSE</v>
      </c>
      <c r="G118" s="119">
        <f t="shared" si="6"/>
        <v>0</v>
      </c>
      <c r="H118" s="119">
        <f t="shared" si="5"/>
        <v>9.14</v>
      </c>
    </row>
    <row r="119" spans="2:8">
      <c r="B119" s="119" t="s">
        <v>185</v>
      </c>
      <c r="C119" s="119">
        <f>'CEN HUD'!F51</f>
        <v>9.51</v>
      </c>
      <c r="E119" s="12">
        <v>194.86</v>
      </c>
      <c r="F119" s="119" t="str">
        <f t="shared" si="3"/>
        <v>FALSE</v>
      </c>
      <c r="G119" s="119">
        <f t="shared" si="6"/>
        <v>0</v>
      </c>
      <c r="H119" s="119">
        <f t="shared" si="5"/>
        <v>9.51</v>
      </c>
    </row>
    <row r="120" spans="2:8">
      <c r="B120" s="119" t="s">
        <v>186</v>
      </c>
      <c r="C120" s="119">
        <f>'CEN HUD'!F52</f>
        <v>9.14</v>
      </c>
      <c r="E120" s="12">
        <v>194.86</v>
      </c>
      <c r="F120" s="119" t="str">
        <f t="shared" si="3"/>
        <v>FALSE</v>
      </c>
      <c r="G120" s="119">
        <f t="shared" si="6"/>
        <v>0</v>
      </c>
      <c r="H120" s="119">
        <f t="shared" si="5"/>
        <v>9.14</v>
      </c>
    </row>
    <row r="121" spans="2:8">
      <c r="B121" s="119" t="s">
        <v>187</v>
      </c>
      <c r="C121" s="119">
        <f>'CEN HUD'!F53</f>
        <v>9.3999999999999986</v>
      </c>
      <c r="E121" s="12">
        <v>194.86</v>
      </c>
      <c r="F121" s="119" t="str">
        <f t="shared" si="3"/>
        <v>FALSE</v>
      </c>
      <c r="G121" s="119">
        <f t="shared" si="6"/>
        <v>0</v>
      </c>
      <c r="H121" s="119">
        <f t="shared" si="5"/>
        <v>9.3999999999999986</v>
      </c>
    </row>
    <row r="122" spans="2:8">
      <c r="B122" s="119" t="s">
        <v>188</v>
      </c>
      <c r="C122" s="119">
        <f>'CEN HUD'!F54</f>
        <v>9.1499999999999986</v>
      </c>
      <c r="E122" s="12">
        <v>194.86</v>
      </c>
      <c r="F122" s="119" t="str">
        <f t="shared" si="3"/>
        <v>FALSE</v>
      </c>
      <c r="G122" s="119">
        <f t="shared" si="6"/>
        <v>0</v>
      </c>
      <c r="H122" s="119">
        <f t="shared" si="5"/>
        <v>9.1499999999999986</v>
      </c>
    </row>
    <row r="123" spans="2:8">
      <c r="B123" s="119" t="s">
        <v>189</v>
      </c>
      <c r="C123" s="119">
        <f>'CEN HUD'!F55</f>
        <v>9.19</v>
      </c>
      <c r="E123" s="12">
        <v>194.86</v>
      </c>
      <c r="F123" s="119" t="str">
        <f t="shared" si="3"/>
        <v>FALSE</v>
      </c>
      <c r="G123" s="119">
        <f t="shared" si="6"/>
        <v>0</v>
      </c>
      <c r="H123" s="119">
        <f t="shared" si="5"/>
        <v>9.19</v>
      </c>
    </row>
    <row r="124" spans="2:8">
      <c r="B124" s="119" t="s">
        <v>190</v>
      </c>
      <c r="C124" s="119">
        <f>'CEN HUD'!F56</f>
        <v>9.129999999999999</v>
      </c>
      <c r="E124" s="12">
        <v>194.86</v>
      </c>
      <c r="F124" s="119" t="str">
        <f t="shared" si="3"/>
        <v>FALSE</v>
      </c>
      <c r="G124" s="119">
        <f t="shared" si="6"/>
        <v>0</v>
      </c>
      <c r="H124" s="119">
        <f t="shared" si="5"/>
        <v>9.129999999999999</v>
      </c>
    </row>
    <row r="125" spans="2:8">
      <c r="B125" s="119" t="s">
        <v>191</v>
      </c>
      <c r="C125" s="119">
        <f>'CEN HUD'!F57</f>
        <v>9.48</v>
      </c>
      <c r="E125" s="12">
        <v>194.86</v>
      </c>
      <c r="F125" s="119" t="str">
        <f t="shared" si="3"/>
        <v>FALSE</v>
      </c>
      <c r="G125" s="119">
        <f t="shared" si="6"/>
        <v>0</v>
      </c>
      <c r="H125" s="119">
        <f t="shared" si="5"/>
        <v>9.48</v>
      </c>
    </row>
    <row r="126" spans="2:8">
      <c r="B126" s="119" t="s">
        <v>192</v>
      </c>
      <c r="C126" s="119">
        <f>'CEN HUD'!F58</f>
        <v>9.2099999999999991</v>
      </c>
      <c r="E126" s="12">
        <v>194.86</v>
      </c>
      <c r="F126" s="119" t="str">
        <f t="shared" si="3"/>
        <v>FALSE</v>
      </c>
      <c r="G126" s="119">
        <f t="shared" si="6"/>
        <v>0</v>
      </c>
      <c r="H126" s="119">
        <f t="shared" si="5"/>
        <v>9.2099999999999991</v>
      </c>
    </row>
    <row r="127" spans="2:8">
      <c r="B127" s="119" t="s">
        <v>194</v>
      </c>
      <c r="C127" s="119">
        <f>'CEN HUD'!F59</f>
        <v>58.04</v>
      </c>
      <c r="E127" s="12">
        <v>194.86</v>
      </c>
      <c r="F127" s="119" t="str">
        <f t="shared" si="3"/>
        <v>FALSE</v>
      </c>
      <c r="G127" s="119">
        <f t="shared" si="6"/>
        <v>0</v>
      </c>
      <c r="H127" s="119">
        <f t="shared" si="5"/>
        <v>58.04</v>
      </c>
    </row>
    <row r="128" spans="2:8">
      <c r="B128" s="119" t="s">
        <v>195</v>
      </c>
      <c r="C128" s="119">
        <f>'CEN HUD'!F60</f>
        <v>9.2899999999999991</v>
      </c>
      <c r="E128" s="12">
        <v>194.86</v>
      </c>
      <c r="F128" s="119" t="str">
        <f t="shared" si="3"/>
        <v>FALSE</v>
      </c>
      <c r="G128" s="119">
        <f t="shared" si="6"/>
        <v>0</v>
      </c>
      <c r="H128" s="119">
        <f t="shared" si="5"/>
        <v>9.2899999999999991</v>
      </c>
    </row>
    <row r="129" spans="1:13">
      <c r="A129" s="119"/>
      <c r="B129" s="119" t="s">
        <v>197</v>
      </c>
      <c r="C129" s="119">
        <f>'CEN HUD'!F61</f>
        <v>9.26</v>
      </c>
      <c r="E129" s="12">
        <v>194.86</v>
      </c>
      <c r="F129" s="119" t="str">
        <f t="shared" si="3"/>
        <v>FALSE</v>
      </c>
      <c r="G129" s="119">
        <f t="shared" si="6"/>
        <v>0</v>
      </c>
      <c r="H129" s="119">
        <f t="shared" si="5"/>
        <v>9.26</v>
      </c>
      <c r="I129" s="119"/>
      <c r="J129" s="119"/>
      <c r="K129" s="119"/>
      <c r="L129" s="119"/>
      <c r="M129" s="119"/>
    </row>
    <row r="130" spans="1:13">
      <c r="A130" s="119"/>
      <c r="B130" s="119" t="s">
        <v>198</v>
      </c>
      <c r="C130" s="119">
        <f>'CEN HUD'!F62</f>
        <v>9.3099999999999987</v>
      </c>
      <c r="E130" s="12">
        <v>194.86</v>
      </c>
      <c r="F130" s="119" t="str">
        <f t="shared" si="3"/>
        <v>FALSE</v>
      </c>
      <c r="G130" s="119">
        <f t="shared" si="6"/>
        <v>0</v>
      </c>
      <c r="H130" s="119">
        <f t="shared" si="5"/>
        <v>9.3099999999999987</v>
      </c>
      <c r="I130" s="119"/>
      <c r="J130" s="119"/>
      <c r="K130" s="119"/>
      <c r="L130" s="119"/>
      <c r="M130" s="119"/>
    </row>
    <row r="131" spans="1:13">
      <c r="A131" s="119"/>
      <c r="B131" s="119" t="s">
        <v>199</v>
      </c>
      <c r="C131" s="119">
        <f>'CEN HUD'!F63</f>
        <v>9.129999999999999</v>
      </c>
      <c r="E131" s="12">
        <v>194.86</v>
      </c>
      <c r="F131" s="119" t="str">
        <f t="shared" si="3"/>
        <v>FALSE</v>
      </c>
      <c r="G131" s="119">
        <f t="shared" si="6"/>
        <v>0</v>
      </c>
      <c r="H131" s="119">
        <f t="shared" si="5"/>
        <v>9.129999999999999</v>
      </c>
      <c r="I131" s="119"/>
      <c r="J131" s="119"/>
      <c r="K131" s="119"/>
      <c r="L131" s="119"/>
      <c r="M131" s="119"/>
    </row>
    <row r="132" spans="1:13">
      <c r="A132" s="119"/>
      <c r="B132" s="119" t="s">
        <v>200</v>
      </c>
      <c r="C132" s="119">
        <f>'CEN HUD'!F64</f>
        <v>9.129999999999999</v>
      </c>
      <c r="E132" s="12">
        <v>194.86</v>
      </c>
      <c r="F132" s="119" t="str">
        <f t="shared" ref="F132:F195" si="7">IF(E132&lt;C132,"TRUE","FALSE")</f>
        <v>FALSE</v>
      </c>
      <c r="G132" s="119">
        <f t="shared" si="6"/>
        <v>0</v>
      </c>
      <c r="H132" s="119">
        <f t="shared" si="5"/>
        <v>9.129999999999999</v>
      </c>
      <c r="I132" s="119"/>
      <c r="J132" s="119"/>
      <c r="K132" s="119"/>
      <c r="L132" s="119"/>
      <c r="M132" s="119"/>
    </row>
    <row r="133" spans="1:13">
      <c r="A133" s="119"/>
      <c r="B133" s="119" t="s">
        <v>201</v>
      </c>
      <c r="C133" s="119">
        <f>'CEN HUD'!F65</f>
        <v>10.220000000000001</v>
      </c>
      <c r="E133" s="12">
        <v>194.86</v>
      </c>
      <c r="F133" s="119" t="str">
        <f t="shared" si="7"/>
        <v>FALSE</v>
      </c>
      <c r="G133" s="119">
        <f t="shared" si="6"/>
        <v>0</v>
      </c>
      <c r="H133" s="119">
        <f t="shared" ref="H133:H196" si="8">IF(F133="False",C133,C133-(G133))</f>
        <v>10.220000000000001</v>
      </c>
      <c r="I133" s="119"/>
      <c r="J133" s="119"/>
      <c r="K133" s="119"/>
      <c r="L133" s="119"/>
      <c r="M133" s="119"/>
    </row>
    <row r="134" spans="1:13">
      <c r="A134" s="119"/>
      <c r="B134" s="119" t="s">
        <v>202</v>
      </c>
      <c r="C134" s="119">
        <f>'CEN HUD'!F66</f>
        <v>9.2899999999999991</v>
      </c>
      <c r="E134" s="12">
        <v>194.86</v>
      </c>
      <c r="F134" s="119" t="str">
        <f t="shared" si="7"/>
        <v>FALSE</v>
      </c>
      <c r="G134" s="119">
        <f t="shared" si="6"/>
        <v>0</v>
      </c>
      <c r="H134" s="119">
        <f t="shared" si="8"/>
        <v>9.2899999999999991</v>
      </c>
      <c r="I134" s="119"/>
      <c r="J134" s="119"/>
      <c r="K134" s="119"/>
      <c r="L134" s="119"/>
      <c r="M134" s="119"/>
    </row>
    <row r="135" spans="1:13">
      <c r="A135" s="119"/>
      <c r="B135" s="119" t="s">
        <v>203</v>
      </c>
      <c r="C135" s="119">
        <f>'CEN HUD'!F67</f>
        <v>9.129999999999999</v>
      </c>
      <c r="E135" s="12">
        <v>194.86</v>
      </c>
      <c r="F135" s="119" t="str">
        <f t="shared" si="7"/>
        <v>FALSE</v>
      </c>
      <c r="G135" s="119">
        <f t="shared" si="6"/>
        <v>0</v>
      </c>
      <c r="H135" s="119">
        <f t="shared" si="8"/>
        <v>9.129999999999999</v>
      </c>
      <c r="I135" s="119"/>
      <c r="J135" s="119"/>
      <c r="K135" s="119"/>
      <c r="L135" s="119"/>
      <c r="M135" s="119"/>
    </row>
    <row r="136" spans="1:13">
      <c r="A136" s="119"/>
      <c r="B136" s="119" t="s">
        <v>204</v>
      </c>
      <c r="C136" s="119">
        <f>'CEN HUD'!F68</f>
        <v>9.14</v>
      </c>
      <c r="E136" s="12">
        <v>194.86</v>
      </c>
      <c r="F136" s="119" t="str">
        <f t="shared" si="7"/>
        <v>FALSE</v>
      </c>
      <c r="G136" s="119">
        <f t="shared" si="6"/>
        <v>0</v>
      </c>
      <c r="H136" s="119">
        <f t="shared" si="8"/>
        <v>9.14</v>
      </c>
      <c r="I136" s="119"/>
      <c r="J136" s="119"/>
      <c r="K136" s="119"/>
      <c r="L136" s="119"/>
      <c r="M136" s="119"/>
    </row>
    <row r="137" spans="1:13">
      <c r="A137" s="119" t="s">
        <v>597</v>
      </c>
      <c r="B137" s="119"/>
      <c r="C137" s="119"/>
      <c r="F137" s="119"/>
      <c r="G137" s="119"/>
      <c r="H137" s="119"/>
      <c r="I137" s="119"/>
      <c r="J137" s="119"/>
      <c r="K137" s="119"/>
      <c r="L137" s="119"/>
      <c r="M137" s="119"/>
    </row>
    <row r="138" spans="1:13">
      <c r="A138" s="119"/>
      <c r="B138" s="1" t="s">
        <v>210</v>
      </c>
      <c r="C138" s="95">
        <f>'data for stata'!D135</f>
        <v>188.73172532108725</v>
      </c>
      <c r="D138" s="9">
        <f>SUMPRODUCT(C138:C288,'data for stata'!C135:C285)/SUM('data for stata'!C135:C285)</f>
        <v>146.59043157784325</v>
      </c>
      <c r="E138" s="12">
        <v>208.86</v>
      </c>
      <c r="F138" s="119" t="str">
        <f t="shared" si="7"/>
        <v>FALSE</v>
      </c>
      <c r="G138" s="119">
        <f>IF(F138="FALSE",0,E$138-D$138)</f>
        <v>0</v>
      </c>
      <c r="H138" s="119">
        <f t="shared" si="8"/>
        <v>188.73172532108725</v>
      </c>
      <c r="I138" s="9">
        <f>SUMPRODUCT(H138:H288,'data for stata'!C135:C285)/SUM('data for stata'!C135:C285)</f>
        <v>136.64924785274474</v>
      </c>
      <c r="J138" s="119">
        <f>E138-I138</f>
        <v>72.210752147255278</v>
      </c>
      <c r="K138" s="119">
        <f>L138-M138</f>
        <v>28</v>
      </c>
      <c r="L138" s="119">
        <f>COUNT(G138:G288)</f>
        <v>151</v>
      </c>
      <c r="M138" s="119">
        <f>COUNTIF(G138:G288,0)</f>
        <v>123</v>
      </c>
    </row>
    <row r="139" spans="1:13">
      <c r="A139" s="119"/>
      <c r="B139" s="1" t="s">
        <v>212</v>
      </c>
      <c r="C139" s="95">
        <f>'data for stata'!D136</f>
        <v>90.951576847302505</v>
      </c>
      <c r="E139" s="12">
        <v>208.86</v>
      </c>
      <c r="F139" s="119" t="str">
        <f t="shared" si="7"/>
        <v>FALSE</v>
      </c>
      <c r="G139" s="119">
        <f t="shared" ref="G139:G202" si="9">IF(F139="FALSE",0,E$138-D$138)</f>
        <v>0</v>
      </c>
      <c r="H139" s="119">
        <f t="shared" si="8"/>
        <v>90.951576847302505</v>
      </c>
      <c r="I139" s="119"/>
      <c r="J139" s="119"/>
      <c r="K139" s="119"/>
      <c r="L139" s="119"/>
      <c r="M139" s="119"/>
    </row>
    <row r="140" spans="1:13">
      <c r="A140" s="119"/>
      <c r="B140" s="1" t="s">
        <v>214</v>
      </c>
      <c r="C140" s="95">
        <f>'data for stata'!D137</f>
        <v>93.183626459270172</v>
      </c>
      <c r="E140" s="12">
        <v>208.86</v>
      </c>
      <c r="F140" s="119" t="str">
        <f t="shared" si="7"/>
        <v>FALSE</v>
      </c>
      <c r="G140" s="119">
        <f t="shared" si="9"/>
        <v>0</v>
      </c>
      <c r="H140" s="119">
        <f t="shared" si="8"/>
        <v>93.183626459270172</v>
      </c>
      <c r="I140" s="119"/>
      <c r="J140" s="119"/>
      <c r="K140" s="119"/>
      <c r="L140" s="119"/>
      <c r="M140" s="119"/>
    </row>
    <row r="141" spans="1:13">
      <c r="A141" s="119"/>
      <c r="B141" s="1" t="s">
        <v>216</v>
      </c>
      <c r="C141" s="95">
        <f>'data for stata'!D138</f>
        <v>116.61898264993816</v>
      </c>
      <c r="E141" s="12">
        <v>208.86</v>
      </c>
      <c r="F141" s="119" t="str">
        <f t="shared" si="7"/>
        <v>FALSE</v>
      </c>
      <c r="G141" s="119">
        <f t="shared" si="9"/>
        <v>0</v>
      </c>
      <c r="H141" s="119">
        <f t="shared" si="8"/>
        <v>116.61898264993816</v>
      </c>
      <c r="I141" s="119"/>
      <c r="J141" s="119"/>
      <c r="K141" s="119"/>
      <c r="L141" s="119"/>
      <c r="M141" s="119"/>
    </row>
    <row r="142" spans="1:13">
      <c r="A142" s="119"/>
      <c r="B142" s="1" t="s">
        <v>218</v>
      </c>
      <c r="C142" s="95">
        <f>'data for stata'!D139</f>
        <v>129.24642842279178</v>
      </c>
      <c r="E142" s="12">
        <v>208.86</v>
      </c>
      <c r="F142" s="119" t="str">
        <f t="shared" si="7"/>
        <v>FALSE</v>
      </c>
      <c r="G142" s="119">
        <f t="shared" si="9"/>
        <v>0</v>
      </c>
      <c r="H142" s="119">
        <f t="shared" si="8"/>
        <v>129.24642842279178</v>
      </c>
      <c r="I142" s="119"/>
      <c r="J142" s="119"/>
      <c r="K142" s="119"/>
      <c r="L142" s="119"/>
      <c r="M142" s="119"/>
    </row>
    <row r="143" spans="1:13">
      <c r="A143" s="119"/>
      <c r="B143" s="1" t="s">
        <v>220</v>
      </c>
      <c r="C143" s="95">
        <f>'data for stata'!D140</f>
        <v>103.02145609296738</v>
      </c>
      <c r="E143" s="12">
        <v>208.86</v>
      </c>
      <c r="F143" s="119" t="str">
        <f t="shared" si="7"/>
        <v>FALSE</v>
      </c>
      <c r="G143" s="119">
        <f t="shared" si="9"/>
        <v>0</v>
      </c>
      <c r="H143" s="119">
        <f t="shared" si="8"/>
        <v>103.02145609296738</v>
      </c>
      <c r="I143" s="119"/>
      <c r="J143" s="119"/>
      <c r="K143" s="119"/>
      <c r="L143" s="119"/>
      <c r="M143" s="119"/>
    </row>
    <row r="144" spans="1:13">
      <c r="A144" s="119"/>
      <c r="B144" s="1" t="s">
        <v>222</v>
      </c>
      <c r="C144" s="95">
        <f>'data for stata'!D141</f>
        <v>228.95724999225513</v>
      </c>
      <c r="E144" s="12">
        <v>208.86</v>
      </c>
      <c r="F144" s="119" t="str">
        <f t="shared" si="7"/>
        <v>TRUE</v>
      </c>
      <c r="G144" s="119">
        <f t="shared" si="9"/>
        <v>62.269568422156766</v>
      </c>
      <c r="H144" s="119">
        <f t="shared" si="8"/>
        <v>166.68768157009836</v>
      </c>
      <c r="I144" s="119"/>
      <c r="J144" s="119"/>
      <c r="K144" s="119"/>
      <c r="L144" s="119"/>
      <c r="M144" s="119"/>
    </row>
    <row r="145" spans="2:8">
      <c r="B145" s="1" t="s">
        <v>224</v>
      </c>
      <c r="C145" s="95">
        <f>'data for stata'!D142</f>
        <v>79.565221274896899</v>
      </c>
      <c r="E145" s="12">
        <v>208.86</v>
      </c>
      <c r="F145" s="119" t="str">
        <f t="shared" si="7"/>
        <v>FALSE</v>
      </c>
      <c r="G145" s="119">
        <f t="shared" si="9"/>
        <v>0</v>
      </c>
      <c r="H145" s="119">
        <f t="shared" si="8"/>
        <v>79.565221274896899</v>
      </c>
    </row>
    <row r="146" spans="2:8">
      <c r="B146" s="2" t="s">
        <v>16</v>
      </c>
      <c r="C146" s="95">
        <f>'data for stata'!D143</f>
        <v>256.44518224462445</v>
      </c>
      <c r="E146" s="12">
        <v>208.86</v>
      </c>
      <c r="F146" s="119" t="str">
        <f t="shared" si="7"/>
        <v>TRUE</v>
      </c>
      <c r="G146" s="119">
        <f t="shared" si="9"/>
        <v>62.269568422156766</v>
      </c>
      <c r="H146" s="119">
        <f t="shared" si="8"/>
        <v>194.17561382246768</v>
      </c>
    </row>
    <row r="147" spans="2:8">
      <c r="B147" s="1" t="s">
        <v>227</v>
      </c>
      <c r="C147" s="95">
        <f>'data for stata'!D144</f>
        <v>120.84435994440867</v>
      </c>
      <c r="E147" s="12">
        <v>208.86</v>
      </c>
      <c r="F147" s="119" t="str">
        <f t="shared" si="7"/>
        <v>FALSE</v>
      </c>
      <c r="G147" s="119">
        <f t="shared" si="9"/>
        <v>0</v>
      </c>
      <c r="H147" s="119">
        <f t="shared" si="8"/>
        <v>120.84435994440867</v>
      </c>
    </row>
    <row r="148" spans="2:8">
      <c r="B148" s="1" t="s">
        <v>228</v>
      </c>
      <c r="C148" s="95">
        <f>'data for stata'!D145</f>
        <v>65.817916755074293</v>
      </c>
      <c r="E148" s="12">
        <v>208.86</v>
      </c>
      <c r="F148" s="119" t="str">
        <f t="shared" si="7"/>
        <v>FALSE</v>
      </c>
      <c r="G148" s="119">
        <f t="shared" si="9"/>
        <v>0</v>
      </c>
      <c r="H148" s="119">
        <f t="shared" si="8"/>
        <v>65.817916755074293</v>
      </c>
    </row>
    <row r="149" spans="2:8">
      <c r="B149" s="1" t="s">
        <v>229</v>
      </c>
      <c r="C149" s="95">
        <f>'data for stata'!D146</f>
        <v>124.92228103343817</v>
      </c>
      <c r="E149" s="12">
        <v>208.86</v>
      </c>
      <c r="F149" s="119" t="str">
        <f t="shared" si="7"/>
        <v>FALSE</v>
      </c>
      <c r="G149" s="119">
        <f t="shared" si="9"/>
        <v>0</v>
      </c>
      <c r="H149" s="119">
        <f t="shared" si="8"/>
        <v>124.92228103343817</v>
      </c>
    </row>
    <row r="150" spans="2:8">
      <c r="B150" s="1" t="s">
        <v>230</v>
      </c>
      <c r="C150" s="95">
        <f>'data for stata'!D147</f>
        <v>76.92563249467652</v>
      </c>
      <c r="E150" s="12">
        <v>208.86</v>
      </c>
      <c r="F150" s="119" t="str">
        <f t="shared" si="7"/>
        <v>FALSE</v>
      </c>
      <c r="G150" s="119">
        <f t="shared" si="9"/>
        <v>0</v>
      </c>
      <c r="H150" s="119">
        <f t="shared" si="8"/>
        <v>76.92563249467652</v>
      </c>
    </row>
    <row r="151" spans="2:8">
      <c r="B151" s="1" t="s">
        <v>231</v>
      </c>
      <c r="C151" s="95">
        <f>'data for stata'!D148</f>
        <v>201.56300902768987</v>
      </c>
      <c r="E151" s="12">
        <v>208.86</v>
      </c>
      <c r="F151" s="119" t="str">
        <f t="shared" si="7"/>
        <v>FALSE</v>
      </c>
      <c r="G151" s="119">
        <f t="shared" si="9"/>
        <v>0</v>
      </c>
      <c r="H151" s="119">
        <f t="shared" si="8"/>
        <v>201.56300902768987</v>
      </c>
    </row>
    <row r="152" spans="2:8">
      <c r="B152" s="1" t="s">
        <v>232</v>
      </c>
      <c r="C152" s="95">
        <f>'data for stata'!D149</f>
        <v>274.9768383029658</v>
      </c>
      <c r="E152" s="12">
        <v>208.86</v>
      </c>
      <c r="F152" s="119" t="str">
        <f t="shared" si="7"/>
        <v>TRUE</v>
      </c>
      <c r="G152" s="119">
        <f t="shared" si="9"/>
        <v>62.269568422156766</v>
      </c>
      <c r="H152" s="119">
        <f t="shared" si="8"/>
        <v>212.70726988080904</v>
      </c>
    </row>
    <row r="153" spans="2:8">
      <c r="B153" s="1" t="s">
        <v>234</v>
      </c>
      <c r="C153" s="95">
        <f>'data for stata'!D150</f>
        <v>155.83115980987907</v>
      </c>
      <c r="E153" s="12">
        <v>208.86</v>
      </c>
      <c r="F153" s="119" t="str">
        <f t="shared" si="7"/>
        <v>FALSE</v>
      </c>
      <c r="G153" s="119">
        <f t="shared" si="9"/>
        <v>0</v>
      </c>
      <c r="H153" s="119">
        <f t="shared" si="8"/>
        <v>155.83115980987907</v>
      </c>
    </row>
    <row r="154" spans="2:8">
      <c r="B154" s="1" t="s">
        <v>235</v>
      </c>
      <c r="C154" s="95">
        <f>'data for stata'!D151</f>
        <v>93.304740865745273</v>
      </c>
      <c r="E154" s="12">
        <v>208.86</v>
      </c>
      <c r="F154" s="119" t="str">
        <f t="shared" si="7"/>
        <v>FALSE</v>
      </c>
      <c r="G154" s="119">
        <f t="shared" si="9"/>
        <v>0</v>
      </c>
      <c r="H154" s="119">
        <f t="shared" si="8"/>
        <v>93.304740865745273</v>
      </c>
    </row>
    <row r="155" spans="2:8">
      <c r="B155" s="1" t="s">
        <v>236</v>
      </c>
      <c r="C155" s="95">
        <f>'data for stata'!D152</f>
        <v>139.30063637350119</v>
      </c>
      <c r="E155" s="12">
        <v>208.86</v>
      </c>
      <c r="F155" s="119" t="str">
        <f t="shared" si="7"/>
        <v>FALSE</v>
      </c>
      <c r="G155" s="119">
        <f t="shared" si="9"/>
        <v>0</v>
      </c>
      <c r="H155" s="119">
        <f t="shared" si="8"/>
        <v>139.30063637350119</v>
      </c>
    </row>
    <row r="156" spans="2:8">
      <c r="B156" s="1" t="s">
        <v>237</v>
      </c>
      <c r="C156" s="95">
        <f>'data for stata'!D153</f>
        <v>65.817916755074293</v>
      </c>
      <c r="E156" s="12">
        <v>208.86</v>
      </c>
      <c r="F156" s="119" t="str">
        <f t="shared" si="7"/>
        <v>FALSE</v>
      </c>
      <c r="G156" s="119">
        <f t="shared" si="9"/>
        <v>0</v>
      </c>
      <c r="H156" s="119">
        <f t="shared" si="8"/>
        <v>65.817916755074293</v>
      </c>
    </row>
    <row r="157" spans="2:8">
      <c r="B157" s="1" t="s">
        <v>238</v>
      </c>
      <c r="C157" s="95">
        <f>'data for stata'!D154</f>
        <v>65.817916755074293</v>
      </c>
      <c r="E157" s="12">
        <v>208.86</v>
      </c>
      <c r="F157" s="119" t="str">
        <f t="shared" si="7"/>
        <v>FALSE</v>
      </c>
      <c r="G157" s="119">
        <f t="shared" si="9"/>
        <v>0</v>
      </c>
      <c r="H157" s="119">
        <f t="shared" si="8"/>
        <v>65.817916755074293</v>
      </c>
    </row>
    <row r="158" spans="2:8">
      <c r="B158" s="1" t="s">
        <v>239</v>
      </c>
      <c r="C158" s="95">
        <f>'data for stata'!D155</f>
        <v>65.817916755074293</v>
      </c>
      <c r="E158" s="12">
        <v>208.86</v>
      </c>
      <c r="F158" s="119" t="str">
        <f t="shared" si="7"/>
        <v>FALSE</v>
      </c>
      <c r="G158" s="119">
        <f t="shared" si="9"/>
        <v>0</v>
      </c>
      <c r="H158" s="119">
        <f t="shared" si="8"/>
        <v>65.817916755074293</v>
      </c>
    </row>
    <row r="159" spans="2:8">
      <c r="B159" s="1" t="s">
        <v>240</v>
      </c>
      <c r="C159" s="95">
        <f>'data for stata'!D156</f>
        <v>65.817916755074293</v>
      </c>
      <c r="E159" s="12">
        <v>208.86</v>
      </c>
      <c r="F159" s="119" t="str">
        <f t="shared" si="7"/>
        <v>FALSE</v>
      </c>
      <c r="G159" s="119">
        <f t="shared" si="9"/>
        <v>0</v>
      </c>
      <c r="H159" s="119">
        <f t="shared" si="8"/>
        <v>65.817916755074293</v>
      </c>
    </row>
    <row r="160" spans="2:8">
      <c r="B160" s="1" t="s">
        <v>241</v>
      </c>
      <c r="C160" s="95">
        <f>'data for stata'!D157</f>
        <v>65.817916755074293</v>
      </c>
      <c r="E160" s="12">
        <v>208.86</v>
      </c>
      <c r="F160" s="119" t="str">
        <f t="shared" si="7"/>
        <v>FALSE</v>
      </c>
      <c r="G160" s="119">
        <f t="shared" si="9"/>
        <v>0</v>
      </c>
      <c r="H160" s="119">
        <f t="shared" si="8"/>
        <v>65.817916755074293</v>
      </c>
    </row>
    <row r="161" spans="2:8">
      <c r="B161" s="1" t="s">
        <v>242</v>
      </c>
      <c r="C161" s="95">
        <f>'data for stata'!D158</f>
        <v>65.817916755074293</v>
      </c>
      <c r="E161" s="12">
        <v>208.86</v>
      </c>
      <c r="F161" s="119" t="str">
        <f t="shared" si="7"/>
        <v>FALSE</v>
      </c>
      <c r="G161" s="119">
        <f t="shared" si="9"/>
        <v>0</v>
      </c>
      <c r="H161" s="119">
        <f t="shared" si="8"/>
        <v>65.817916755074293</v>
      </c>
    </row>
    <row r="162" spans="2:8">
      <c r="B162" s="1" t="s">
        <v>244</v>
      </c>
      <c r="C162" s="95">
        <f>'data for stata'!D159</f>
        <v>450.6105054856676</v>
      </c>
      <c r="E162" s="12">
        <v>208.86</v>
      </c>
      <c r="F162" s="119" t="str">
        <f t="shared" si="7"/>
        <v>TRUE</v>
      </c>
      <c r="G162" s="119">
        <f t="shared" si="9"/>
        <v>62.269568422156766</v>
      </c>
      <c r="H162" s="119">
        <f t="shared" si="8"/>
        <v>388.34093706351086</v>
      </c>
    </row>
    <row r="163" spans="2:8">
      <c r="B163" s="1" t="s">
        <v>245</v>
      </c>
      <c r="C163" s="95">
        <f>'data for stata'!D160</f>
        <v>140.94859149136892</v>
      </c>
      <c r="E163" s="12">
        <v>208.86</v>
      </c>
      <c r="F163" s="119" t="str">
        <f t="shared" si="7"/>
        <v>FALSE</v>
      </c>
      <c r="G163" s="119">
        <f t="shared" si="9"/>
        <v>0</v>
      </c>
      <c r="H163" s="119">
        <f t="shared" si="8"/>
        <v>140.94859149136892</v>
      </c>
    </row>
    <row r="164" spans="2:8">
      <c r="B164" s="1" t="s">
        <v>209</v>
      </c>
      <c r="C164" s="95">
        <f>'data for stata'!D161</f>
        <v>276.52610839088197</v>
      </c>
      <c r="E164" s="12">
        <v>208.86</v>
      </c>
      <c r="F164" s="119" t="str">
        <f t="shared" si="7"/>
        <v>TRUE</v>
      </c>
      <c r="G164" s="119">
        <f t="shared" si="9"/>
        <v>62.269568422156766</v>
      </c>
      <c r="H164" s="119">
        <f t="shared" si="8"/>
        <v>214.25653996872521</v>
      </c>
    </row>
    <row r="165" spans="2:8">
      <c r="B165" s="1" t="s">
        <v>211</v>
      </c>
      <c r="C165" s="95">
        <f>'data for stata'!D162</f>
        <v>350.21387166989757</v>
      </c>
      <c r="E165" s="12">
        <v>208.86</v>
      </c>
      <c r="F165" s="119" t="str">
        <f t="shared" si="7"/>
        <v>TRUE</v>
      </c>
      <c r="G165" s="119">
        <f t="shared" si="9"/>
        <v>62.269568422156766</v>
      </c>
      <c r="H165" s="119">
        <f t="shared" si="8"/>
        <v>287.94430324774078</v>
      </c>
    </row>
    <row r="166" spans="2:8">
      <c r="B166" s="1" t="s">
        <v>213</v>
      </c>
      <c r="C166" s="95">
        <f>'data for stata'!D163</f>
        <v>522.54297874135409</v>
      </c>
      <c r="E166" s="12">
        <v>208.86</v>
      </c>
      <c r="F166" s="119" t="str">
        <f t="shared" si="7"/>
        <v>TRUE</v>
      </c>
      <c r="G166" s="119">
        <f t="shared" si="9"/>
        <v>62.269568422156766</v>
      </c>
      <c r="H166" s="119">
        <f t="shared" si="8"/>
        <v>460.2734103191973</v>
      </c>
    </row>
    <row r="167" spans="2:8">
      <c r="B167" s="1" t="s">
        <v>215</v>
      </c>
      <c r="C167" s="95">
        <f>'data for stata'!D164</f>
        <v>131.87203035424579</v>
      </c>
      <c r="E167" s="12">
        <v>208.86</v>
      </c>
      <c r="F167" s="119" t="str">
        <f t="shared" si="7"/>
        <v>FALSE</v>
      </c>
      <c r="G167" s="119">
        <f t="shared" si="9"/>
        <v>0</v>
      </c>
      <c r="H167" s="119">
        <f t="shared" si="8"/>
        <v>131.87203035424579</v>
      </c>
    </row>
    <row r="168" spans="2:8">
      <c r="B168" s="1" t="s">
        <v>217</v>
      </c>
      <c r="C168" s="95">
        <f>'data for stata'!D165</f>
        <v>183.3519980282191</v>
      </c>
      <c r="E168" s="12">
        <v>208.86</v>
      </c>
      <c r="F168" s="119" t="str">
        <f t="shared" si="7"/>
        <v>FALSE</v>
      </c>
      <c r="G168" s="119">
        <f t="shared" si="9"/>
        <v>0</v>
      </c>
      <c r="H168" s="119">
        <f t="shared" si="8"/>
        <v>183.3519980282191</v>
      </c>
    </row>
    <row r="169" spans="2:8">
      <c r="B169" s="1" t="s">
        <v>219</v>
      </c>
      <c r="C169" s="95">
        <f>'data for stata'!D166</f>
        <v>572.34496180923918</v>
      </c>
      <c r="E169" s="12">
        <v>208.86</v>
      </c>
      <c r="F169" s="119" t="str">
        <f t="shared" si="7"/>
        <v>TRUE</v>
      </c>
      <c r="G169" s="119">
        <f t="shared" si="9"/>
        <v>62.269568422156766</v>
      </c>
      <c r="H169" s="119">
        <f t="shared" si="8"/>
        <v>510.07539338708239</v>
      </c>
    </row>
    <row r="170" spans="2:8">
      <c r="B170" s="1" t="s">
        <v>221</v>
      </c>
      <c r="C170" s="95">
        <f>'data for stata'!D167</f>
        <v>131.87203035424579</v>
      </c>
      <c r="E170" s="12">
        <v>208.86</v>
      </c>
      <c r="F170" s="119" t="str">
        <f t="shared" si="7"/>
        <v>FALSE</v>
      </c>
      <c r="G170" s="119">
        <f t="shared" si="9"/>
        <v>0</v>
      </c>
      <c r="H170" s="119">
        <f t="shared" si="8"/>
        <v>131.87203035424579</v>
      </c>
    </row>
    <row r="171" spans="2:8">
      <c r="B171" s="1" t="s">
        <v>246</v>
      </c>
      <c r="C171" s="95">
        <f>'data for stata'!D168</f>
        <v>311.96617651454852</v>
      </c>
      <c r="E171" s="12">
        <v>208.86</v>
      </c>
      <c r="F171" s="119" t="str">
        <f t="shared" si="7"/>
        <v>TRUE</v>
      </c>
      <c r="G171" s="119">
        <f t="shared" si="9"/>
        <v>62.269568422156766</v>
      </c>
      <c r="H171" s="119">
        <f t="shared" si="8"/>
        <v>249.69660809239176</v>
      </c>
    </row>
    <row r="172" spans="2:8">
      <c r="B172" s="1" t="s">
        <v>223</v>
      </c>
      <c r="C172" s="95">
        <f>'data for stata'!D169</f>
        <v>282.66302051406819</v>
      </c>
      <c r="E172" s="12">
        <v>208.86</v>
      </c>
      <c r="F172" s="119" t="str">
        <f t="shared" si="7"/>
        <v>TRUE</v>
      </c>
      <c r="G172" s="119">
        <f t="shared" si="9"/>
        <v>62.269568422156766</v>
      </c>
      <c r="H172" s="119">
        <f t="shared" si="8"/>
        <v>220.39345209191143</v>
      </c>
    </row>
    <row r="173" spans="2:8">
      <c r="B173" s="1" t="s">
        <v>226</v>
      </c>
      <c r="C173" s="95">
        <f>'data for stata'!D170</f>
        <v>133.85906888888763</v>
      </c>
      <c r="E173" s="12">
        <v>208.86</v>
      </c>
      <c r="F173" s="119" t="str">
        <f t="shared" si="7"/>
        <v>FALSE</v>
      </c>
      <c r="G173" s="119">
        <f t="shared" si="9"/>
        <v>0</v>
      </c>
      <c r="H173" s="119">
        <f t="shared" si="8"/>
        <v>133.85906888888763</v>
      </c>
    </row>
    <row r="174" spans="2:8">
      <c r="B174" s="1" t="s">
        <v>249</v>
      </c>
      <c r="C174" s="95">
        <f>'data for stata'!D171</f>
        <v>69.864634172721182</v>
      </c>
      <c r="E174" s="12">
        <v>208.86</v>
      </c>
      <c r="F174" s="119" t="str">
        <f t="shared" si="7"/>
        <v>FALSE</v>
      </c>
      <c r="G174" s="119">
        <f t="shared" si="9"/>
        <v>0</v>
      </c>
      <c r="H174" s="119">
        <f t="shared" si="8"/>
        <v>69.864634172721182</v>
      </c>
    </row>
    <row r="175" spans="2:8">
      <c r="B175" s="1" t="s">
        <v>251</v>
      </c>
      <c r="C175" s="95">
        <f>'data for stata'!D172</f>
        <v>83.594302912536037</v>
      </c>
      <c r="E175" s="12">
        <v>208.86</v>
      </c>
      <c r="F175" s="119" t="str">
        <f t="shared" si="7"/>
        <v>FALSE</v>
      </c>
      <c r="G175" s="119">
        <f t="shared" si="9"/>
        <v>0</v>
      </c>
      <c r="H175" s="119">
        <f t="shared" si="8"/>
        <v>83.594302912536037</v>
      </c>
    </row>
    <row r="176" spans="2:8">
      <c r="B176" s="1" t="s">
        <v>247</v>
      </c>
      <c r="C176" s="95">
        <f>'data for stata'!D173</f>
        <v>109.32473530330381</v>
      </c>
      <c r="E176" s="12">
        <v>208.86</v>
      </c>
      <c r="F176" s="119" t="str">
        <f t="shared" si="7"/>
        <v>FALSE</v>
      </c>
      <c r="G176" s="119">
        <f t="shared" si="9"/>
        <v>0</v>
      </c>
      <c r="H176" s="119">
        <f t="shared" si="8"/>
        <v>109.32473530330381</v>
      </c>
    </row>
    <row r="177" spans="2:8">
      <c r="B177" s="1" t="s">
        <v>254</v>
      </c>
      <c r="C177" s="95">
        <f>'data for stata'!D174</f>
        <v>248.81783973990446</v>
      </c>
      <c r="E177" s="12">
        <v>208.86</v>
      </c>
      <c r="F177" s="119" t="str">
        <f t="shared" si="7"/>
        <v>TRUE</v>
      </c>
      <c r="G177" s="119">
        <f t="shared" si="9"/>
        <v>62.269568422156766</v>
      </c>
      <c r="H177" s="119">
        <f t="shared" si="8"/>
        <v>186.54827131774769</v>
      </c>
    </row>
    <row r="178" spans="2:8">
      <c r="B178" s="1" t="s">
        <v>248</v>
      </c>
      <c r="C178" s="95">
        <f>'data for stata'!D175</f>
        <v>93.816036326019713</v>
      </c>
      <c r="E178" s="12">
        <v>208.86</v>
      </c>
      <c r="F178" s="119" t="str">
        <f t="shared" si="7"/>
        <v>FALSE</v>
      </c>
      <c r="G178" s="119">
        <f t="shared" si="9"/>
        <v>0</v>
      </c>
      <c r="H178" s="119">
        <f t="shared" si="8"/>
        <v>93.816036326019713</v>
      </c>
    </row>
    <row r="179" spans="2:8">
      <c r="B179" s="1" t="s">
        <v>257</v>
      </c>
      <c r="C179" s="95">
        <f>'data for stata'!D176</f>
        <v>65.817916755074293</v>
      </c>
      <c r="E179" s="12">
        <v>208.86</v>
      </c>
      <c r="F179" s="119" t="str">
        <f t="shared" si="7"/>
        <v>FALSE</v>
      </c>
      <c r="G179" s="119">
        <f t="shared" si="9"/>
        <v>0</v>
      </c>
      <c r="H179" s="119">
        <f t="shared" si="8"/>
        <v>65.817916755074293</v>
      </c>
    </row>
    <row r="180" spans="2:8">
      <c r="B180" s="1" t="s">
        <v>259</v>
      </c>
      <c r="C180" s="95">
        <f>'data for stata'!D177</f>
        <v>65.817916755074293</v>
      </c>
      <c r="E180" s="12">
        <v>208.86</v>
      </c>
      <c r="F180" s="119" t="str">
        <f t="shared" si="7"/>
        <v>FALSE</v>
      </c>
      <c r="G180" s="119">
        <f t="shared" si="9"/>
        <v>0</v>
      </c>
      <c r="H180" s="119">
        <f t="shared" si="8"/>
        <v>65.817916755074293</v>
      </c>
    </row>
    <row r="181" spans="2:8">
      <c r="B181" s="1" t="s">
        <v>261</v>
      </c>
      <c r="C181" s="95">
        <f>'data for stata'!D178</f>
        <v>132.97797846710432</v>
      </c>
      <c r="E181" s="12">
        <v>208.86</v>
      </c>
      <c r="F181" s="119" t="str">
        <f t="shared" si="7"/>
        <v>FALSE</v>
      </c>
      <c r="G181" s="119">
        <f t="shared" si="9"/>
        <v>0</v>
      </c>
      <c r="H181" s="119">
        <f t="shared" si="8"/>
        <v>132.97797846710432</v>
      </c>
    </row>
    <row r="182" spans="2:8">
      <c r="B182" s="1" t="s">
        <v>263</v>
      </c>
      <c r="C182" s="95">
        <f>'data for stata'!D179</f>
        <v>107.76188547801894</v>
      </c>
      <c r="E182" s="12">
        <v>208.86</v>
      </c>
      <c r="F182" s="119" t="str">
        <f t="shared" si="7"/>
        <v>FALSE</v>
      </c>
      <c r="G182" s="119">
        <f t="shared" si="9"/>
        <v>0</v>
      </c>
      <c r="H182" s="119">
        <f t="shared" si="8"/>
        <v>107.76188547801894</v>
      </c>
    </row>
    <row r="183" spans="2:8">
      <c r="B183" s="1" t="s">
        <v>252</v>
      </c>
      <c r="C183" s="95">
        <f>'data for stata'!D180</f>
        <v>339.89558332551644</v>
      </c>
      <c r="E183" s="12">
        <v>208.86</v>
      </c>
      <c r="F183" s="119" t="str">
        <f t="shared" si="7"/>
        <v>TRUE</v>
      </c>
      <c r="G183" s="119">
        <f t="shared" si="9"/>
        <v>62.269568422156766</v>
      </c>
      <c r="H183" s="119">
        <f t="shared" si="8"/>
        <v>277.62601490335965</v>
      </c>
    </row>
    <row r="184" spans="2:8">
      <c r="B184" s="1" t="s">
        <v>255</v>
      </c>
      <c r="C184" s="95">
        <f>'data for stata'!D181</f>
        <v>146.3837712806403</v>
      </c>
      <c r="E184" s="12">
        <v>208.86</v>
      </c>
      <c r="F184" s="119" t="str">
        <f t="shared" si="7"/>
        <v>FALSE</v>
      </c>
      <c r="G184" s="119">
        <f t="shared" si="9"/>
        <v>0</v>
      </c>
      <c r="H184" s="119">
        <f t="shared" si="8"/>
        <v>146.3837712806403</v>
      </c>
    </row>
    <row r="185" spans="2:8">
      <c r="B185" s="1" t="s">
        <v>256</v>
      </c>
      <c r="C185" s="95">
        <f>'data for stata'!D182</f>
        <v>108.48275869992918</v>
      </c>
      <c r="E185" s="12">
        <v>208.86</v>
      </c>
      <c r="F185" s="119" t="str">
        <f t="shared" si="7"/>
        <v>FALSE</v>
      </c>
      <c r="G185" s="119">
        <f t="shared" si="9"/>
        <v>0</v>
      </c>
      <c r="H185" s="119">
        <f t="shared" si="8"/>
        <v>108.48275869992918</v>
      </c>
    </row>
    <row r="186" spans="2:8">
      <c r="B186" s="1" t="s">
        <v>266</v>
      </c>
      <c r="C186" s="95">
        <f>'data for stata'!D183</f>
        <v>238.71742378515566</v>
      </c>
      <c r="E186" s="12">
        <v>208.86</v>
      </c>
      <c r="F186" s="119" t="str">
        <f t="shared" si="7"/>
        <v>TRUE</v>
      </c>
      <c r="G186" s="119">
        <f t="shared" si="9"/>
        <v>62.269568422156766</v>
      </c>
      <c r="H186" s="119">
        <f t="shared" si="8"/>
        <v>176.44785536299889</v>
      </c>
    </row>
    <row r="187" spans="2:8">
      <c r="B187" s="1" t="s">
        <v>258</v>
      </c>
      <c r="C187" s="95">
        <f>'data for stata'!D184</f>
        <v>194.98669748184363</v>
      </c>
      <c r="E187" s="12">
        <v>208.86</v>
      </c>
      <c r="F187" s="119" t="str">
        <f t="shared" si="7"/>
        <v>FALSE</v>
      </c>
      <c r="G187" s="119">
        <f t="shared" si="9"/>
        <v>0</v>
      </c>
      <c r="H187" s="119">
        <f t="shared" si="8"/>
        <v>194.98669748184363</v>
      </c>
    </row>
    <row r="188" spans="2:8">
      <c r="B188" s="1" t="s">
        <v>260</v>
      </c>
      <c r="C188" s="95">
        <f>'data for stata'!D185</f>
        <v>123.00481529227956</v>
      </c>
      <c r="E188" s="12">
        <v>208.86</v>
      </c>
      <c r="F188" s="119" t="str">
        <f t="shared" si="7"/>
        <v>FALSE</v>
      </c>
      <c r="G188" s="119">
        <f t="shared" si="9"/>
        <v>0</v>
      </c>
      <c r="H188" s="119">
        <f t="shared" si="8"/>
        <v>123.00481529227956</v>
      </c>
    </row>
    <row r="189" spans="2:8">
      <c r="B189" s="1" t="s">
        <v>269</v>
      </c>
      <c r="C189" s="95">
        <f>'data for stata'!D186</f>
        <v>82.849590944884625</v>
      </c>
      <c r="E189" s="12">
        <v>208.86</v>
      </c>
      <c r="F189" s="119" t="str">
        <f t="shared" si="7"/>
        <v>FALSE</v>
      </c>
      <c r="G189" s="119">
        <f t="shared" si="9"/>
        <v>0</v>
      </c>
      <c r="H189" s="119">
        <f t="shared" si="8"/>
        <v>82.849590944884625</v>
      </c>
    </row>
    <row r="190" spans="2:8">
      <c r="B190" s="1" t="s">
        <v>262</v>
      </c>
      <c r="C190" s="95">
        <f>'data for stata'!D187</f>
        <v>86.938069885712437</v>
      </c>
      <c r="E190" s="12">
        <v>208.86</v>
      </c>
      <c r="F190" s="119" t="str">
        <f t="shared" si="7"/>
        <v>FALSE</v>
      </c>
      <c r="G190" s="119">
        <f t="shared" si="9"/>
        <v>0</v>
      </c>
      <c r="H190" s="119">
        <f t="shared" si="8"/>
        <v>86.938069885712437</v>
      </c>
    </row>
    <row r="191" spans="2:8">
      <c r="B191" s="1" t="s">
        <v>265</v>
      </c>
      <c r="C191" s="95">
        <f>'data for stata'!D188</f>
        <v>92.607212901591097</v>
      </c>
      <c r="E191" s="12">
        <v>208.86</v>
      </c>
      <c r="F191" s="119" t="str">
        <f t="shared" si="7"/>
        <v>FALSE</v>
      </c>
      <c r="G191" s="119">
        <f t="shared" si="9"/>
        <v>0</v>
      </c>
      <c r="H191" s="119">
        <f t="shared" si="8"/>
        <v>92.607212901591097</v>
      </c>
    </row>
    <row r="192" spans="2:8">
      <c r="B192" s="1" t="s">
        <v>267</v>
      </c>
      <c r="C192" s="95">
        <f>'data for stata'!D189</f>
        <v>486.11534205411181</v>
      </c>
      <c r="E192" s="12">
        <v>208.86</v>
      </c>
      <c r="F192" s="119" t="str">
        <f t="shared" si="7"/>
        <v>TRUE</v>
      </c>
      <c r="G192" s="119">
        <f t="shared" si="9"/>
        <v>62.269568422156766</v>
      </c>
      <c r="H192" s="119">
        <f t="shared" si="8"/>
        <v>423.84577363195501</v>
      </c>
    </row>
    <row r="193" spans="2:8">
      <c r="B193" s="1" t="s">
        <v>268</v>
      </c>
      <c r="C193" s="95">
        <f>'data for stata'!D190</f>
        <v>516.32890526648191</v>
      </c>
      <c r="E193" s="12">
        <v>208.86</v>
      </c>
      <c r="F193" s="119" t="str">
        <f t="shared" si="7"/>
        <v>TRUE</v>
      </c>
      <c r="G193" s="119">
        <f t="shared" si="9"/>
        <v>62.269568422156766</v>
      </c>
      <c r="H193" s="119">
        <f t="shared" si="8"/>
        <v>454.05933684432512</v>
      </c>
    </row>
    <row r="194" spans="2:8">
      <c r="B194" s="1" t="s">
        <v>273</v>
      </c>
      <c r="C194" s="95">
        <f>'data for stata'!D191</f>
        <v>78.907096258754507</v>
      </c>
      <c r="E194" s="12">
        <v>208.86</v>
      </c>
      <c r="F194" s="119" t="str">
        <f t="shared" si="7"/>
        <v>FALSE</v>
      </c>
      <c r="G194" s="119">
        <f t="shared" si="9"/>
        <v>0</v>
      </c>
      <c r="H194" s="119">
        <f t="shared" si="8"/>
        <v>78.907096258754507</v>
      </c>
    </row>
    <row r="195" spans="2:8">
      <c r="B195" s="1" t="s">
        <v>233</v>
      </c>
      <c r="C195" s="95">
        <f>'data for stata'!D192</f>
        <v>131.33758800108996</v>
      </c>
      <c r="E195" s="12">
        <v>208.86</v>
      </c>
      <c r="F195" s="119" t="str">
        <f t="shared" si="7"/>
        <v>FALSE</v>
      </c>
      <c r="G195" s="119">
        <f t="shared" si="9"/>
        <v>0</v>
      </c>
      <c r="H195" s="119">
        <f t="shared" si="8"/>
        <v>131.33758800108996</v>
      </c>
    </row>
    <row r="196" spans="2:8">
      <c r="B196" s="1" t="s">
        <v>270</v>
      </c>
      <c r="C196" s="95">
        <f>'data for stata'!D193</f>
        <v>100.51883578184069</v>
      </c>
      <c r="E196" s="12">
        <v>208.86</v>
      </c>
      <c r="F196" s="119" t="str">
        <f t="shared" ref="F196:F259" si="10">IF(E196&lt;C196,"TRUE","FALSE")</f>
        <v>FALSE</v>
      </c>
      <c r="G196" s="119">
        <f t="shared" si="9"/>
        <v>0</v>
      </c>
      <c r="H196" s="119">
        <f t="shared" si="8"/>
        <v>100.51883578184069</v>
      </c>
    </row>
    <row r="197" spans="2:8">
      <c r="B197" s="1" t="s">
        <v>272</v>
      </c>
      <c r="C197" s="95">
        <f>'data for stata'!D194</f>
        <v>100.74966304102878</v>
      </c>
      <c r="E197" s="12">
        <v>208.86</v>
      </c>
      <c r="F197" s="119" t="str">
        <f t="shared" si="10"/>
        <v>FALSE</v>
      </c>
      <c r="G197" s="119">
        <f t="shared" si="9"/>
        <v>0</v>
      </c>
      <c r="H197" s="119">
        <f t="shared" ref="H197:H260" si="11">IF(F197="False",C197,C197-(G197))</f>
        <v>100.74966304102878</v>
      </c>
    </row>
    <row r="198" spans="2:8">
      <c r="B198" s="1" t="s">
        <v>278</v>
      </c>
      <c r="C198" s="95">
        <f>'data for stata'!D195</f>
        <v>65.817916755074293</v>
      </c>
      <c r="E198" s="12">
        <v>208.86</v>
      </c>
      <c r="F198" s="119" t="str">
        <f t="shared" si="10"/>
        <v>FALSE</v>
      </c>
      <c r="G198" s="119">
        <f t="shared" si="9"/>
        <v>0</v>
      </c>
      <c r="H198" s="119">
        <f t="shared" si="11"/>
        <v>65.817916755074293</v>
      </c>
    </row>
    <row r="199" spans="2:8">
      <c r="B199" s="1" t="s">
        <v>264</v>
      </c>
      <c r="C199" s="95">
        <f>'data for stata'!D196</f>
        <v>146.53708567950667</v>
      </c>
      <c r="E199" s="12">
        <v>208.86</v>
      </c>
      <c r="F199" s="119" t="str">
        <f t="shared" si="10"/>
        <v>FALSE</v>
      </c>
      <c r="G199" s="119">
        <f t="shared" si="9"/>
        <v>0</v>
      </c>
      <c r="H199" s="119">
        <f t="shared" si="11"/>
        <v>146.53708567950667</v>
      </c>
    </row>
    <row r="200" spans="2:8">
      <c r="B200" s="1" t="s">
        <v>271</v>
      </c>
      <c r="C200" s="95">
        <f>'data for stata'!D197</f>
        <v>175.25607311797373</v>
      </c>
      <c r="E200" s="12">
        <v>208.86</v>
      </c>
      <c r="F200" s="119" t="str">
        <f t="shared" si="10"/>
        <v>FALSE</v>
      </c>
      <c r="G200" s="119">
        <f t="shared" si="9"/>
        <v>0</v>
      </c>
      <c r="H200" s="119">
        <f t="shared" si="11"/>
        <v>175.25607311797373</v>
      </c>
    </row>
    <row r="201" spans="2:8">
      <c r="B201" s="1" t="s">
        <v>281</v>
      </c>
      <c r="C201" s="95">
        <f>'data for stata'!D198</f>
        <v>65.817916755074293</v>
      </c>
      <c r="E201" s="12">
        <v>208.86</v>
      </c>
      <c r="F201" s="119" t="str">
        <f t="shared" si="10"/>
        <v>FALSE</v>
      </c>
      <c r="G201" s="119">
        <f t="shared" si="9"/>
        <v>0</v>
      </c>
      <c r="H201" s="119">
        <f t="shared" si="11"/>
        <v>65.817916755074293</v>
      </c>
    </row>
    <row r="202" spans="2:8">
      <c r="B202" s="1" t="s">
        <v>225</v>
      </c>
      <c r="C202" s="95">
        <f>'data for stata'!D199</f>
        <v>87.574898993080765</v>
      </c>
      <c r="E202" s="12">
        <v>208.86</v>
      </c>
      <c r="F202" s="119" t="str">
        <f t="shared" si="10"/>
        <v>FALSE</v>
      </c>
      <c r="G202" s="119">
        <f t="shared" si="9"/>
        <v>0</v>
      </c>
      <c r="H202" s="119">
        <f t="shared" si="11"/>
        <v>87.574898993080765</v>
      </c>
    </row>
    <row r="203" spans="2:8">
      <c r="B203" s="1" t="s">
        <v>275</v>
      </c>
      <c r="C203" s="95">
        <f>'data for stata'!D200</f>
        <v>207.49266653824111</v>
      </c>
      <c r="E203" s="12">
        <v>208.86</v>
      </c>
      <c r="F203" s="119" t="str">
        <f t="shared" si="10"/>
        <v>FALSE</v>
      </c>
      <c r="G203" s="119">
        <f t="shared" ref="G203:G266" si="12">IF(F203="FALSE",0,E$138-D$138)</f>
        <v>0</v>
      </c>
      <c r="H203" s="119">
        <f t="shared" si="11"/>
        <v>207.49266653824111</v>
      </c>
    </row>
    <row r="204" spans="2:8">
      <c r="B204" s="1" t="s">
        <v>276</v>
      </c>
      <c r="C204" s="95">
        <f>'data for stata'!D201</f>
        <v>87.539061193853982</v>
      </c>
      <c r="E204" s="12">
        <v>208.86</v>
      </c>
      <c r="F204" s="119" t="str">
        <f t="shared" si="10"/>
        <v>FALSE</v>
      </c>
      <c r="G204" s="119">
        <f t="shared" si="12"/>
        <v>0</v>
      </c>
      <c r="H204" s="119">
        <f t="shared" si="11"/>
        <v>87.539061193853982</v>
      </c>
    </row>
    <row r="205" spans="2:8">
      <c r="B205" s="1" t="s">
        <v>277</v>
      </c>
      <c r="C205" s="95">
        <f>'data for stata'!D202</f>
        <v>86.643963897651716</v>
      </c>
      <c r="E205" s="12">
        <v>208.86</v>
      </c>
      <c r="F205" s="119" t="str">
        <f t="shared" si="10"/>
        <v>FALSE</v>
      </c>
      <c r="G205" s="119">
        <f t="shared" si="12"/>
        <v>0</v>
      </c>
      <c r="H205" s="119">
        <f t="shared" si="11"/>
        <v>86.643963897651716</v>
      </c>
    </row>
    <row r="206" spans="2:8">
      <c r="B206" s="1" t="s">
        <v>279</v>
      </c>
      <c r="C206" s="95">
        <f>'data for stata'!D203</f>
        <v>75.26494612485385</v>
      </c>
      <c r="E206" s="12">
        <v>208.86</v>
      </c>
      <c r="F206" s="119" t="str">
        <f t="shared" si="10"/>
        <v>FALSE</v>
      </c>
      <c r="G206" s="119">
        <f t="shared" si="12"/>
        <v>0</v>
      </c>
      <c r="H206" s="119">
        <f t="shared" si="11"/>
        <v>75.26494612485385</v>
      </c>
    </row>
    <row r="207" spans="2:8">
      <c r="B207" s="1" t="s">
        <v>286</v>
      </c>
      <c r="C207" s="95">
        <f>'data for stata'!D204</f>
        <v>65.817916755074293</v>
      </c>
      <c r="E207" s="12">
        <v>208.86</v>
      </c>
      <c r="F207" s="119" t="str">
        <f t="shared" si="10"/>
        <v>FALSE</v>
      </c>
      <c r="G207" s="119">
        <f t="shared" si="12"/>
        <v>0</v>
      </c>
      <c r="H207" s="119">
        <f t="shared" si="11"/>
        <v>65.817916755074293</v>
      </c>
    </row>
    <row r="208" spans="2:8">
      <c r="B208" s="1" t="s">
        <v>280</v>
      </c>
      <c r="C208" s="95">
        <f>'data for stata'!D205</f>
        <v>117.94764740148214</v>
      </c>
      <c r="E208" s="12">
        <v>208.86</v>
      </c>
      <c r="F208" s="119" t="str">
        <f t="shared" si="10"/>
        <v>FALSE</v>
      </c>
      <c r="G208" s="119">
        <f t="shared" si="12"/>
        <v>0</v>
      </c>
      <c r="H208" s="119">
        <f t="shared" si="11"/>
        <v>117.94764740148214</v>
      </c>
    </row>
    <row r="209" spans="2:8">
      <c r="B209" s="1" t="s">
        <v>282</v>
      </c>
      <c r="C209" s="95">
        <f>'data for stata'!D206</f>
        <v>90.338164278398324</v>
      </c>
      <c r="E209" s="12">
        <v>208.86</v>
      </c>
      <c r="F209" s="119" t="str">
        <f t="shared" si="10"/>
        <v>FALSE</v>
      </c>
      <c r="G209" s="119">
        <f t="shared" si="12"/>
        <v>0</v>
      </c>
      <c r="H209" s="119">
        <f t="shared" si="11"/>
        <v>90.338164278398324</v>
      </c>
    </row>
    <row r="210" spans="2:8">
      <c r="B210" s="1" t="s">
        <v>283</v>
      </c>
      <c r="C210" s="95">
        <f>'data for stata'!D207</f>
        <v>108.9312262502805</v>
      </c>
      <c r="E210" s="12">
        <v>208.86</v>
      </c>
      <c r="F210" s="119" t="str">
        <f t="shared" si="10"/>
        <v>FALSE</v>
      </c>
      <c r="G210" s="119">
        <f t="shared" si="12"/>
        <v>0</v>
      </c>
      <c r="H210" s="119">
        <f t="shared" si="11"/>
        <v>108.9312262502805</v>
      </c>
    </row>
    <row r="211" spans="2:8">
      <c r="B211" s="1" t="s">
        <v>284</v>
      </c>
      <c r="C211" s="95">
        <f>'data for stata'!D208</f>
        <v>119.00699461940161</v>
      </c>
      <c r="E211" s="12">
        <v>208.86</v>
      </c>
      <c r="F211" s="119" t="str">
        <f t="shared" si="10"/>
        <v>FALSE</v>
      </c>
      <c r="G211" s="119">
        <f t="shared" si="12"/>
        <v>0</v>
      </c>
      <c r="H211" s="119">
        <f t="shared" si="11"/>
        <v>119.00699461940161</v>
      </c>
    </row>
    <row r="212" spans="2:8">
      <c r="B212" s="1" t="s">
        <v>285</v>
      </c>
      <c r="C212" s="95">
        <f>'data for stata'!D209</f>
        <v>105.25945930878979</v>
      </c>
      <c r="E212" s="12">
        <v>208.86</v>
      </c>
      <c r="F212" s="119" t="str">
        <f t="shared" si="10"/>
        <v>FALSE</v>
      </c>
      <c r="G212" s="119">
        <f t="shared" si="12"/>
        <v>0</v>
      </c>
      <c r="H212" s="119">
        <f t="shared" si="11"/>
        <v>105.25945930878979</v>
      </c>
    </row>
    <row r="213" spans="2:8">
      <c r="B213" s="1" t="s">
        <v>291</v>
      </c>
      <c r="C213" s="95">
        <f>'data for stata'!D210</f>
        <v>65.817916755074293</v>
      </c>
      <c r="E213" s="12">
        <v>208.86</v>
      </c>
      <c r="F213" s="119" t="str">
        <f t="shared" si="10"/>
        <v>FALSE</v>
      </c>
      <c r="G213" s="119">
        <f t="shared" si="12"/>
        <v>0</v>
      </c>
      <c r="H213" s="119">
        <f t="shared" si="11"/>
        <v>65.817916755074293</v>
      </c>
    </row>
    <row r="214" spans="2:8">
      <c r="B214" s="1" t="s">
        <v>293</v>
      </c>
      <c r="C214" s="95">
        <f>'data for stata'!D211</f>
        <v>65.817916755074293</v>
      </c>
      <c r="E214" s="12">
        <v>208.86</v>
      </c>
      <c r="F214" s="119" t="str">
        <f t="shared" si="10"/>
        <v>FALSE</v>
      </c>
      <c r="G214" s="119">
        <f t="shared" si="12"/>
        <v>0</v>
      </c>
      <c r="H214" s="119">
        <f t="shared" si="11"/>
        <v>65.817916755074293</v>
      </c>
    </row>
    <row r="215" spans="2:8">
      <c r="B215" s="1" t="s">
        <v>295</v>
      </c>
      <c r="C215" s="95">
        <f>'data for stata'!D212</f>
        <v>65.817916755074293</v>
      </c>
      <c r="E215" s="12">
        <v>208.86</v>
      </c>
      <c r="F215" s="119" t="str">
        <f t="shared" si="10"/>
        <v>FALSE</v>
      </c>
      <c r="G215" s="119">
        <f t="shared" si="12"/>
        <v>0</v>
      </c>
      <c r="H215" s="119">
        <f t="shared" si="11"/>
        <v>65.817916755074293</v>
      </c>
    </row>
    <row r="216" spans="2:8">
      <c r="B216" s="1" t="s">
        <v>297</v>
      </c>
      <c r="C216" s="95">
        <f>'data for stata'!D213</f>
        <v>65.817916755074293</v>
      </c>
      <c r="E216" s="12">
        <v>208.86</v>
      </c>
      <c r="F216" s="119" t="str">
        <f t="shared" si="10"/>
        <v>FALSE</v>
      </c>
      <c r="G216" s="119">
        <f t="shared" si="12"/>
        <v>0</v>
      </c>
      <c r="H216" s="119">
        <f t="shared" si="11"/>
        <v>65.817916755074293</v>
      </c>
    </row>
    <row r="217" spans="2:8">
      <c r="B217" s="1" t="s">
        <v>287</v>
      </c>
      <c r="C217" s="95">
        <f>'data for stata'!D214</f>
        <v>143.28631772380356</v>
      </c>
      <c r="E217" s="12">
        <v>208.86</v>
      </c>
      <c r="F217" s="119" t="str">
        <f t="shared" si="10"/>
        <v>FALSE</v>
      </c>
      <c r="G217" s="119">
        <f t="shared" si="12"/>
        <v>0</v>
      </c>
      <c r="H217" s="119">
        <f t="shared" si="11"/>
        <v>143.28631772380356</v>
      </c>
    </row>
    <row r="218" spans="2:8">
      <c r="B218" s="1" t="s">
        <v>288</v>
      </c>
      <c r="C218" s="95">
        <f>'data for stata'!D215</f>
        <v>363.00663614691018</v>
      </c>
      <c r="E218" s="12">
        <v>208.86</v>
      </c>
      <c r="F218" s="119" t="str">
        <f t="shared" si="10"/>
        <v>TRUE</v>
      </c>
      <c r="G218" s="119">
        <f t="shared" si="12"/>
        <v>62.269568422156766</v>
      </c>
      <c r="H218" s="119">
        <f t="shared" si="11"/>
        <v>300.73706772475339</v>
      </c>
    </row>
    <row r="219" spans="2:8">
      <c r="B219" s="1" t="s">
        <v>289</v>
      </c>
      <c r="C219" s="95">
        <f>'data for stata'!D216</f>
        <v>114.13133163334662</v>
      </c>
      <c r="E219" s="12">
        <v>208.86</v>
      </c>
      <c r="F219" s="119" t="str">
        <f t="shared" si="10"/>
        <v>FALSE</v>
      </c>
      <c r="G219" s="119">
        <f t="shared" si="12"/>
        <v>0</v>
      </c>
      <c r="H219" s="119">
        <f t="shared" si="11"/>
        <v>114.13133163334662</v>
      </c>
    </row>
    <row r="220" spans="2:8">
      <c r="B220" s="1" t="s">
        <v>290</v>
      </c>
      <c r="C220" s="95">
        <f>'data for stata'!D217</f>
        <v>505.84411876233912</v>
      </c>
      <c r="E220" s="12">
        <v>208.86</v>
      </c>
      <c r="F220" s="119" t="str">
        <f t="shared" si="10"/>
        <v>TRUE</v>
      </c>
      <c r="G220" s="119">
        <f t="shared" si="12"/>
        <v>62.269568422156766</v>
      </c>
      <c r="H220" s="119">
        <f t="shared" si="11"/>
        <v>443.57455034018233</v>
      </c>
    </row>
    <row r="221" spans="2:8">
      <c r="B221" s="1" t="s">
        <v>302</v>
      </c>
      <c r="C221" s="95">
        <f>'data for stata'!D218</f>
        <v>65.817916755074293</v>
      </c>
      <c r="E221" s="12">
        <v>208.86</v>
      </c>
      <c r="F221" s="119" t="str">
        <f t="shared" si="10"/>
        <v>FALSE</v>
      </c>
      <c r="G221" s="119">
        <f t="shared" si="12"/>
        <v>0</v>
      </c>
      <c r="H221" s="119">
        <f t="shared" si="11"/>
        <v>65.817916755074293</v>
      </c>
    </row>
    <row r="222" spans="2:8">
      <c r="B222" s="1" t="s">
        <v>304</v>
      </c>
      <c r="C222" s="95">
        <f>'data for stata'!D219</f>
        <v>65.817916755074293</v>
      </c>
      <c r="E222" s="12">
        <v>208.86</v>
      </c>
      <c r="F222" s="119" t="str">
        <f t="shared" si="10"/>
        <v>FALSE</v>
      </c>
      <c r="G222" s="119">
        <f t="shared" si="12"/>
        <v>0</v>
      </c>
      <c r="H222" s="119">
        <f t="shared" si="11"/>
        <v>65.817916755074293</v>
      </c>
    </row>
    <row r="223" spans="2:8">
      <c r="B223" s="1" t="s">
        <v>292</v>
      </c>
      <c r="C223" s="95">
        <f>'data for stata'!D220</f>
        <v>404.38096647083057</v>
      </c>
      <c r="E223" s="12">
        <v>208.86</v>
      </c>
      <c r="F223" s="119" t="str">
        <f t="shared" si="10"/>
        <v>TRUE</v>
      </c>
      <c r="G223" s="119">
        <f t="shared" si="12"/>
        <v>62.269568422156766</v>
      </c>
      <c r="H223" s="119">
        <f t="shared" si="11"/>
        <v>342.11139804867378</v>
      </c>
    </row>
    <row r="224" spans="2:8">
      <c r="B224" s="1" t="s">
        <v>307</v>
      </c>
      <c r="C224" s="95">
        <f>'data for stata'!D221</f>
        <v>65.817916755074293</v>
      </c>
      <c r="E224" s="12">
        <v>208.86</v>
      </c>
      <c r="F224" s="119" t="str">
        <f t="shared" si="10"/>
        <v>FALSE</v>
      </c>
      <c r="G224" s="119">
        <f t="shared" si="12"/>
        <v>0</v>
      </c>
      <c r="H224" s="119">
        <f t="shared" si="11"/>
        <v>65.817916755074293</v>
      </c>
    </row>
    <row r="225" spans="2:8">
      <c r="B225" s="1" t="s">
        <v>309</v>
      </c>
      <c r="C225" s="95">
        <f>'data for stata'!D222</f>
        <v>65.817916755074293</v>
      </c>
      <c r="E225" s="12">
        <v>208.86</v>
      </c>
      <c r="F225" s="119" t="str">
        <f t="shared" si="10"/>
        <v>FALSE</v>
      </c>
      <c r="G225" s="119">
        <f t="shared" si="12"/>
        <v>0</v>
      </c>
      <c r="H225" s="119">
        <f t="shared" si="11"/>
        <v>65.817916755074293</v>
      </c>
    </row>
    <row r="226" spans="2:8">
      <c r="B226" s="1" t="s">
        <v>311</v>
      </c>
      <c r="C226" s="95">
        <f>'data for stata'!D223</f>
        <v>65.817916755074293</v>
      </c>
      <c r="E226" s="12">
        <v>208.86</v>
      </c>
      <c r="F226" s="119" t="str">
        <f t="shared" si="10"/>
        <v>FALSE</v>
      </c>
      <c r="G226" s="119">
        <f t="shared" si="12"/>
        <v>0</v>
      </c>
      <c r="H226" s="119">
        <f t="shared" si="11"/>
        <v>65.817916755074293</v>
      </c>
    </row>
    <row r="227" spans="2:8">
      <c r="B227" s="1" t="s">
        <v>294</v>
      </c>
      <c r="C227" s="95">
        <f>'data for stata'!D224</f>
        <v>77.528374664891032</v>
      </c>
      <c r="E227" s="12">
        <v>208.86</v>
      </c>
      <c r="F227" s="119" t="str">
        <f t="shared" si="10"/>
        <v>FALSE</v>
      </c>
      <c r="G227" s="119">
        <f t="shared" si="12"/>
        <v>0</v>
      </c>
      <c r="H227" s="119">
        <f t="shared" si="11"/>
        <v>77.528374664891032</v>
      </c>
    </row>
    <row r="228" spans="2:8">
      <c r="B228" s="1" t="s">
        <v>314</v>
      </c>
      <c r="C228" s="95">
        <f>'data for stata'!D225</f>
        <v>65.817916755074293</v>
      </c>
      <c r="E228" s="12">
        <v>208.86</v>
      </c>
      <c r="F228" s="119" t="str">
        <f t="shared" si="10"/>
        <v>FALSE</v>
      </c>
      <c r="G228" s="119">
        <f t="shared" si="12"/>
        <v>0</v>
      </c>
      <c r="H228" s="119">
        <f t="shared" si="11"/>
        <v>65.817916755074293</v>
      </c>
    </row>
    <row r="229" spans="2:8">
      <c r="B229" s="1" t="s">
        <v>296</v>
      </c>
      <c r="C229" s="95">
        <f>'data for stata'!D226</f>
        <v>168.32383999713898</v>
      </c>
      <c r="E229" s="12">
        <v>208.86</v>
      </c>
      <c r="F229" s="119" t="str">
        <f t="shared" si="10"/>
        <v>FALSE</v>
      </c>
      <c r="G229" s="119">
        <f t="shared" si="12"/>
        <v>0</v>
      </c>
      <c r="H229" s="119">
        <f t="shared" si="11"/>
        <v>168.32383999713898</v>
      </c>
    </row>
    <row r="230" spans="2:8">
      <c r="B230" s="1" t="s">
        <v>316</v>
      </c>
      <c r="C230" s="95">
        <f>'data for stata'!D227</f>
        <v>110.04937936557022</v>
      </c>
      <c r="E230" s="12">
        <v>208.86</v>
      </c>
      <c r="F230" s="119" t="str">
        <f t="shared" si="10"/>
        <v>FALSE</v>
      </c>
      <c r="G230" s="119">
        <f t="shared" si="12"/>
        <v>0</v>
      </c>
      <c r="H230" s="119">
        <f t="shared" si="11"/>
        <v>110.04937936557022</v>
      </c>
    </row>
    <row r="231" spans="2:8">
      <c r="B231" s="1" t="s">
        <v>298</v>
      </c>
      <c r="C231" s="95">
        <f>'data for stata'!D228</f>
        <v>88.857680949290767</v>
      </c>
      <c r="E231" s="12">
        <v>208.86</v>
      </c>
      <c r="F231" s="119" t="str">
        <f t="shared" si="10"/>
        <v>FALSE</v>
      </c>
      <c r="G231" s="119">
        <f t="shared" si="12"/>
        <v>0</v>
      </c>
      <c r="H231" s="119">
        <f t="shared" si="11"/>
        <v>88.857680949290767</v>
      </c>
    </row>
    <row r="232" spans="2:8">
      <c r="B232" s="1" t="s">
        <v>300</v>
      </c>
      <c r="C232" s="95">
        <f>'data for stata'!D229</f>
        <v>223.6544017998846</v>
      </c>
      <c r="E232" s="12">
        <v>208.86</v>
      </c>
      <c r="F232" s="119" t="str">
        <f t="shared" si="10"/>
        <v>TRUE</v>
      </c>
      <c r="G232" s="119">
        <f t="shared" si="12"/>
        <v>62.269568422156766</v>
      </c>
      <c r="H232" s="119">
        <f t="shared" si="11"/>
        <v>161.38483337772783</v>
      </c>
    </row>
    <row r="233" spans="2:8">
      <c r="B233" s="1" t="s">
        <v>253</v>
      </c>
      <c r="C233" s="95">
        <f>'data for stata'!D230</f>
        <v>114.88171859931848</v>
      </c>
      <c r="E233" s="12">
        <v>208.86</v>
      </c>
      <c r="F233" s="119" t="str">
        <f t="shared" si="10"/>
        <v>FALSE</v>
      </c>
      <c r="G233" s="119">
        <f t="shared" si="12"/>
        <v>0</v>
      </c>
      <c r="H233" s="119">
        <f t="shared" si="11"/>
        <v>114.88171859931848</v>
      </c>
    </row>
    <row r="234" spans="2:8">
      <c r="B234" s="1" t="s">
        <v>308</v>
      </c>
      <c r="C234" s="95">
        <f>'data for stata'!D231</f>
        <v>129.10441068915034</v>
      </c>
      <c r="E234" s="12">
        <v>208.86</v>
      </c>
      <c r="F234" s="119" t="str">
        <f t="shared" si="10"/>
        <v>FALSE</v>
      </c>
      <c r="G234" s="119">
        <f t="shared" si="12"/>
        <v>0</v>
      </c>
      <c r="H234" s="119">
        <f t="shared" si="11"/>
        <v>129.10441068915034</v>
      </c>
    </row>
    <row r="235" spans="2:8">
      <c r="B235" s="1" t="s">
        <v>301</v>
      </c>
      <c r="C235" s="95">
        <f>'data for stata'!D232</f>
        <v>111.81352277536504</v>
      </c>
      <c r="E235" s="12">
        <v>208.86</v>
      </c>
      <c r="F235" s="119" t="str">
        <f t="shared" si="10"/>
        <v>FALSE</v>
      </c>
      <c r="G235" s="119">
        <f t="shared" si="12"/>
        <v>0</v>
      </c>
      <c r="H235" s="119">
        <f t="shared" si="11"/>
        <v>111.81352277536504</v>
      </c>
    </row>
    <row r="236" spans="2:8">
      <c r="B236" s="1" t="s">
        <v>320</v>
      </c>
      <c r="C236" s="95">
        <f>'data for stata'!D233</f>
        <v>75.757691030430422</v>
      </c>
      <c r="E236" s="12">
        <v>208.86</v>
      </c>
      <c r="F236" s="119" t="str">
        <f t="shared" si="10"/>
        <v>FALSE</v>
      </c>
      <c r="G236" s="119">
        <f t="shared" si="12"/>
        <v>0</v>
      </c>
      <c r="H236" s="119">
        <f t="shared" si="11"/>
        <v>75.757691030430422</v>
      </c>
    </row>
    <row r="237" spans="2:8">
      <c r="B237" s="1" t="s">
        <v>303</v>
      </c>
      <c r="C237" s="95">
        <f>'data for stata'!D234</f>
        <v>141.21471645027387</v>
      </c>
      <c r="E237" s="12">
        <v>208.86</v>
      </c>
      <c r="F237" s="119" t="str">
        <f t="shared" si="10"/>
        <v>FALSE</v>
      </c>
      <c r="G237" s="119">
        <f t="shared" si="12"/>
        <v>0</v>
      </c>
      <c r="H237" s="119">
        <f t="shared" si="11"/>
        <v>141.21471645027387</v>
      </c>
    </row>
    <row r="238" spans="2:8">
      <c r="B238" s="1" t="s">
        <v>322</v>
      </c>
      <c r="C238" s="95">
        <f>'data for stata'!D235</f>
        <v>77.852108754763265</v>
      </c>
      <c r="E238" s="12">
        <v>208.86</v>
      </c>
      <c r="F238" s="119" t="str">
        <f t="shared" si="10"/>
        <v>FALSE</v>
      </c>
      <c r="G238" s="119">
        <f t="shared" si="12"/>
        <v>0</v>
      </c>
      <c r="H238" s="119">
        <f t="shared" si="11"/>
        <v>77.852108754763265</v>
      </c>
    </row>
    <row r="239" spans="2:8">
      <c r="B239" s="1" t="s">
        <v>299</v>
      </c>
      <c r="C239" s="95">
        <f>'data for stata'!D236</f>
        <v>117.53071368940297</v>
      </c>
      <c r="E239" s="12">
        <v>208.86</v>
      </c>
      <c r="F239" s="119" t="str">
        <f t="shared" si="10"/>
        <v>FALSE</v>
      </c>
      <c r="G239" s="119">
        <f t="shared" si="12"/>
        <v>0</v>
      </c>
      <c r="H239" s="119">
        <f t="shared" si="11"/>
        <v>117.53071368940297</v>
      </c>
    </row>
    <row r="240" spans="2:8">
      <c r="B240" s="1" t="s">
        <v>305</v>
      </c>
      <c r="C240" s="95">
        <f>'data for stata'!D237</f>
        <v>138.24692490967692</v>
      </c>
      <c r="E240" s="12">
        <v>208.86</v>
      </c>
      <c r="F240" s="119" t="str">
        <f t="shared" si="10"/>
        <v>FALSE</v>
      </c>
      <c r="G240" s="119">
        <f t="shared" si="12"/>
        <v>0</v>
      </c>
      <c r="H240" s="119">
        <f t="shared" si="11"/>
        <v>138.24692490967692</v>
      </c>
    </row>
    <row r="241" spans="2:8">
      <c r="B241" s="1" t="s">
        <v>310</v>
      </c>
      <c r="C241" s="95">
        <f>'data for stata'!D238</f>
        <v>105.23926911096544</v>
      </c>
      <c r="E241" s="12">
        <v>208.86</v>
      </c>
      <c r="F241" s="119" t="str">
        <f t="shared" si="10"/>
        <v>FALSE</v>
      </c>
      <c r="G241" s="119">
        <f t="shared" si="12"/>
        <v>0</v>
      </c>
      <c r="H241" s="119">
        <f t="shared" si="11"/>
        <v>105.23926911096544</v>
      </c>
    </row>
    <row r="242" spans="2:8">
      <c r="B242" s="1" t="s">
        <v>325</v>
      </c>
      <c r="C242" s="95">
        <f>'data for stata'!D239</f>
        <v>65.817916755074293</v>
      </c>
      <c r="E242" s="12">
        <v>208.86</v>
      </c>
      <c r="F242" s="119" t="str">
        <f t="shared" si="10"/>
        <v>FALSE</v>
      </c>
      <c r="G242" s="119">
        <f t="shared" si="12"/>
        <v>0</v>
      </c>
      <c r="H242" s="119">
        <f t="shared" si="11"/>
        <v>65.817916755074293</v>
      </c>
    </row>
    <row r="243" spans="2:8">
      <c r="B243" s="1" t="s">
        <v>327</v>
      </c>
      <c r="C243" s="95">
        <f>'data for stata'!D240</f>
        <v>65.817916755074293</v>
      </c>
      <c r="E243" s="12">
        <v>208.86</v>
      </c>
      <c r="F243" s="119" t="str">
        <f t="shared" si="10"/>
        <v>FALSE</v>
      </c>
      <c r="G243" s="119">
        <f t="shared" si="12"/>
        <v>0</v>
      </c>
      <c r="H243" s="119">
        <f t="shared" si="11"/>
        <v>65.817916755074293</v>
      </c>
    </row>
    <row r="244" spans="2:8">
      <c r="B244" s="1" t="s">
        <v>329</v>
      </c>
      <c r="C244" s="95">
        <f>'data for stata'!D241</f>
        <v>65.817916755074293</v>
      </c>
      <c r="E244" s="12">
        <v>208.86</v>
      </c>
      <c r="F244" s="119" t="str">
        <f t="shared" si="10"/>
        <v>FALSE</v>
      </c>
      <c r="G244" s="119">
        <f t="shared" si="12"/>
        <v>0</v>
      </c>
      <c r="H244" s="119">
        <f t="shared" si="11"/>
        <v>65.817916755074293</v>
      </c>
    </row>
    <row r="245" spans="2:8">
      <c r="B245" s="1" t="s">
        <v>312</v>
      </c>
      <c r="C245" s="95">
        <f>'data for stata'!D242</f>
        <v>98.669043718316914</v>
      </c>
      <c r="E245" s="12">
        <v>208.86</v>
      </c>
      <c r="F245" s="119" t="str">
        <f t="shared" si="10"/>
        <v>FALSE</v>
      </c>
      <c r="G245" s="119">
        <f t="shared" si="12"/>
        <v>0</v>
      </c>
      <c r="H245" s="119">
        <f t="shared" si="11"/>
        <v>98.669043718316914</v>
      </c>
    </row>
    <row r="246" spans="2:8">
      <c r="B246" s="1" t="s">
        <v>332</v>
      </c>
      <c r="C246" s="95">
        <f>'data for stata'!D243</f>
        <v>65.817916755074293</v>
      </c>
      <c r="E246" s="12">
        <v>208.86</v>
      </c>
      <c r="F246" s="119" t="str">
        <f t="shared" si="10"/>
        <v>FALSE</v>
      </c>
      <c r="G246" s="119">
        <f t="shared" si="12"/>
        <v>0</v>
      </c>
      <c r="H246" s="119">
        <f t="shared" si="11"/>
        <v>65.817916755074293</v>
      </c>
    </row>
    <row r="247" spans="2:8">
      <c r="B247" s="1" t="s">
        <v>313</v>
      </c>
      <c r="C247" s="95">
        <f>'data for stata'!D244</f>
        <v>162.80447914206857</v>
      </c>
      <c r="E247" s="12">
        <v>208.86</v>
      </c>
      <c r="F247" s="119" t="str">
        <f t="shared" si="10"/>
        <v>FALSE</v>
      </c>
      <c r="G247" s="119">
        <f t="shared" si="12"/>
        <v>0</v>
      </c>
      <c r="H247" s="119">
        <f t="shared" si="11"/>
        <v>162.80447914206857</v>
      </c>
    </row>
    <row r="248" spans="2:8">
      <c r="B248" s="1" t="s">
        <v>315</v>
      </c>
      <c r="C248" s="95">
        <f>'data for stata'!D245</f>
        <v>119.82115186356927</v>
      </c>
      <c r="E248" s="12">
        <v>208.86</v>
      </c>
      <c r="F248" s="119" t="str">
        <f t="shared" si="10"/>
        <v>FALSE</v>
      </c>
      <c r="G248" s="119">
        <f t="shared" si="12"/>
        <v>0</v>
      </c>
      <c r="H248" s="119">
        <f t="shared" si="11"/>
        <v>119.82115186356927</v>
      </c>
    </row>
    <row r="249" spans="2:8">
      <c r="B249" s="1" t="s">
        <v>335</v>
      </c>
      <c r="C249" s="95">
        <f>'data for stata'!D246</f>
        <v>100.72203437907294</v>
      </c>
      <c r="E249" s="12">
        <v>208.86</v>
      </c>
      <c r="F249" s="119" t="str">
        <f t="shared" si="10"/>
        <v>FALSE</v>
      </c>
      <c r="G249" s="119">
        <f t="shared" si="12"/>
        <v>0</v>
      </c>
      <c r="H249" s="119">
        <f t="shared" si="11"/>
        <v>100.72203437907294</v>
      </c>
    </row>
    <row r="250" spans="2:8">
      <c r="B250" s="1" t="s">
        <v>317</v>
      </c>
      <c r="C250" s="95">
        <f>'data for stata'!D247</f>
        <v>116.59913946463334</v>
      </c>
      <c r="E250" s="12">
        <v>208.86</v>
      </c>
      <c r="F250" s="119" t="str">
        <f t="shared" si="10"/>
        <v>FALSE</v>
      </c>
      <c r="G250" s="119">
        <f t="shared" si="12"/>
        <v>0</v>
      </c>
      <c r="H250" s="119">
        <f t="shared" si="11"/>
        <v>116.59913946463334</v>
      </c>
    </row>
    <row r="251" spans="2:8">
      <c r="B251" s="1" t="s">
        <v>338</v>
      </c>
      <c r="C251" s="95">
        <f>'data for stata'!D248</f>
        <v>65.817916755074293</v>
      </c>
      <c r="E251" s="12">
        <v>208.86</v>
      </c>
      <c r="F251" s="119" t="str">
        <f t="shared" si="10"/>
        <v>FALSE</v>
      </c>
      <c r="G251" s="119">
        <f t="shared" si="12"/>
        <v>0</v>
      </c>
      <c r="H251" s="119">
        <f t="shared" si="11"/>
        <v>65.817916755074293</v>
      </c>
    </row>
    <row r="252" spans="2:8">
      <c r="B252" s="1" t="s">
        <v>318</v>
      </c>
      <c r="C252" s="95">
        <f>'data for stata'!D249</f>
        <v>220.73441964664951</v>
      </c>
      <c r="E252" s="12">
        <v>208.86</v>
      </c>
      <c r="F252" s="119" t="str">
        <f t="shared" si="10"/>
        <v>TRUE</v>
      </c>
      <c r="G252" s="119">
        <f t="shared" si="12"/>
        <v>62.269568422156766</v>
      </c>
      <c r="H252" s="119">
        <f t="shared" si="11"/>
        <v>158.46485122449275</v>
      </c>
    </row>
    <row r="253" spans="2:8">
      <c r="B253" s="1" t="s">
        <v>319</v>
      </c>
      <c r="C253" s="95">
        <f>'data for stata'!D250</f>
        <v>98.512949847578071</v>
      </c>
      <c r="E253" s="12">
        <v>208.86</v>
      </c>
      <c r="F253" s="119" t="str">
        <f t="shared" si="10"/>
        <v>FALSE</v>
      </c>
      <c r="G253" s="119">
        <f t="shared" si="12"/>
        <v>0</v>
      </c>
      <c r="H253" s="119">
        <f t="shared" si="11"/>
        <v>98.512949847578071</v>
      </c>
    </row>
    <row r="254" spans="2:8">
      <c r="B254" s="1" t="s">
        <v>321</v>
      </c>
      <c r="C254" s="95">
        <f>'data for stata'!D251</f>
        <v>120.96970777398627</v>
      </c>
      <c r="E254" s="12">
        <v>208.86</v>
      </c>
      <c r="F254" s="119" t="str">
        <f t="shared" si="10"/>
        <v>FALSE</v>
      </c>
      <c r="G254" s="119">
        <f t="shared" si="12"/>
        <v>0</v>
      </c>
      <c r="H254" s="119">
        <f t="shared" si="11"/>
        <v>120.96970777398627</v>
      </c>
    </row>
    <row r="255" spans="2:8">
      <c r="B255" s="1" t="s">
        <v>339</v>
      </c>
      <c r="C255" s="95">
        <f>'data for stata'!D252</f>
        <v>113.67078553616363</v>
      </c>
      <c r="E255" s="12">
        <v>208.86</v>
      </c>
      <c r="F255" s="119" t="str">
        <f t="shared" si="10"/>
        <v>FALSE</v>
      </c>
      <c r="G255" s="119">
        <f t="shared" si="12"/>
        <v>0</v>
      </c>
      <c r="H255" s="119">
        <f t="shared" si="11"/>
        <v>113.67078553616363</v>
      </c>
    </row>
    <row r="256" spans="2:8">
      <c r="B256" s="1" t="s">
        <v>324</v>
      </c>
      <c r="C256" s="95">
        <f>'data for stata'!D253</f>
        <v>102.92881647803367</v>
      </c>
      <c r="E256" s="12">
        <v>208.86</v>
      </c>
      <c r="F256" s="119" t="str">
        <f t="shared" si="10"/>
        <v>FALSE</v>
      </c>
      <c r="G256" s="119">
        <f t="shared" si="12"/>
        <v>0</v>
      </c>
      <c r="H256" s="119">
        <f t="shared" si="11"/>
        <v>102.92881647803367</v>
      </c>
    </row>
    <row r="257" spans="2:8">
      <c r="B257" s="1" t="s">
        <v>344</v>
      </c>
      <c r="C257" s="95">
        <f>'data for stata'!D254</f>
        <v>65.817916755074293</v>
      </c>
      <c r="E257" s="12">
        <v>208.86</v>
      </c>
      <c r="F257" s="119" t="str">
        <f t="shared" si="10"/>
        <v>FALSE</v>
      </c>
      <c r="G257" s="119">
        <f t="shared" si="12"/>
        <v>0</v>
      </c>
      <c r="H257" s="119">
        <f t="shared" si="11"/>
        <v>65.817916755074293</v>
      </c>
    </row>
    <row r="258" spans="2:8">
      <c r="B258" s="1" t="s">
        <v>326</v>
      </c>
      <c r="C258" s="95">
        <f>'data for stata'!D255</f>
        <v>86.901444251155326</v>
      </c>
      <c r="E258" s="12">
        <v>208.86</v>
      </c>
      <c r="F258" s="119" t="str">
        <f t="shared" si="10"/>
        <v>FALSE</v>
      </c>
      <c r="G258" s="119">
        <f t="shared" si="12"/>
        <v>0</v>
      </c>
      <c r="H258" s="119">
        <f t="shared" si="11"/>
        <v>86.901444251155326</v>
      </c>
    </row>
    <row r="259" spans="2:8">
      <c r="B259" s="1" t="s">
        <v>328</v>
      </c>
      <c r="C259" s="95">
        <f>'data for stata'!D256</f>
        <v>67.016094108039411</v>
      </c>
      <c r="E259" s="12">
        <v>208.86</v>
      </c>
      <c r="F259" s="119" t="str">
        <f t="shared" si="10"/>
        <v>FALSE</v>
      </c>
      <c r="G259" s="119">
        <f t="shared" si="12"/>
        <v>0</v>
      </c>
      <c r="H259" s="119">
        <f t="shared" si="11"/>
        <v>67.016094108039411</v>
      </c>
    </row>
    <row r="260" spans="2:8">
      <c r="B260" s="1" t="s">
        <v>330</v>
      </c>
      <c r="C260" s="95">
        <f>'data for stata'!D257</f>
        <v>66.800621038911075</v>
      </c>
      <c r="E260" s="12">
        <v>208.86</v>
      </c>
      <c r="F260" s="119" t="str">
        <f t="shared" ref="F260:F393" si="13">IF(E260&lt;C260,"TRUE","FALSE")</f>
        <v>FALSE</v>
      </c>
      <c r="G260" s="119">
        <f t="shared" si="12"/>
        <v>0</v>
      </c>
      <c r="H260" s="119">
        <f t="shared" si="11"/>
        <v>66.800621038911075</v>
      </c>
    </row>
    <row r="261" spans="2:8">
      <c r="B261" s="1" t="s">
        <v>331</v>
      </c>
      <c r="C261" s="95">
        <f>'data for stata'!D258</f>
        <v>97.201048874091384</v>
      </c>
      <c r="E261" s="12">
        <v>208.86</v>
      </c>
      <c r="F261" s="119" t="str">
        <f t="shared" si="13"/>
        <v>FALSE</v>
      </c>
      <c r="G261" s="119">
        <f t="shared" si="12"/>
        <v>0</v>
      </c>
      <c r="H261" s="119">
        <f t="shared" ref="H261:H394" si="14">IF(F261="False",C261,C261-(G261))</f>
        <v>97.201048874091384</v>
      </c>
    </row>
    <row r="262" spans="2:8">
      <c r="B262" s="1" t="s">
        <v>333</v>
      </c>
      <c r="C262" s="95">
        <f>'data for stata'!D259</f>
        <v>128.81579764656269</v>
      </c>
      <c r="E262" s="12">
        <v>208.86</v>
      </c>
      <c r="F262" s="119" t="str">
        <f t="shared" si="13"/>
        <v>FALSE</v>
      </c>
      <c r="G262" s="119">
        <f t="shared" si="12"/>
        <v>0</v>
      </c>
      <c r="H262" s="119">
        <f t="shared" si="14"/>
        <v>128.81579764656269</v>
      </c>
    </row>
    <row r="263" spans="2:8">
      <c r="B263" s="1" t="s">
        <v>334</v>
      </c>
      <c r="C263" s="95">
        <f>'data for stata'!D260</f>
        <v>96.379072503205435</v>
      </c>
      <c r="E263" s="12">
        <v>208.86</v>
      </c>
      <c r="F263" s="119" t="str">
        <f t="shared" si="13"/>
        <v>FALSE</v>
      </c>
      <c r="G263" s="119">
        <f t="shared" si="12"/>
        <v>0</v>
      </c>
      <c r="H263" s="119">
        <f t="shared" si="14"/>
        <v>96.379072503205435</v>
      </c>
    </row>
    <row r="264" spans="2:8">
      <c r="B264" s="1" t="s">
        <v>336</v>
      </c>
      <c r="C264" s="95">
        <f>'data for stata'!D261</f>
        <v>130.12792601343801</v>
      </c>
      <c r="E264" s="12">
        <v>208.86</v>
      </c>
      <c r="F264" s="119" t="str">
        <f t="shared" si="13"/>
        <v>FALSE</v>
      </c>
      <c r="G264" s="119">
        <f t="shared" si="12"/>
        <v>0</v>
      </c>
      <c r="H264" s="119">
        <f t="shared" si="14"/>
        <v>130.12792601343801</v>
      </c>
    </row>
    <row r="265" spans="2:8">
      <c r="B265" s="1" t="s">
        <v>274</v>
      </c>
      <c r="C265" s="95">
        <f>'data for stata'!D262</f>
        <v>329.13767353114991</v>
      </c>
      <c r="E265" s="12">
        <v>208.86</v>
      </c>
      <c r="F265" s="119" t="str">
        <f t="shared" si="13"/>
        <v>TRUE</v>
      </c>
      <c r="G265" s="119">
        <f t="shared" si="12"/>
        <v>62.269568422156766</v>
      </c>
      <c r="H265" s="119">
        <f t="shared" si="14"/>
        <v>266.86810510899318</v>
      </c>
    </row>
    <row r="266" spans="2:8">
      <c r="B266" s="1" t="s">
        <v>306</v>
      </c>
      <c r="C266" s="95">
        <f>'data for stata'!D263</f>
        <v>240.85554215119714</v>
      </c>
      <c r="E266" s="12">
        <v>208.86</v>
      </c>
      <c r="F266" s="119" t="str">
        <f t="shared" si="13"/>
        <v>TRUE</v>
      </c>
      <c r="G266" s="119">
        <f t="shared" si="12"/>
        <v>62.269568422156766</v>
      </c>
      <c r="H266" s="119">
        <f t="shared" si="14"/>
        <v>178.58597372904038</v>
      </c>
    </row>
    <row r="267" spans="2:8">
      <c r="B267" s="1" t="s">
        <v>337</v>
      </c>
      <c r="C267" s="95">
        <f>'data for stata'!D264</f>
        <v>128.39149428898691</v>
      </c>
      <c r="E267" s="12">
        <v>208.86</v>
      </c>
      <c r="F267" s="119" t="str">
        <f t="shared" si="13"/>
        <v>FALSE</v>
      </c>
      <c r="G267" s="119">
        <f t="shared" ref="G267:G288" si="15">IF(F267="FALSE",0,E$138-D$138)</f>
        <v>0</v>
      </c>
      <c r="H267" s="119">
        <f t="shared" si="14"/>
        <v>128.39149428898691</v>
      </c>
    </row>
    <row r="268" spans="2:8">
      <c r="B268" s="1" t="s">
        <v>340</v>
      </c>
      <c r="C268" s="95">
        <f>'data for stata'!D265</f>
        <v>263.23661263651411</v>
      </c>
      <c r="E268" s="12">
        <v>208.86</v>
      </c>
      <c r="F268" s="119" t="str">
        <f t="shared" si="13"/>
        <v>TRUE</v>
      </c>
      <c r="G268" s="119">
        <f t="shared" si="15"/>
        <v>62.269568422156766</v>
      </c>
      <c r="H268" s="119">
        <f t="shared" si="14"/>
        <v>200.96704421435734</v>
      </c>
    </row>
    <row r="269" spans="2:8">
      <c r="B269" s="1" t="s">
        <v>341</v>
      </c>
      <c r="C269" s="95">
        <f>'data for stata'!D266</f>
        <v>632.89166784121562</v>
      </c>
      <c r="E269" s="12">
        <v>208.86</v>
      </c>
      <c r="F269" s="119" t="str">
        <f t="shared" si="13"/>
        <v>TRUE</v>
      </c>
      <c r="G269" s="119">
        <f t="shared" si="15"/>
        <v>62.269568422156766</v>
      </c>
      <c r="H269" s="119">
        <f t="shared" si="14"/>
        <v>570.62209941905883</v>
      </c>
    </row>
    <row r="270" spans="2:8">
      <c r="B270" s="1" t="s">
        <v>342</v>
      </c>
      <c r="C270" s="95">
        <f>'data for stata'!D267</f>
        <v>98.081614034207377</v>
      </c>
      <c r="E270" s="12">
        <v>208.86</v>
      </c>
      <c r="F270" s="119" t="str">
        <f t="shared" si="13"/>
        <v>FALSE</v>
      </c>
      <c r="G270" s="119">
        <f t="shared" si="15"/>
        <v>0</v>
      </c>
      <c r="H270" s="119">
        <f t="shared" si="14"/>
        <v>98.081614034207377</v>
      </c>
    </row>
    <row r="271" spans="2:8">
      <c r="B271" s="2" t="s">
        <v>343</v>
      </c>
      <c r="C271" s="95">
        <f>'data for stata'!D268</f>
        <v>241.54422216757519</v>
      </c>
      <c r="E271" s="12">
        <v>208.86</v>
      </c>
      <c r="F271" s="119" t="str">
        <f t="shared" si="13"/>
        <v>TRUE</v>
      </c>
      <c r="G271" s="119">
        <f t="shared" si="15"/>
        <v>62.269568422156766</v>
      </c>
      <c r="H271" s="119">
        <f t="shared" si="14"/>
        <v>179.27465374541842</v>
      </c>
    </row>
    <row r="272" spans="2:8">
      <c r="B272" s="2" t="s">
        <v>345</v>
      </c>
      <c r="C272" s="95">
        <f>'data for stata'!D269</f>
        <v>151.41005274673989</v>
      </c>
      <c r="E272" s="12">
        <v>208.86</v>
      </c>
      <c r="F272" s="119" t="str">
        <f t="shared" si="13"/>
        <v>FALSE</v>
      </c>
      <c r="G272" s="119">
        <f t="shared" si="15"/>
        <v>0</v>
      </c>
      <c r="H272" s="119">
        <f t="shared" si="14"/>
        <v>151.41005274673989</v>
      </c>
    </row>
    <row r="273" spans="2:8">
      <c r="B273" s="2" t="s">
        <v>346</v>
      </c>
      <c r="C273" s="95">
        <f>'data for stata'!D270</f>
        <v>81.492960442002428</v>
      </c>
      <c r="E273" s="12">
        <v>208.86</v>
      </c>
      <c r="F273" s="119" t="str">
        <f t="shared" si="13"/>
        <v>FALSE</v>
      </c>
      <c r="G273" s="119">
        <f t="shared" si="15"/>
        <v>0</v>
      </c>
      <c r="H273" s="119">
        <f t="shared" si="14"/>
        <v>81.492960442002428</v>
      </c>
    </row>
    <row r="274" spans="2:8">
      <c r="B274" s="2" t="s">
        <v>349</v>
      </c>
      <c r="C274" s="95">
        <f>'data for stata'!D271</f>
        <v>65.817916755074293</v>
      </c>
      <c r="E274" s="12">
        <v>208.86</v>
      </c>
      <c r="F274" s="119" t="str">
        <f t="shared" si="13"/>
        <v>FALSE</v>
      </c>
      <c r="G274" s="119">
        <f t="shared" si="15"/>
        <v>0</v>
      </c>
      <c r="H274" s="119">
        <f t="shared" si="14"/>
        <v>65.817916755074293</v>
      </c>
    </row>
    <row r="275" spans="2:8">
      <c r="B275" s="2" t="s">
        <v>350</v>
      </c>
      <c r="C275" s="95">
        <f>'data for stata'!D272</f>
        <v>74.781877164209646</v>
      </c>
      <c r="E275" s="12">
        <v>208.86</v>
      </c>
      <c r="F275" s="119" t="str">
        <f t="shared" si="13"/>
        <v>FALSE</v>
      </c>
      <c r="G275" s="119">
        <f t="shared" si="15"/>
        <v>0</v>
      </c>
      <c r="H275" s="119">
        <f t="shared" si="14"/>
        <v>74.781877164209646</v>
      </c>
    </row>
    <row r="276" spans="2:8">
      <c r="B276" s="2" t="s">
        <v>352</v>
      </c>
      <c r="C276" s="95">
        <f>'data for stata'!D273</f>
        <v>429.03019577936192</v>
      </c>
      <c r="E276" s="12">
        <v>208.86</v>
      </c>
      <c r="F276" s="119" t="str">
        <f t="shared" si="13"/>
        <v>TRUE</v>
      </c>
      <c r="G276" s="119">
        <f t="shared" si="15"/>
        <v>62.269568422156766</v>
      </c>
      <c r="H276" s="119">
        <f t="shared" si="14"/>
        <v>366.76062735720518</v>
      </c>
    </row>
    <row r="277" spans="2:8">
      <c r="B277" s="2" t="s">
        <v>353</v>
      </c>
      <c r="C277" s="95">
        <f>'data for stata'!D274</f>
        <v>65.817916755074293</v>
      </c>
      <c r="E277" s="12">
        <v>208.86</v>
      </c>
      <c r="F277" s="119" t="str">
        <f t="shared" si="13"/>
        <v>FALSE</v>
      </c>
      <c r="G277" s="119">
        <f t="shared" si="15"/>
        <v>0</v>
      </c>
      <c r="H277" s="119">
        <f t="shared" si="14"/>
        <v>65.817916755074293</v>
      </c>
    </row>
    <row r="278" spans="2:8">
      <c r="B278" s="1" t="s">
        <v>354</v>
      </c>
      <c r="C278" s="95">
        <f>'data for stata'!D275</f>
        <v>77.203871500521828</v>
      </c>
      <c r="E278" s="12">
        <v>208.86</v>
      </c>
      <c r="F278" s="119" t="str">
        <f t="shared" si="13"/>
        <v>FALSE</v>
      </c>
      <c r="G278" s="119">
        <f t="shared" si="15"/>
        <v>0</v>
      </c>
      <c r="H278" s="119">
        <f t="shared" si="14"/>
        <v>77.203871500521828</v>
      </c>
    </row>
    <row r="279" spans="2:8">
      <c r="B279" s="1" t="s">
        <v>355</v>
      </c>
      <c r="C279" s="95">
        <f>'data for stata'!D276</f>
        <v>104.5308785882898</v>
      </c>
      <c r="E279" s="12">
        <v>208.86</v>
      </c>
      <c r="F279" s="119" t="str">
        <f t="shared" si="13"/>
        <v>FALSE</v>
      </c>
      <c r="G279" s="119">
        <f t="shared" si="15"/>
        <v>0</v>
      </c>
      <c r="H279" s="119">
        <f t="shared" si="14"/>
        <v>104.5308785882898</v>
      </c>
    </row>
    <row r="280" spans="2:8">
      <c r="B280" s="1" t="s">
        <v>356</v>
      </c>
      <c r="C280" s="95">
        <f>'data for stata'!D277</f>
        <v>104.61966614912683</v>
      </c>
      <c r="E280" s="12">
        <v>208.86</v>
      </c>
      <c r="F280" s="119" t="str">
        <f t="shared" si="13"/>
        <v>FALSE</v>
      </c>
      <c r="G280" s="119">
        <f t="shared" si="15"/>
        <v>0</v>
      </c>
      <c r="H280" s="119">
        <f t="shared" si="14"/>
        <v>104.61966614912683</v>
      </c>
    </row>
    <row r="281" spans="2:8">
      <c r="B281" s="1" t="s">
        <v>250</v>
      </c>
      <c r="C281" s="95">
        <f>'data for stata'!D278</f>
        <v>82.871890705574089</v>
      </c>
      <c r="E281" s="12">
        <v>208.86</v>
      </c>
      <c r="F281" s="119" t="str">
        <f t="shared" si="13"/>
        <v>FALSE</v>
      </c>
      <c r="G281" s="119">
        <f t="shared" si="15"/>
        <v>0</v>
      </c>
      <c r="H281" s="119">
        <f t="shared" si="14"/>
        <v>82.871890705574089</v>
      </c>
    </row>
    <row r="282" spans="2:8">
      <c r="B282" s="1" t="s">
        <v>357</v>
      </c>
      <c r="C282" s="95">
        <f>'data for stata'!D279</f>
        <v>96.303599891613572</v>
      </c>
      <c r="E282" s="12">
        <v>208.86</v>
      </c>
      <c r="F282" s="119" t="str">
        <f t="shared" si="13"/>
        <v>FALSE</v>
      </c>
      <c r="G282" s="119">
        <f t="shared" si="15"/>
        <v>0</v>
      </c>
      <c r="H282" s="119">
        <f t="shared" si="14"/>
        <v>96.303599891613572</v>
      </c>
    </row>
    <row r="283" spans="2:8">
      <c r="B283" s="1" t="s">
        <v>358</v>
      </c>
      <c r="C283" s="95">
        <f>'data for stata'!D280</f>
        <v>390.13055538932252</v>
      </c>
      <c r="E283" s="12">
        <v>208.86</v>
      </c>
      <c r="F283" s="119" t="str">
        <f t="shared" si="13"/>
        <v>TRUE</v>
      </c>
      <c r="G283" s="119">
        <f t="shared" si="15"/>
        <v>62.269568422156766</v>
      </c>
      <c r="H283" s="119">
        <f t="shared" si="14"/>
        <v>327.86098696716579</v>
      </c>
    </row>
    <row r="284" spans="2:8">
      <c r="B284" s="1" t="s">
        <v>359</v>
      </c>
      <c r="C284" s="95">
        <f>'data for stata'!D281</f>
        <v>65.817916755074293</v>
      </c>
      <c r="E284" s="12">
        <v>208.86</v>
      </c>
      <c r="F284" s="119" t="str">
        <f t="shared" si="13"/>
        <v>FALSE</v>
      </c>
      <c r="G284" s="119">
        <f t="shared" si="15"/>
        <v>0</v>
      </c>
      <c r="H284" s="119">
        <f t="shared" si="14"/>
        <v>65.817916755074293</v>
      </c>
    </row>
    <row r="285" spans="2:8">
      <c r="B285" s="1" t="s">
        <v>360</v>
      </c>
      <c r="C285" s="95">
        <f>'data for stata'!D282</f>
        <v>197.70746721741997</v>
      </c>
      <c r="E285" s="12">
        <v>208.86</v>
      </c>
      <c r="F285" s="119" t="str">
        <f t="shared" si="13"/>
        <v>FALSE</v>
      </c>
      <c r="G285" s="119">
        <f t="shared" si="15"/>
        <v>0</v>
      </c>
      <c r="H285" s="119">
        <f t="shared" si="14"/>
        <v>197.70746721741997</v>
      </c>
    </row>
    <row r="286" spans="2:8">
      <c r="B286" s="2" t="s">
        <v>361</v>
      </c>
      <c r="C286" s="95">
        <f>'data for stata'!D283</f>
        <v>202.24286777377912</v>
      </c>
      <c r="E286" s="12">
        <v>208.86</v>
      </c>
      <c r="F286" s="119" t="str">
        <f t="shared" si="13"/>
        <v>FALSE</v>
      </c>
      <c r="G286" s="119">
        <f t="shared" si="15"/>
        <v>0</v>
      </c>
      <c r="H286" s="119">
        <f t="shared" si="14"/>
        <v>202.24286777377912</v>
      </c>
    </row>
    <row r="287" spans="2:8">
      <c r="B287" s="1" t="s">
        <v>362</v>
      </c>
      <c r="C287" s="95">
        <f>'data for stata'!D284</f>
        <v>102.63620902706347</v>
      </c>
      <c r="E287" s="12">
        <v>208.86</v>
      </c>
      <c r="F287" s="119" t="str">
        <f t="shared" si="13"/>
        <v>FALSE</v>
      </c>
      <c r="G287" s="119">
        <f t="shared" si="15"/>
        <v>0</v>
      </c>
      <c r="H287" s="119">
        <f t="shared" si="14"/>
        <v>102.63620902706347</v>
      </c>
    </row>
    <row r="288" spans="2:8">
      <c r="B288" s="1" t="s">
        <v>363</v>
      </c>
      <c r="C288" s="95">
        <f>'data for stata'!D285</f>
        <v>242.85158636734326</v>
      </c>
      <c r="E288" s="12">
        <v>208.86</v>
      </c>
      <c r="F288" s="119" t="str">
        <f t="shared" si="13"/>
        <v>TRUE</v>
      </c>
      <c r="G288" s="119">
        <f t="shared" si="15"/>
        <v>62.269568422156766</v>
      </c>
      <c r="H288" s="119">
        <f t="shared" si="14"/>
        <v>180.58201794518649</v>
      </c>
    </row>
    <row r="289" spans="1:13">
      <c r="A289" s="119"/>
      <c r="B289" s="1" t="s">
        <v>347</v>
      </c>
      <c r="C289" s="119">
        <f>'Aggregated Table'!C289</f>
        <v>4053</v>
      </c>
      <c r="F289" s="119"/>
      <c r="G289" s="119"/>
      <c r="H289" s="119"/>
      <c r="I289" s="119"/>
      <c r="J289" s="119"/>
      <c r="K289" s="119"/>
      <c r="L289" s="119"/>
      <c r="M289" s="119"/>
    </row>
    <row r="290" spans="1:13">
      <c r="A290" s="119" t="s">
        <v>369</v>
      </c>
      <c r="B290" s="119"/>
      <c r="C290" s="119"/>
      <c r="F290" s="119"/>
      <c r="G290" s="119"/>
      <c r="H290" s="119"/>
      <c r="I290" s="119"/>
      <c r="J290" s="119"/>
      <c r="K290" s="119"/>
      <c r="L290" s="119"/>
      <c r="M290" s="119"/>
    </row>
    <row r="291" spans="1:13">
      <c r="A291" s="119"/>
      <c r="B291" s="42" t="s">
        <v>391</v>
      </c>
      <c r="C291" s="119">
        <f>'Aggregated Table'!D291</f>
        <v>190.09401504826278</v>
      </c>
      <c r="D291" s="9">
        <f>SUMPRODUCT(C291:C369,'Aggregated Table'!C291:C369)/SUM('Aggregated Table'!C291:C369)</f>
        <v>85.232157602079369</v>
      </c>
      <c r="E291" s="12">
        <v>208.86</v>
      </c>
      <c r="F291" s="119" t="str">
        <f t="shared" si="13"/>
        <v>FALSE</v>
      </c>
      <c r="G291" s="119">
        <f>IF(F291="FALSE",0,E$291-D$291)</f>
        <v>0</v>
      </c>
      <c r="H291" s="119">
        <f t="shared" si="14"/>
        <v>190.09401504826278</v>
      </c>
      <c r="I291" s="9">
        <f>SUMPRODUCT(H291:H369,'Aggregated Table'!C291:C369)/SUM('Aggregated Table'!C291:C369)</f>
        <v>76.574204227743522</v>
      </c>
      <c r="J291" s="119">
        <f>E291-I291</f>
        <v>132.28579577225651</v>
      </c>
      <c r="K291" s="119">
        <f>L291-M291</f>
        <v>3</v>
      </c>
      <c r="L291" s="119">
        <f>COUNT(G291:G369)</f>
        <v>79</v>
      </c>
      <c r="M291" s="119">
        <f>COUNTIF(G291:G369,0)</f>
        <v>76</v>
      </c>
    </row>
    <row r="292" spans="1:13">
      <c r="A292" s="119"/>
      <c r="B292" s="19" t="s">
        <v>392</v>
      </c>
      <c r="C292" s="119">
        <f>'Aggregated Table'!D292</f>
        <v>44.967600446103212</v>
      </c>
      <c r="E292" s="12">
        <v>208.86</v>
      </c>
      <c r="F292" s="119" t="str">
        <f t="shared" si="13"/>
        <v>FALSE</v>
      </c>
      <c r="G292" s="119">
        <f t="shared" ref="G292:G303" si="16">IF(F292="FALSE",0,E$291-D$291)</f>
        <v>0</v>
      </c>
      <c r="H292" s="119">
        <f t="shared" si="14"/>
        <v>44.967600446103212</v>
      </c>
      <c r="I292" s="119"/>
      <c r="J292" s="119"/>
      <c r="K292" s="119"/>
      <c r="L292" s="119"/>
      <c r="M292" s="119"/>
    </row>
    <row r="293" spans="1:13">
      <c r="A293" s="119"/>
      <c r="B293" s="19" t="s">
        <v>393</v>
      </c>
      <c r="C293" s="119">
        <f>'Aggregated Table'!D293</f>
        <v>43.485776642697409</v>
      </c>
      <c r="E293" s="12">
        <v>208.86</v>
      </c>
      <c r="F293" s="119" t="str">
        <f t="shared" si="13"/>
        <v>FALSE</v>
      </c>
      <c r="G293" s="119">
        <f t="shared" si="16"/>
        <v>0</v>
      </c>
      <c r="H293" s="119">
        <f t="shared" si="14"/>
        <v>43.485776642697409</v>
      </c>
      <c r="I293" s="119"/>
      <c r="J293" s="119"/>
      <c r="K293" s="119"/>
      <c r="L293" s="119"/>
      <c r="M293" s="119"/>
    </row>
    <row r="294" spans="1:13">
      <c r="A294" s="119"/>
      <c r="B294" s="19" t="s">
        <v>394</v>
      </c>
      <c r="C294" s="119">
        <f>'Aggregated Table'!D294</f>
        <v>21.547174282389015</v>
      </c>
      <c r="E294" s="12">
        <v>208.86</v>
      </c>
      <c r="F294" s="119" t="str">
        <f t="shared" si="13"/>
        <v>FALSE</v>
      </c>
      <c r="G294" s="119">
        <f t="shared" si="16"/>
        <v>0</v>
      </c>
      <c r="H294" s="119">
        <f t="shared" si="14"/>
        <v>21.547174282389015</v>
      </c>
      <c r="I294" s="119"/>
      <c r="J294" s="119"/>
      <c r="K294" s="119"/>
      <c r="L294" s="119"/>
      <c r="M294" s="119"/>
    </row>
    <row r="295" spans="1:13">
      <c r="A295" s="119"/>
      <c r="B295" s="19" t="s">
        <v>395</v>
      </c>
      <c r="C295" s="119">
        <f>'Aggregated Table'!D295</f>
        <v>45.719428937923745</v>
      </c>
      <c r="E295" s="12">
        <v>208.86</v>
      </c>
      <c r="F295" s="119" t="str">
        <f t="shared" si="13"/>
        <v>FALSE</v>
      </c>
      <c r="G295" s="119">
        <f t="shared" si="16"/>
        <v>0</v>
      </c>
      <c r="H295" s="119">
        <f t="shared" si="14"/>
        <v>45.719428937923745</v>
      </c>
      <c r="I295" s="119"/>
      <c r="J295" s="119"/>
      <c r="K295" s="119"/>
      <c r="L295" s="119"/>
      <c r="M295" s="119"/>
    </row>
    <row r="296" spans="1:13">
      <c r="A296" s="119"/>
      <c r="B296" s="19" t="s">
        <v>396</v>
      </c>
      <c r="C296" s="119">
        <f>'Aggregated Table'!D296</f>
        <v>112.47456618302658</v>
      </c>
      <c r="E296" s="12">
        <v>208.86</v>
      </c>
      <c r="F296" s="119" t="str">
        <f t="shared" si="13"/>
        <v>FALSE</v>
      </c>
      <c r="G296" s="119">
        <f t="shared" si="16"/>
        <v>0</v>
      </c>
      <c r="H296" s="119">
        <f t="shared" si="14"/>
        <v>112.47456618302658</v>
      </c>
      <c r="I296" s="119"/>
      <c r="J296" s="119"/>
      <c r="K296" s="119"/>
      <c r="L296" s="119"/>
      <c r="M296" s="119"/>
    </row>
    <row r="297" spans="1:13">
      <c r="A297" s="119"/>
      <c r="B297" s="19" t="s">
        <v>397</v>
      </c>
      <c r="C297" s="119">
        <f>'Aggregated Table'!D297</f>
        <v>213.59406194671172</v>
      </c>
      <c r="E297" s="12">
        <v>208.86</v>
      </c>
      <c r="F297" s="119" t="str">
        <f t="shared" si="13"/>
        <v>TRUE</v>
      </c>
      <c r="G297" s="119">
        <f t="shared" si="16"/>
        <v>123.62784239792065</v>
      </c>
      <c r="H297" s="119">
        <f t="shared" si="14"/>
        <v>89.966219548791074</v>
      </c>
      <c r="I297" s="119"/>
      <c r="J297" s="119"/>
      <c r="K297" s="119"/>
      <c r="L297" s="119"/>
      <c r="M297" s="119"/>
    </row>
    <row r="298" spans="1:13">
      <c r="A298" s="119"/>
      <c r="B298" s="19" t="s">
        <v>398</v>
      </c>
      <c r="C298" s="119">
        <f>'Aggregated Table'!D298</f>
        <v>94.65098019166328</v>
      </c>
      <c r="E298" s="12">
        <v>208.86</v>
      </c>
      <c r="F298" s="119" t="str">
        <f t="shared" ref="F298:F329" si="17">IF(E298&lt;C298,"TRUE","FALSE")</f>
        <v>FALSE</v>
      </c>
      <c r="G298" s="119">
        <f t="shared" si="16"/>
        <v>0</v>
      </c>
      <c r="H298" s="119">
        <f t="shared" si="14"/>
        <v>94.65098019166328</v>
      </c>
      <c r="I298" s="119"/>
      <c r="J298" s="119"/>
      <c r="K298" s="119"/>
      <c r="L298" s="119"/>
      <c r="M298" s="119"/>
    </row>
    <row r="299" spans="1:13">
      <c r="A299" s="119"/>
      <c r="B299" s="19" t="s">
        <v>399</v>
      </c>
      <c r="C299" s="119">
        <f>'Aggregated Table'!D299</f>
        <v>116.87403376589741</v>
      </c>
      <c r="E299" s="12">
        <v>208.86</v>
      </c>
      <c r="F299" s="119" t="str">
        <f t="shared" si="17"/>
        <v>FALSE</v>
      </c>
      <c r="G299" s="119">
        <f t="shared" si="16"/>
        <v>0</v>
      </c>
      <c r="H299" s="119">
        <f t="shared" si="14"/>
        <v>116.87403376589741</v>
      </c>
      <c r="I299" s="119"/>
      <c r="J299" s="119"/>
      <c r="K299" s="119"/>
      <c r="L299" s="119"/>
      <c r="M299" s="119"/>
    </row>
    <row r="300" spans="1:13">
      <c r="A300" s="119"/>
      <c r="B300" s="19" t="s">
        <v>400</v>
      </c>
      <c r="C300" s="119">
        <f>'Aggregated Table'!D300</f>
        <v>103.4472089396177</v>
      </c>
      <c r="E300" s="12">
        <v>208.86</v>
      </c>
      <c r="F300" s="119" t="str">
        <f t="shared" si="17"/>
        <v>FALSE</v>
      </c>
      <c r="G300" s="119">
        <f t="shared" si="16"/>
        <v>0</v>
      </c>
      <c r="H300" s="119">
        <f t="shared" si="14"/>
        <v>103.4472089396177</v>
      </c>
      <c r="I300" s="119"/>
      <c r="J300" s="119"/>
      <c r="K300" s="119"/>
      <c r="L300" s="119"/>
      <c r="M300" s="119"/>
    </row>
    <row r="301" spans="1:13">
      <c r="A301" s="119"/>
      <c r="B301" s="19" t="s">
        <v>402</v>
      </c>
      <c r="C301" s="119">
        <f>'Aggregated Table'!D301</f>
        <v>10.64159757551381</v>
      </c>
      <c r="E301" s="12">
        <v>208.86</v>
      </c>
      <c r="F301" s="119" t="str">
        <f t="shared" si="17"/>
        <v>FALSE</v>
      </c>
      <c r="G301" s="119">
        <f t="shared" si="16"/>
        <v>0</v>
      </c>
      <c r="H301" s="119">
        <f t="shared" si="14"/>
        <v>10.64159757551381</v>
      </c>
      <c r="I301" s="119"/>
      <c r="J301" s="119"/>
      <c r="K301" s="119"/>
      <c r="L301" s="119"/>
      <c r="M301" s="119"/>
    </row>
    <row r="302" spans="1:13">
      <c r="A302" s="119"/>
      <c r="B302" s="19" t="s">
        <v>403</v>
      </c>
      <c r="C302" s="119">
        <f>'Aggregated Table'!D302</f>
        <v>11.360558495403357</v>
      </c>
      <c r="E302" s="12">
        <v>208.86</v>
      </c>
      <c r="F302" s="119" t="str">
        <f t="shared" si="17"/>
        <v>FALSE</v>
      </c>
      <c r="G302" s="119">
        <f t="shared" si="16"/>
        <v>0</v>
      </c>
      <c r="H302" s="119">
        <f t="shared" si="14"/>
        <v>11.360558495403357</v>
      </c>
      <c r="I302" s="119"/>
      <c r="J302" s="119"/>
      <c r="K302" s="119"/>
      <c r="L302" s="119"/>
      <c r="M302" s="119"/>
    </row>
    <row r="303" spans="1:13">
      <c r="A303" s="119"/>
      <c r="B303" s="19" t="s">
        <v>404</v>
      </c>
      <c r="C303" s="119">
        <f>'Aggregated Table'!D303</f>
        <v>20.298574845255118</v>
      </c>
      <c r="E303" s="12">
        <v>208.86</v>
      </c>
      <c r="F303" s="119" t="str">
        <f t="shared" si="17"/>
        <v>FALSE</v>
      </c>
      <c r="G303" s="119">
        <f t="shared" si="16"/>
        <v>0</v>
      </c>
      <c r="H303" s="119">
        <f t="shared" si="14"/>
        <v>20.298574845255118</v>
      </c>
      <c r="I303" s="119"/>
      <c r="J303" s="119"/>
      <c r="K303" s="119"/>
      <c r="L303" s="119"/>
      <c r="M303" s="119"/>
    </row>
    <row r="304" spans="1:13">
      <c r="A304" s="119"/>
      <c r="B304" s="19" t="s">
        <v>405</v>
      </c>
      <c r="C304" s="119">
        <f>'Aggregated Table'!D304</f>
        <v>16.982428978851278</v>
      </c>
      <c r="E304" s="12">
        <v>208.86</v>
      </c>
      <c r="F304" s="119" t="str">
        <f t="shared" si="17"/>
        <v>FALSE</v>
      </c>
      <c r="G304" s="119">
        <f t="shared" ref="G304:G367" si="18">IF(F304="FALSE",0,E$291-D$291)</f>
        <v>0</v>
      </c>
      <c r="H304" s="119">
        <f t="shared" ref="H304:H367" si="19">IF(F304="False",C304,C304-(G304))</f>
        <v>16.982428978851278</v>
      </c>
      <c r="I304" s="119"/>
      <c r="J304" s="119"/>
      <c r="K304" s="119"/>
      <c r="L304" s="119"/>
      <c r="M304" s="119"/>
    </row>
    <row r="305" spans="2:8">
      <c r="B305" s="19" t="s">
        <v>406</v>
      </c>
      <c r="C305" s="119">
        <f>'Aggregated Table'!D305</f>
        <v>47.300025201092204</v>
      </c>
      <c r="E305" s="12">
        <v>208.86</v>
      </c>
      <c r="F305" s="119" t="str">
        <f t="shared" si="17"/>
        <v>FALSE</v>
      </c>
      <c r="G305" s="119">
        <f t="shared" si="18"/>
        <v>0</v>
      </c>
      <c r="H305" s="119">
        <f t="shared" si="19"/>
        <v>47.300025201092204</v>
      </c>
    </row>
    <row r="306" spans="2:8">
      <c r="B306" s="19" t="s">
        <v>407</v>
      </c>
      <c r="C306" s="119">
        <f>'Aggregated Table'!D306</f>
        <v>34.129507637438572</v>
      </c>
      <c r="E306" s="12">
        <v>208.86</v>
      </c>
      <c r="F306" s="119" t="str">
        <f t="shared" si="17"/>
        <v>FALSE</v>
      </c>
      <c r="G306" s="119">
        <f t="shared" si="18"/>
        <v>0</v>
      </c>
      <c r="H306" s="119">
        <f t="shared" si="19"/>
        <v>34.129507637438572</v>
      </c>
    </row>
    <row r="307" spans="2:8">
      <c r="B307" s="19" t="s">
        <v>408</v>
      </c>
      <c r="C307" s="119">
        <f>'Aggregated Table'!D307</f>
        <v>84.104205845854423</v>
      </c>
      <c r="E307" s="12">
        <v>208.86</v>
      </c>
      <c r="F307" s="119" t="str">
        <f t="shared" si="17"/>
        <v>FALSE</v>
      </c>
      <c r="G307" s="119">
        <f t="shared" si="18"/>
        <v>0</v>
      </c>
      <c r="H307" s="119">
        <f t="shared" si="19"/>
        <v>84.104205845854423</v>
      </c>
    </row>
    <row r="308" spans="2:8">
      <c r="B308" s="19" t="s">
        <v>409</v>
      </c>
      <c r="C308" s="119">
        <f>'Aggregated Table'!D308</f>
        <v>7.6081281825253733</v>
      </c>
      <c r="E308" s="12">
        <v>208.86</v>
      </c>
      <c r="F308" s="119" t="str">
        <f t="shared" si="17"/>
        <v>FALSE</v>
      </c>
      <c r="G308" s="119">
        <f t="shared" si="18"/>
        <v>0</v>
      </c>
      <c r="H308" s="119">
        <f t="shared" si="19"/>
        <v>7.6081281825253733</v>
      </c>
    </row>
    <row r="309" spans="2:8">
      <c r="B309" s="19" t="s">
        <v>410</v>
      </c>
      <c r="C309" s="119">
        <f>'Aggregated Table'!D309</f>
        <v>32.141227089971736</v>
      </c>
      <c r="E309" s="12">
        <v>208.86</v>
      </c>
      <c r="F309" s="119" t="str">
        <f t="shared" si="17"/>
        <v>FALSE</v>
      </c>
      <c r="G309" s="119">
        <f t="shared" si="18"/>
        <v>0</v>
      </c>
      <c r="H309" s="119">
        <f t="shared" si="19"/>
        <v>32.141227089971736</v>
      </c>
    </row>
    <row r="310" spans="2:8">
      <c r="B310" s="19" t="s">
        <v>411</v>
      </c>
      <c r="C310" s="119">
        <f>'Aggregated Table'!D310</f>
        <v>16.982428978851278</v>
      </c>
      <c r="E310" s="12">
        <v>208.86</v>
      </c>
      <c r="F310" s="119" t="str">
        <f t="shared" si="17"/>
        <v>FALSE</v>
      </c>
      <c r="G310" s="119">
        <f t="shared" si="18"/>
        <v>0</v>
      </c>
      <c r="H310" s="119">
        <f t="shared" si="19"/>
        <v>16.982428978851278</v>
      </c>
    </row>
    <row r="311" spans="2:8">
      <c r="B311" s="19" t="s">
        <v>412</v>
      </c>
      <c r="C311" s="119">
        <f>'Aggregated Table'!D311</f>
        <v>16.982428978851278</v>
      </c>
      <c r="E311" s="12">
        <v>208.86</v>
      </c>
      <c r="F311" s="119" t="str">
        <f t="shared" si="17"/>
        <v>FALSE</v>
      </c>
      <c r="G311" s="119">
        <f t="shared" si="18"/>
        <v>0</v>
      </c>
      <c r="H311" s="119">
        <f t="shared" si="19"/>
        <v>16.982428978851278</v>
      </c>
    </row>
    <row r="312" spans="2:8">
      <c r="B312" s="19" t="s">
        <v>413</v>
      </c>
      <c r="C312" s="119">
        <f>'Aggregated Table'!D312</f>
        <v>27.520873963610754</v>
      </c>
      <c r="E312" s="12">
        <v>208.86</v>
      </c>
      <c r="F312" s="119" t="str">
        <f t="shared" si="17"/>
        <v>FALSE</v>
      </c>
      <c r="G312" s="119">
        <f t="shared" si="18"/>
        <v>0</v>
      </c>
      <c r="H312" s="119">
        <f t="shared" si="19"/>
        <v>27.520873963610754</v>
      </c>
    </row>
    <row r="313" spans="2:8">
      <c r="B313" s="19" t="s">
        <v>414</v>
      </c>
      <c r="C313" s="119">
        <f>'Aggregated Table'!D313</f>
        <v>20.369676893921451</v>
      </c>
      <c r="E313" s="12">
        <v>208.86</v>
      </c>
      <c r="F313" s="119" t="str">
        <f t="shared" si="17"/>
        <v>FALSE</v>
      </c>
      <c r="G313" s="119">
        <f t="shared" si="18"/>
        <v>0</v>
      </c>
      <c r="H313" s="119">
        <f t="shared" si="19"/>
        <v>20.369676893921451</v>
      </c>
    </row>
    <row r="314" spans="2:8">
      <c r="B314" s="19" t="s">
        <v>415</v>
      </c>
      <c r="C314" s="119">
        <f>'Aggregated Table'!D314</f>
        <v>69.753695391936404</v>
      </c>
      <c r="E314" s="12">
        <v>208.86</v>
      </c>
      <c r="F314" s="119" t="str">
        <f t="shared" si="17"/>
        <v>FALSE</v>
      </c>
      <c r="G314" s="119">
        <f t="shared" si="18"/>
        <v>0</v>
      </c>
      <c r="H314" s="119">
        <f t="shared" si="19"/>
        <v>69.753695391936404</v>
      </c>
    </row>
    <row r="315" spans="2:8">
      <c r="B315" s="19" t="s">
        <v>416</v>
      </c>
      <c r="C315" s="119">
        <f>'Aggregated Table'!D315</f>
        <v>22.049160888902495</v>
      </c>
      <c r="E315" s="12">
        <v>208.86</v>
      </c>
      <c r="F315" s="119" t="str">
        <f t="shared" si="17"/>
        <v>FALSE</v>
      </c>
      <c r="G315" s="119">
        <f t="shared" si="18"/>
        <v>0</v>
      </c>
      <c r="H315" s="119">
        <f t="shared" si="19"/>
        <v>22.049160888902495</v>
      </c>
    </row>
    <row r="316" spans="2:8">
      <c r="B316" s="19" t="s">
        <v>417</v>
      </c>
      <c r="C316" s="119">
        <f>'Aggregated Table'!D316</f>
        <v>15.158798111120463</v>
      </c>
      <c r="E316" s="12">
        <v>208.86</v>
      </c>
      <c r="F316" s="119" t="str">
        <f t="shared" si="17"/>
        <v>FALSE</v>
      </c>
      <c r="G316" s="119">
        <f t="shared" si="18"/>
        <v>0</v>
      </c>
      <c r="H316" s="119">
        <f t="shared" si="19"/>
        <v>15.158798111120463</v>
      </c>
    </row>
    <row r="317" spans="2:8">
      <c r="B317" s="19" t="s">
        <v>418</v>
      </c>
      <c r="C317" s="119">
        <f>'Aggregated Table'!D317</f>
        <v>31.106841210674322</v>
      </c>
      <c r="E317" s="12">
        <v>208.86</v>
      </c>
      <c r="F317" s="119" t="str">
        <f t="shared" si="17"/>
        <v>FALSE</v>
      </c>
      <c r="G317" s="119">
        <f t="shared" si="18"/>
        <v>0</v>
      </c>
      <c r="H317" s="119">
        <f t="shared" si="19"/>
        <v>31.106841210674322</v>
      </c>
    </row>
    <row r="318" spans="2:8">
      <c r="B318" s="19" t="s">
        <v>419</v>
      </c>
      <c r="C318" s="119">
        <f>'Aggregated Table'!D318</f>
        <v>448.63851493461596</v>
      </c>
      <c r="E318" s="12">
        <v>208.86</v>
      </c>
      <c r="F318" s="119" t="str">
        <f t="shared" si="17"/>
        <v>TRUE</v>
      </c>
      <c r="G318" s="119">
        <f t="shared" si="18"/>
        <v>123.62784239792065</v>
      </c>
      <c r="H318" s="119">
        <f t="shared" si="19"/>
        <v>325.01067253669532</v>
      </c>
    </row>
    <row r="319" spans="2:8">
      <c r="B319" s="19" t="s">
        <v>420</v>
      </c>
      <c r="C319" s="119">
        <f>'Aggregated Table'!D319</f>
        <v>16.505368186520794</v>
      </c>
      <c r="E319" s="12">
        <v>208.86</v>
      </c>
      <c r="F319" s="119" t="str">
        <f t="shared" si="17"/>
        <v>FALSE</v>
      </c>
      <c r="G319" s="119">
        <f t="shared" si="18"/>
        <v>0</v>
      </c>
      <c r="H319" s="119">
        <f t="shared" si="19"/>
        <v>16.505368186520794</v>
      </c>
    </row>
    <row r="320" spans="2:8">
      <c r="B320" s="19" t="s">
        <v>421</v>
      </c>
      <c r="C320" s="119">
        <f>'Aggregated Table'!D320</f>
        <v>29.404644560698369</v>
      </c>
      <c r="E320" s="12">
        <v>208.86</v>
      </c>
      <c r="F320" s="119" t="str">
        <f t="shared" si="17"/>
        <v>FALSE</v>
      </c>
      <c r="G320" s="119">
        <f t="shared" si="18"/>
        <v>0</v>
      </c>
      <c r="H320" s="119">
        <f t="shared" si="19"/>
        <v>29.404644560698369</v>
      </c>
    </row>
    <row r="321" spans="2:8">
      <c r="B321" s="19" t="s">
        <v>422</v>
      </c>
      <c r="C321" s="119">
        <f>'Aggregated Table'!D321</f>
        <v>16.982428978851278</v>
      </c>
      <c r="E321" s="12">
        <v>208.86</v>
      </c>
      <c r="F321" s="119" t="str">
        <f t="shared" si="17"/>
        <v>FALSE</v>
      </c>
      <c r="G321" s="119">
        <f t="shared" si="18"/>
        <v>0</v>
      </c>
      <c r="H321" s="119">
        <f t="shared" si="19"/>
        <v>16.982428978851278</v>
      </c>
    </row>
    <row r="322" spans="2:8">
      <c r="B322" s="19" t="s">
        <v>423</v>
      </c>
      <c r="C322" s="119">
        <f>'Aggregated Table'!D322</f>
        <v>335.84171731833891</v>
      </c>
      <c r="E322" s="12">
        <v>208.86</v>
      </c>
      <c r="F322" s="119" t="str">
        <f t="shared" si="17"/>
        <v>TRUE</v>
      </c>
      <c r="G322" s="119">
        <f t="shared" si="18"/>
        <v>123.62784239792065</v>
      </c>
      <c r="H322" s="119">
        <f t="shared" si="19"/>
        <v>212.21387492041828</v>
      </c>
    </row>
    <row r="323" spans="2:8">
      <c r="B323" s="19" t="s">
        <v>424</v>
      </c>
      <c r="C323" s="119">
        <f>'Aggregated Table'!D323</f>
        <v>24.717158860190743</v>
      </c>
      <c r="E323" s="12">
        <v>208.86</v>
      </c>
      <c r="F323" s="119" t="str">
        <f t="shared" si="17"/>
        <v>FALSE</v>
      </c>
      <c r="G323" s="119">
        <f t="shared" si="18"/>
        <v>0</v>
      </c>
      <c r="H323" s="119">
        <f t="shared" si="19"/>
        <v>24.717158860190743</v>
      </c>
    </row>
    <row r="324" spans="2:8">
      <c r="B324" s="19" t="s">
        <v>425</v>
      </c>
      <c r="C324" s="119">
        <f>'Aggregated Table'!D324</f>
        <v>150.81835924319182</v>
      </c>
      <c r="E324" s="12">
        <v>208.86</v>
      </c>
      <c r="F324" s="119" t="str">
        <f t="shared" si="17"/>
        <v>FALSE</v>
      </c>
      <c r="G324" s="119">
        <f t="shared" si="18"/>
        <v>0</v>
      </c>
      <c r="H324" s="119">
        <f t="shared" si="19"/>
        <v>150.81835924319182</v>
      </c>
    </row>
    <row r="325" spans="2:8">
      <c r="B325" s="19" t="s">
        <v>426</v>
      </c>
      <c r="C325" s="119">
        <f>'Aggregated Table'!D325</f>
        <v>35.460219739266748</v>
      </c>
      <c r="E325" s="12">
        <v>208.86</v>
      </c>
      <c r="F325" s="119" t="str">
        <f t="shared" si="17"/>
        <v>FALSE</v>
      </c>
      <c r="G325" s="119">
        <f t="shared" si="18"/>
        <v>0</v>
      </c>
      <c r="H325" s="119">
        <f t="shared" si="19"/>
        <v>35.460219739266748</v>
      </c>
    </row>
    <row r="326" spans="2:8">
      <c r="B326" s="19" t="s">
        <v>427</v>
      </c>
      <c r="C326" s="119">
        <f>'Aggregated Table'!D326</f>
        <v>42.010876633030897</v>
      </c>
      <c r="E326" s="12">
        <v>208.86</v>
      </c>
      <c r="F326" s="119" t="str">
        <f t="shared" si="17"/>
        <v>FALSE</v>
      </c>
      <c r="G326" s="119">
        <f t="shared" si="18"/>
        <v>0</v>
      </c>
      <c r="H326" s="119">
        <f t="shared" si="19"/>
        <v>42.010876633030897</v>
      </c>
    </row>
    <row r="327" spans="2:8">
      <c r="B327" s="19" t="s">
        <v>428</v>
      </c>
      <c r="C327" s="119">
        <f>'Aggregated Table'!D327</f>
        <v>34.027485647887453</v>
      </c>
      <c r="E327" s="12">
        <v>213.86</v>
      </c>
      <c r="F327" s="119" t="str">
        <f t="shared" si="17"/>
        <v>FALSE</v>
      </c>
      <c r="G327" s="119">
        <f t="shared" si="18"/>
        <v>0</v>
      </c>
      <c r="H327" s="119">
        <f t="shared" si="19"/>
        <v>34.027485647887453</v>
      </c>
    </row>
    <row r="328" spans="2:8">
      <c r="B328" s="19" t="s">
        <v>429</v>
      </c>
      <c r="C328" s="119">
        <f>'Aggregated Table'!D328</f>
        <v>70.174209883785394</v>
      </c>
      <c r="E328" s="12">
        <v>213.86</v>
      </c>
      <c r="F328" s="119" t="str">
        <f t="shared" si="17"/>
        <v>FALSE</v>
      </c>
      <c r="G328" s="119">
        <f t="shared" si="18"/>
        <v>0</v>
      </c>
      <c r="H328" s="119">
        <f t="shared" si="19"/>
        <v>70.174209883785394</v>
      </c>
    </row>
    <row r="329" spans="2:8">
      <c r="B329" s="19" t="s">
        <v>430</v>
      </c>
      <c r="C329" s="119">
        <f>'Aggregated Table'!D329</f>
        <v>23.589521243090953</v>
      </c>
      <c r="E329" s="12">
        <v>213.86</v>
      </c>
      <c r="F329" s="119" t="str">
        <f t="shared" si="17"/>
        <v>FALSE</v>
      </c>
      <c r="G329" s="119">
        <f t="shared" si="18"/>
        <v>0</v>
      </c>
      <c r="H329" s="119">
        <f t="shared" si="19"/>
        <v>23.589521243090953</v>
      </c>
    </row>
    <row r="330" spans="2:8">
      <c r="B330" s="19" t="s">
        <v>431</v>
      </c>
      <c r="C330" s="119">
        <f>'Aggregated Table'!D330</f>
        <v>27.300801131796977</v>
      </c>
      <c r="E330" s="12">
        <v>213.86</v>
      </c>
      <c r="F330" s="119" t="str">
        <f t="shared" ref="F330:F361" si="20">IF(E330&lt;C330,"TRUE","FALSE")</f>
        <v>FALSE</v>
      </c>
      <c r="G330" s="119">
        <f t="shared" si="18"/>
        <v>0</v>
      </c>
      <c r="H330" s="119">
        <f t="shared" si="19"/>
        <v>27.300801131796977</v>
      </c>
    </row>
    <row r="331" spans="2:8">
      <c r="B331" s="19" t="s">
        <v>432</v>
      </c>
      <c r="C331" s="119">
        <f>'Aggregated Table'!D331</f>
        <v>35.088693184764004</v>
      </c>
      <c r="E331" s="12">
        <v>213.86</v>
      </c>
      <c r="F331" s="119" t="str">
        <f t="shared" si="20"/>
        <v>FALSE</v>
      </c>
      <c r="G331" s="119">
        <f t="shared" si="18"/>
        <v>0</v>
      </c>
      <c r="H331" s="119">
        <f t="shared" si="19"/>
        <v>35.088693184764004</v>
      </c>
    </row>
    <row r="332" spans="2:8">
      <c r="B332" s="19" t="s">
        <v>433</v>
      </c>
      <c r="C332" s="119">
        <f>'Aggregated Table'!D332</f>
        <v>112.70650087275148</v>
      </c>
      <c r="E332" s="12">
        <v>213.86</v>
      </c>
      <c r="F332" s="119" t="str">
        <f t="shared" si="20"/>
        <v>FALSE</v>
      </c>
      <c r="G332" s="119">
        <f t="shared" si="18"/>
        <v>0</v>
      </c>
      <c r="H332" s="119">
        <f t="shared" si="19"/>
        <v>112.70650087275148</v>
      </c>
    </row>
    <row r="333" spans="2:8">
      <c r="B333" s="19" t="s">
        <v>434</v>
      </c>
      <c r="C333" s="119">
        <f>'Aggregated Table'!D333</f>
        <v>199.95139307555164</v>
      </c>
      <c r="E333" s="12">
        <v>213.86</v>
      </c>
      <c r="F333" s="119" t="str">
        <f t="shared" si="20"/>
        <v>FALSE</v>
      </c>
      <c r="G333" s="119">
        <f t="shared" si="18"/>
        <v>0</v>
      </c>
      <c r="H333" s="119">
        <f t="shared" si="19"/>
        <v>199.95139307555164</v>
      </c>
    </row>
    <row r="334" spans="2:8">
      <c r="B334" s="19" t="s">
        <v>435</v>
      </c>
      <c r="C334" s="119">
        <f>'Aggregated Table'!D334</f>
        <v>164.20400355098516</v>
      </c>
      <c r="E334" s="12">
        <v>213.86</v>
      </c>
      <c r="F334" s="119" t="str">
        <f t="shared" si="20"/>
        <v>FALSE</v>
      </c>
      <c r="G334" s="119">
        <f t="shared" si="18"/>
        <v>0</v>
      </c>
      <c r="H334" s="119">
        <f t="shared" si="19"/>
        <v>164.20400355098516</v>
      </c>
    </row>
    <row r="335" spans="2:8">
      <c r="B335" s="19" t="s">
        <v>436</v>
      </c>
      <c r="C335" s="119">
        <f>'Aggregated Table'!D335</f>
        <v>38.82675339657245</v>
      </c>
      <c r="E335" s="12">
        <v>213.86</v>
      </c>
      <c r="F335" s="119" t="str">
        <f t="shared" si="20"/>
        <v>FALSE</v>
      </c>
      <c r="G335" s="119">
        <f t="shared" si="18"/>
        <v>0</v>
      </c>
      <c r="H335" s="119">
        <f t="shared" si="19"/>
        <v>38.82675339657245</v>
      </c>
    </row>
    <row r="336" spans="2:8">
      <c r="B336" s="19" t="s">
        <v>437</v>
      </c>
      <c r="C336" s="119">
        <f>'Aggregated Table'!D336</f>
        <v>21.844324417721172</v>
      </c>
      <c r="E336" s="12">
        <v>213.86</v>
      </c>
      <c r="F336" s="119" t="str">
        <f t="shared" si="20"/>
        <v>FALSE</v>
      </c>
      <c r="G336" s="119">
        <f t="shared" si="18"/>
        <v>0</v>
      </c>
      <c r="H336" s="119">
        <f t="shared" si="19"/>
        <v>21.844324417721172</v>
      </c>
    </row>
    <row r="337" spans="2:8">
      <c r="B337" s="19" t="s">
        <v>438</v>
      </c>
      <c r="C337" s="119">
        <f>'Aggregated Table'!D337</f>
        <v>21.844324417721172</v>
      </c>
      <c r="E337" s="12">
        <v>213.86</v>
      </c>
      <c r="F337" s="119" t="str">
        <f t="shared" si="20"/>
        <v>FALSE</v>
      </c>
      <c r="G337" s="119">
        <f t="shared" si="18"/>
        <v>0</v>
      </c>
      <c r="H337" s="119">
        <f t="shared" si="19"/>
        <v>21.844324417721172</v>
      </c>
    </row>
    <row r="338" spans="2:8">
      <c r="B338" s="19" t="s">
        <v>439</v>
      </c>
      <c r="C338" s="119">
        <f>'Aggregated Table'!D338</f>
        <v>37.902026069374756</v>
      </c>
      <c r="E338" s="12">
        <v>213.86</v>
      </c>
      <c r="F338" s="119" t="str">
        <f t="shared" si="20"/>
        <v>FALSE</v>
      </c>
      <c r="G338" s="119">
        <f t="shared" si="18"/>
        <v>0</v>
      </c>
      <c r="H338" s="119">
        <f t="shared" si="19"/>
        <v>37.902026069374756</v>
      </c>
    </row>
    <row r="339" spans="2:8">
      <c r="B339" s="19" t="s">
        <v>440</v>
      </c>
      <c r="C339" s="119">
        <f>'Aggregated Table'!D339</f>
        <v>128.75512004381056</v>
      </c>
      <c r="E339" s="12">
        <v>213.86</v>
      </c>
      <c r="F339" s="119" t="str">
        <f t="shared" si="20"/>
        <v>FALSE</v>
      </c>
      <c r="G339" s="119">
        <f t="shared" si="18"/>
        <v>0</v>
      </c>
      <c r="H339" s="119">
        <f t="shared" si="19"/>
        <v>128.75512004381056</v>
      </c>
    </row>
    <row r="340" spans="2:8">
      <c r="B340" s="19" t="s">
        <v>441</v>
      </c>
      <c r="C340" s="119">
        <f>'Aggregated Table'!D340</f>
        <v>66.820247935407153</v>
      </c>
      <c r="E340" s="12">
        <v>213.86</v>
      </c>
      <c r="F340" s="119" t="str">
        <f t="shared" si="20"/>
        <v>FALSE</v>
      </c>
      <c r="G340" s="119">
        <f t="shared" si="18"/>
        <v>0</v>
      </c>
      <c r="H340" s="119">
        <f t="shared" si="19"/>
        <v>66.820247935407153</v>
      </c>
    </row>
    <row r="341" spans="2:8">
      <c r="B341" s="19" t="s">
        <v>442</v>
      </c>
      <c r="C341" s="119">
        <f>'Aggregated Table'!D341</f>
        <v>79.041777039355594</v>
      </c>
      <c r="E341" s="12">
        <v>213.86</v>
      </c>
      <c r="F341" s="119" t="str">
        <f t="shared" si="20"/>
        <v>FALSE</v>
      </c>
      <c r="G341" s="119">
        <f t="shared" si="18"/>
        <v>0</v>
      </c>
      <c r="H341" s="119">
        <f t="shared" si="19"/>
        <v>79.041777039355594</v>
      </c>
    </row>
    <row r="342" spans="2:8">
      <c r="B342" s="19" t="s">
        <v>443</v>
      </c>
      <c r="C342" s="119">
        <f>'Aggregated Table'!D342</f>
        <v>14.840044960610006</v>
      </c>
      <c r="E342" s="12">
        <v>213.86</v>
      </c>
      <c r="F342" s="119" t="str">
        <f t="shared" si="20"/>
        <v>FALSE</v>
      </c>
      <c r="G342" s="119">
        <f t="shared" si="18"/>
        <v>0</v>
      </c>
      <c r="H342" s="119">
        <f t="shared" si="19"/>
        <v>14.840044960610006</v>
      </c>
    </row>
    <row r="343" spans="2:8">
      <c r="B343" s="19" t="s">
        <v>444</v>
      </c>
      <c r="C343" s="119">
        <f>'Aggregated Table'!D343</f>
        <v>51.657640517535143</v>
      </c>
      <c r="E343" s="12">
        <v>213.86</v>
      </c>
      <c r="F343" s="119" t="str">
        <f t="shared" si="20"/>
        <v>FALSE</v>
      </c>
      <c r="G343" s="119">
        <f t="shared" si="18"/>
        <v>0</v>
      </c>
      <c r="H343" s="119">
        <f t="shared" si="19"/>
        <v>51.657640517535143</v>
      </c>
    </row>
    <row r="344" spans="2:8">
      <c r="B344" s="19" t="s">
        <v>445</v>
      </c>
      <c r="C344" s="119">
        <f>'Aggregated Table'!D344</f>
        <v>21.81999011085151</v>
      </c>
      <c r="E344" s="12">
        <v>213.86</v>
      </c>
      <c r="F344" s="119" t="str">
        <f t="shared" si="20"/>
        <v>FALSE</v>
      </c>
      <c r="G344" s="119">
        <f t="shared" si="18"/>
        <v>0</v>
      </c>
      <c r="H344" s="119">
        <f t="shared" si="19"/>
        <v>21.81999011085151</v>
      </c>
    </row>
    <row r="345" spans="2:8">
      <c r="B345" s="19" t="s">
        <v>446</v>
      </c>
      <c r="C345" s="119">
        <f>'Aggregated Table'!D345</f>
        <v>16.982428978851278</v>
      </c>
      <c r="E345" s="12">
        <v>213.86</v>
      </c>
      <c r="F345" s="119" t="str">
        <f t="shared" si="20"/>
        <v>FALSE</v>
      </c>
      <c r="G345" s="119">
        <f t="shared" si="18"/>
        <v>0</v>
      </c>
      <c r="H345" s="119">
        <f t="shared" si="19"/>
        <v>16.982428978851278</v>
      </c>
    </row>
    <row r="346" spans="2:8">
      <c r="B346" s="19" t="s">
        <v>447</v>
      </c>
      <c r="C346" s="119">
        <f>'Aggregated Table'!D346</f>
        <v>81.072565061166884</v>
      </c>
      <c r="E346" s="12">
        <v>213.86</v>
      </c>
      <c r="F346" s="119" t="str">
        <f t="shared" si="20"/>
        <v>FALSE</v>
      </c>
      <c r="G346" s="119">
        <f t="shared" si="18"/>
        <v>0</v>
      </c>
      <c r="H346" s="119">
        <f t="shared" si="19"/>
        <v>81.072565061166884</v>
      </c>
    </row>
    <row r="347" spans="2:8">
      <c r="B347" s="19" t="s">
        <v>448</v>
      </c>
      <c r="C347" s="119">
        <f>'Aggregated Table'!D347</f>
        <v>30.108947139380639</v>
      </c>
      <c r="E347" s="12">
        <v>213.86</v>
      </c>
      <c r="F347" s="119" t="str">
        <f t="shared" si="20"/>
        <v>FALSE</v>
      </c>
      <c r="G347" s="119">
        <f t="shared" si="18"/>
        <v>0</v>
      </c>
      <c r="H347" s="119">
        <f t="shared" si="19"/>
        <v>30.108947139380639</v>
      </c>
    </row>
    <row r="348" spans="2:8">
      <c r="B348" s="19" t="s">
        <v>449</v>
      </c>
      <c r="C348" s="119">
        <f>'Aggregated Table'!D348</f>
        <v>115.07881050903028</v>
      </c>
      <c r="E348" s="12">
        <v>213.86</v>
      </c>
      <c r="F348" s="119" t="str">
        <f t="shared" si="20"/>
        <v>FALSE</v>
      </c>
      <c r="G348" s="119">
        <f t="shared" si="18"/>
        <v>0</v>
      </c>
      <c r="H348" s="119">
        <f t="shared" si="19"/>
        <v>115.07881050903028</v>
      </c>
    </row>
    <row r="349" spans="2:8">
      <c r="B349" s="19" t="s">
        <v>450</v>
      </c>
      <c r="C349" s="119">
        <f>'Aggregated Table'!D349</f>
        <v>51.324687364331922</v>
      </c>
      <c r="E349" s="12">
        <v>213.86</v>
      </c>
      <c r="F349" s="119" t="str">
        <f t="shared" si="20"/>
        <v>FALSE</v>
      </c>
      <c r="G349" s="119">
        <f t="shared" si="18"/>
        <v>0</v>
      </c>
      <c r="H349" s="119">
        <f t="shared" si="19"/>
        <v>51.324687364331922</v>
      </c>
    </row>
    <row r="350" spans="2:8">
      <c r="B350" s="19" t="s">
        <v>451</v>
      </c>
      <c r="C350" s="119">
        <f>'Aggregated Table'!D350</f>
        <v>51.655680768065892</v>
      </c>
      <c r="E350" s="12">
        <v>213.86</v>
      </c>
      <c r="F350" s="119" t="str">
        <f t="shared" si="20"/>
        <v>FALSE</v>
      </c>
      <c r="G350" s="119">
        <f t="shared" si="18"/>
        <v>0</v>
      </c>
      <c r="H350" s="119">
        <f t="shared" si="19"/>
        <v>51.655680768065892</v>
      </c>
    </row>
    <row r="351" spans="2:8">
      <c r="B351" s="19" t="s">
        <v>452</v>
      </c>
      <c r="C351" s="119">
        <f>'Aggregated Table'!D351</f>
        <v>41.183447050902821</v>
      </c>
      <c r="E351" s="12">
        <v>213.86</v>
      </c>
      <c r="F351" s="119" t="str">
        <f t="shared" si="20"/>
        <v>FALSE</v>
      </c>
      <c r="G351" s="119">
        <f t="shared" si="18"/>
        <v>0</v>
      </c>
      <c r="H351" s="119">
        <f t="shared" si="19"/>
        <v>41.183447050902821</v>
      </c>
    </row>
    <row r="352" spans="2:8">
      <c r="B352" s="19" t="s">
        <v>453</v>
      </c>
      <c r="C352" s="119">
        <f>'Aggregated Table'!D352</f>
        <v>17.408128315812423</v>
      </c>
      <c r="E352" s="12">
        <v>213.86</v>
      </c>
      <c r="F352" s="119" t="str">
        <f t="shared" si="20"/>
        <v>FALSE</v>
      </c>
      <c r="G352" s="119">
        <f t="shared" si="18"/>
        <v>0</v>
      </c>
      <c r="H352" s="119">
        <f t="shared" si="19"/>
        <v>17.408128315812423</v>
      </c>
    </row>
    <row r="353" spans="2:8">
      <c r="B353" s="19" t="s">
        <v>454</v>
      </c>
      <c r="C353" s="119">
        <f>'Aggregated Table'!D353</f>
        <v>38.92174564023594</v>
      </c>
      <c r="E353" s="12">
        <v>213.86</v>
      </c>
      <c r="F353" s="119" t="str">
        <f t="shared" si="20"/>
        <v>FALSE</v>
      </c>
      <c r="G353" s="119">
        <f t="shared" si="18"/>
        <v>0</v>
      </c>
      <c r="H353" s="119">
        <f t="shared" si="19"/>
        <v>38.92174564023594</v>
      </c>
    </row>
    <row r="354" spans="2:8">
      <c r="B354" s="19" t="s">
        <v>455</v>
      </c>
      <c r="C354" s="119">
        <f>'Aggregated Table'!D354</f>
        <v>23.298881076765948</v>
      </c>
      <c r="E354" s="12">
        <v>213.86</v>
      </c>
      <c r="F354" s="119" t="str">
        <f t="shared" si="20"/>
        <v>FALSE</v>
      </c>
      <c r="G354" s="119">
        <f t="shared" si="18"/>
        <v>0</v>
      </c>
      <c r="H354" s="119">
        <f t="shared" si="19"/>
        <v>23.298881076765948</v>
      </c>
    </row>
    <row r="355" spans="2:8">
      <c r="B355" s="19" t="s">
        <v>456</v>
      </c>
      <c r="C355" s="119">
        <f>'Aggregated Table'!D355</f>
        <v>67.733996527689115</v>
      </c>
      <c r="E355" s="12">
        <v>213.86</v>
      </c>
      <c r="F355" s="119" t="str">
        <f t="shared" si="20"/>
        <v>FALSE</v>
      </c>
      <c r="G355" s="119">
        <f t="shared" si="18"/>
        <v>0</v>
      </c>
      <c r="H355" s="119">
        <f t="shared" si="19"/>
        <v>67.733996527689115</v>
      </c>
    </row>
    <row r="356" spans="2:8">
      <c r="B356" s="19" t="s">
        <v>457</v>
      </c>
      <c r="C356" s="119">
        <f>'Aggregated Table'!D356</f>
        <v>17.847343581235684</v>
      </c>
      <c r="E356" s="12">
        <v>213.86</v>
      </c>
      <c r="F356" s="119" t="str">
        <f t="shared" si="20"/>
        <v>FALSE</v>
      </c>
      <c r="G356" s="119">
        <f t="shared" si="18"/>
        <v>0</v>
      </c>
      <c r="H356" s="119">
        <f t="shared" si="19"/>
        <v>17.847343581235684</v>
      </c>
    </row>
    <row r="357" spans="2:8">
      <c r="B357" s="19" t="s">
        <v>458</v>
      </c>
      <c r="C357" s="119">
        <f>'Aggregated Table'!D357</f>
        <v>45.596460964546722</v>
      </c>
      <c r="E357" s="12">
        <v>213.86</v>
      </c>
      <c r="F357" s="119" t="str">
        <f t="shared" si="20"/>
        <v>FALSE</v>
      </c>
      <c r="G357" s="119">
        <f t="shared" si="18"/>
        <v>0</v>
      </c>
      <c r="H357" s="119">
        <f t="shared" si="19"/>
        <v>45.596460964546722</v>
      </c>
    </row>
    <row r="358" spans="2:8">
      <c r="B358" s="19" t="s">
        <v>459</v>
      </c>
      <c r="C358" s="119">
        <f>'Aggregated Table'!D358</f>
        <v>34.582400829660784</v>
      </c>
      <c r="E358" s="12">
        <v>213.86</v>
      </c>
      <c r="F358" s="119" t="str">
        <f t="shared" si="20"/>
        <v>FALSE</v>
      </c>
      <c r="G358" s="119">
        <f t="shared" si="18"/>
        <v>0</v>
      </c>
      <c r="H358" s="119">
        <f t="shared" si="19"/>
        <v>34.582400829660784</v>
      </c>
    </row>
    <row r="359" spans="2:8">
      <c r="B359" s="19" t="s">
        <v>460</v>
      </c>
      <c r="C359" s="119">
        <f>'Aggregated Table'!D359</f>
        <v>30.317596222240926</v>
      </c>
      <c r="E359" s="12">
        <v>213.86</v>
      </c>
      <c r="F359" s="119" t="str">
        <f t="shared" si="20"/>
        <v>FALSE</v>
      </c>
      <c r="G359" s="119">
        <f t="shared" si="18"/>
        <v>0</v>
      </c>
      <c r="H359" s="119">
        <f t="shared" si="19"/>
        <v>30.317596222240926</v>
      </c>
    </row>
    <row r="360" spans="2:8">
      <c r="B360" s="19" t="s">
        <v>461</v>
      </c>
      <c r="C360" s="119">
        <f>'Aggregated Table'!D360</f>
        <v>41.813776390323611</v>
      </c>
      <c r="E360" s="12">
        <v>213.86</v>
      </c>
      <c r="F360" s="119" t="str">
        <f t="shared" si="20"/>
        <v>FALSE</v>
      </c>
      <c r="G360" s="119">
        <f t="shared" si="18"/>
        <v>0</v>
      </c>
      <c r="H360" s="119">
        <f t="shared" si="19"/>
        <v>41.813776390323611</v>
      </c>
    </row>
    <row r="361" spans="2:8">
      <c r="B361" s="19" t="s">
        <v>462</v>
      </c>
      <c r="C361" s="119">
        <f>'Aggregated Table'!D361</f>
        <v>15.158798111120463</v>
      </c>
      <c r="E361" s="12">
        <v>213.86</v>
      </c>
      <c r="F361" s="119" t="str">
        <f t="shared" si="20"/>
        <v>FALSE</v>
      </c>
      <c r="G361" s="119">
        <f t="shared" si="18"/>
        <v>0</v>
      </c>
      <c r="H361" s="119">
        <f t="shared" si="19"/>
        <v>15.158798111120463</v>
      </c>
    </row>
    <row r="362" spans="2:8">
      <c r="B362" s="19" t="s">
        <v>463</v>
      </c>
      <c r="C362" s="119">
        <f>'Aggregated Table'!D362</f>
        <v>11.090565863739613</v>
      </c>
      <c r="E362" s="12">
        <v>213.86</v>
      </c>
      <c r="F362" s="119" t="str">
        <f t="shared" ref="F362:F369" si="21">IF(E362&lt;C362,"TRUE","FALSE")</f>
        <v>FALSE</v>
      </c>
      <c r="G362" s="119">
        <f t="shared" si="18"/>
        <v>0</v>
      </c>
      <c r="H362" s="119">
        <f t="shared" si="19"/>
        <v>11.090565863739613</v>
      </c>
    </row>
    <row r="363" spans="2:8">
      <c r="B363" s="19" t="s">
        <v>464</v>
      </c>
      <c r="C363" s="119">
        <f>'Aggregated Table'!D363</f>
        <v>61.206739026086616</v>
      </c>
      <c r="E363" s="12">
        <v>213.86</v>
      </c>
      <c r="F363" s="119" t="str">
        <f t="shared" si="21"/>
        <v>FALSE</v>
      </c>
      <c r="G363" s="119">
        <f t="shared" si="18"/>
        <v>0</v>
      </c>
      <c r="H363" s="119">
        <f t="shared" si="19"/>
        <v>61.206739026086616</v>
      </c>
    </row>
    <row r="364" spans="2:8">
      <c r="B364" s="19" t="s">
        <v>465</v>
      </c>
      <c r="C364" s="119">
        <f>'Aggregated Table'!D364</f>
        <v>167.59646817188568</v>
      </c>
      <c r="E364" s="12">
        <v>213.86</v>
      </c>
      <c r="F364" s="119" t="str">
        <f t="shared" si="21"/>
        <v>FALSE</v>
      </c>
      <c r="G364" s="119">
        <f t="shared" si="18"/>
        <v>0</v>
      </c>
      <c r="H364" s="119">
        <f t="shared" si="19"/>
        <v>167.59646817188568</v>
      </c>
    </row>
    <row r="365" spans="2:8">
      <c r="B365" s="19" t="s">
        <v>466</v>
      </c>
      <c r="C365" s="119">
        <f>'Aggregated Table'!D365</f>
        <v>16.982428978851278</v>
      </c>
      <c r="E365" s="12">
        <v>213.86</v>
      </c>
      <c r="F365" s="119" t="str">
        <f t="shared" si="21"/>
        <v>FALSE</v>
      </c>
      <c r="G365" s="119">
        <f t="shared" si="18"/>
        <v>0</v>
      </c>
      <c r="H365" s="119">
        <f t="shared" si="19"/>
        <v>16.982428978851278</v>
      </c>
    </row>
    <row r="366" spans="2:8">
      <c r="B366" s="19" t="s">
        <v>467</v>
      </c>
      <c r="C366" s="119">
        <f>'Aggregated Table'!D366</f>
        <v>16.982428978851278</v>
      </c>
      <c r="E366" s="12">
        <v>213.86</v>
      </c>
      <c r="F366" s="119" t="str">
        <f t="shared" si="21"/>
        <v>FALSE</v>
      </c>
      <c r="G366" s="119">
        <f t="shared" si="18"/>
        <v>0</v>
      </c>
      <c r="H366" s="119">
        <f t="shared" si="19"/>
        <v>16.982428978851278</v>
      </c>
    </row>
    <row r="367" spans="2:8">
      <c r="B367" s="19" t="s">
        <v>468</v>
      </c>
      <c r="C367" s="119">
        <f>'Aggregated Table'!D367</f>
        <v>16.982428978851278</v>
      </c>
      <c r="E367" s="12">
        <v>213.86</v>
      </c>
      <c r="F367" s="119" t="str">
        <f t="shared" si="21"/>
        <v>FALSE</v>
      </c>
      <c r="G367" s="119">
        <f t="shared" si="18"/>
        <v>0</v>
      </c>
      <c r="H367" s="119">
        <f t="shared" si="19"/>
        <v>16.982428978851278</v>
      </c>
    </row>
    <row r="368" spans="2:8">
      <c r="B368" s="19" t="s">
        <v>470</v>
      </c>
      <c r="C368" s="119">
        <f>'Aggregated Table'!D368</f>
        <v>51.097243572101164</v>
      </c>
      <c r="E368" s="12">
        <v>213.86</v>
      </c>
      <c r="F368" s="119" t="str">
        <f t="shared" si="21"/>
        <v>FALSE</v>
      </c>
      <c r="G368" s="119">
        <f t="shared" ref="G368:G369" si="22">IF(F368="FALSE",0,E$291-D$291)</f>
        <v>0</v>
      </c>
      <c r="H368" s="119">
        <f t="shared" ref="H368:H369" si="23">IF(F368="False",C368,C368-(G368))</f>
        <v>51.097243572101164</v>
      </c>
    </row>
    <row r="369" spans="1:13">
      <c r="A369" s="119"/>
      <c r="B369" s="19" t="s">
        <v>473</v>
      </c>
      <c r="C369" s="119">
        <f>'Aggregated Table'!D369</f>
        <v>184.54526994863818</v>
      </c>
      <c r="E369" s="12">
        <v>213.86</v>
      </c>
      <c r="F369" s="119" t="str">
        <f t="shared" si="21"/>
        <v>FALSE</v>
      </c>
      <c r="G369" s="119">
        <f t="shared" si="22"/>
        <v>0</v>
      </c>
      <c r="H369" s="119">
        <f t="shared" si="23"/>
        <v>184.54526994863818</v>
      </c>
      <c r="I369" s="119"/>
      <c r="J369" s="119"/>
      <c r="K369" s="119"/>
      <c r="L369" s="119"/>
      <c r="M369" s="119"/>
    </row>
    <row r="374" spans="1:13">
      <c r="A374" s="119" t="s">
        <v>598</v>
      </c>
      <c r="B374" s="119"/>
      <c r="C374" s="119"/>
      <c r="F374" s="119"/>
      <c r="G374" s="119"/>
      <c r="H374" s="119"/>
      <c r="I374" s="119"/>
      <c r="J374" s="119"/>
      <c r="K374" s="119"/>
      <c r="L374" s="119"/>
      <c r="M374" s="119"/>
    </row>
    <row r="375" spans="1:13">
      <c r="A375" s="119"/>
      <c r="B375" s="7" t="s">
        <v>488</v>
      </c>
      <c r="C375" s="4">
        <f>'data for stata'!D366</f>
        <v>1.8533204143941524</v>
      </c>
      <c r="D375" s="10">
        <f>SUMPRODUCT(C375:C433,'data for stata'!C366:C424)/SUM('data for stata'!C366:C424)</f>
        <v>22.730459967300941</v>
      </c>
      <c r="E375" s="12">
        <v>194.86</v>
      </c>
      <c r="F375" s="119" t="str">
        <f t="shared" si="13"/>
        <v>FALSE</v>
      </c>
      <c r="G375" s="119">
        <f>IF(F375="FALSE",0,E$375-D$375)</f>
        <v>0</v>
      </c>
      <c r="H375" s="119">
        <f t="shared" si="14"/>
        <v>1.8533204143941524</v>
      </c>
      <c r="I375" s="10">
        <f>SUMPRODUCT(H375:H433,'data for stata'!C366:C424)/SUM('data for stata'!C366:C424)</f>
        <v>22.730459967300941</v>
      </c>
      <c r="J375" s="119">
        <f>E375-I375</f>
        <v>172.12954003269908</v>
      </c>
      <c r="K375" s="119">
        <f>L375-M375</f>
        <v>0</v>
      </c>
      <c r="L375" s="119">
        <f>COUNT(G375:G433)</f>
        <v>59</v>
      </c>
      <c r="M375" s="119">
        <f>COUNTIF(G375:G433,0)</f>
        <v>59</v>
      </c>
    </row>
    <row r="376" spans="1:13">
      <c r="A376" s="119"/>
      <c r="B376" s="7" t="s">
        <v>490</v>
      </c>
      <c r="C376" s="4">
        <f>'data for stata'!D367</f>
        <v>27.964642424209767</v>
      </c>
      <c r="E376" s="12">
        <v>194.86</v>
      </c>
      <c r="F376" s="119" t="str">
        <f t="shared" si="13"/>
        <v>FALSE</v>
      </c>
      <c r="G376" s="119">
        <f t="shared" ref="G376:G433" si="24">IF(F376="FALSE",0,E$375-D$375)</f>
        <v>0</v>
      </c>
      <c r="H376" s="119">
        <f t="shared" si="14"/>
        <v>27.964642424209767</v>
      </c>
      <c r="I376" s="119"/>
      <c r="J376" s="119"/>
      <c r="K376" s="119"/>
      <c r="L376" s="119"/>
      <c r="M376" s="119"/>
    </row>
    <row r="377" spans="1:13">
      <c r="A377" s="119"/>
      <c r="B377" s="7" t="s">
        <v>492</v>
      </c>
      <c r="C377" s="4">
        <f>'data for stata'!D368</f>
        <v>1.8533204143941524</v>
      </c>
      <c r="E377" s="12">
        <v>194.86</v>
      </c>
      <c r="F377" s="119" t="str">
        <f t="shared" si="13"/>
        <v>FALSE</v>
      </c>
      <c r="G377" s="119">
        <f t="shared" si="24"/>
        <v>0</v>
      </c>
      <c r="H377" s="119">
        <f t="shared" si="14"/>
        <v>1.8533204143941524</v>
      </c>
      <c r="I377" s="119"/>
      <c r="J377" s="119"/>
      <c r="K377" s="119"/>
      <c r="L377" s="119"/>
      <c r="M377" s="119"/>
    </row>
    <row r="378" spans="1:13">
      <c r="A378" s="119"/>
      <c r="B378" s="7" t="s">
        <v>494</v>
      </c>
      <c r="C378" s="4">
        <f>'data for stata'!D369</f>
        <v>1.8533204143941524</v>
      </c>
      <c r="E378" s="12">
        <v>194.86</v>
      </c>
      <c r="F378" s="119" t="str">
        <f t="shared" si="13"/>
        <v>FALSE</v>
      </c>
      <c r="G378" s="119">
        <f t="shared" si="24"/>
        <v>0</v>
      </c>
      <c r="H378" s="119">
        <f t="shared" si="14"/>
        <v>1.8533204143941524</v>
      </c>
      <c r="I378" s="119"/>
      <c r="J378" s="119"/>
      <c r="K378" s="119"/>
      <c r="L378" s="119"/>
      <c r="M378" s="119"/>
    </row>
    <row r="379" spans="1:13">
      <c r="A379" s="119"/>
      <c r="B379" s="7" t="s">
        <v>496</v>
      </c>
      <c r="C379" s="4">
        <f>'data for stata'!D370</f>
        <v>1.8533204143941524</v>
      </c>
      <c r="E379" s="12">
        <v>194.86</v>
      </c>
      <c r="F379" s="119" t="str">
        <f t="shared" si="13"/>
        <v>FALSE</v>
      </c>
      <c r="G379" s="119">
        <f t="shared" si="24"/>
        <v>0</v>
      </c>
      <c r="H379" s="119">
        <f t="shared" si="14"/>
        <v>1.8533204143941524</v>
      </c>
      <c r="I379" s="119"/>
      <c r="J379" s="119"/>
      <c r="K379" s="119"/>
      <c r="L379" s="119"/>
      <c r="M379" s="119"/>
    </row>
    <row r="380" spans="1:13">
      <c r="A380" s="119"/>
      <c r="B380" s="7" t="s">
        <v>498</v>
      </c>
      <c r="C380" s="4">
        <f>'data for stata'!D371</f>
        <v>56.210410239611313</v>
      </c>
      <c r="E380" s="12">
        <v>194.86</v>
      </c>
      <c r="F380" s="119" t="str">
        <f t="shared" si="13"/>
        <v>FALSE</v>
      </c>
      <c r="G380" s="119">
        <f t="shared" si="24"/>
        <v>0</v>
      </c>
      <c r="H380" s="119">
        <f t="shared" si="14"/>
        <v>56.210410239611313</v>
      </c>
      <c r="I380" s="119"/>
      <c r="J380" s="119"/>
      <c r="K380" s="119"/>
      <c r="L380" s="119"/>
      <c r="M380" s="119"/>
    </row>
    <row r="381" spans="1:13">
      <c r="A381" s="119"/>
      <c r="B381" s="7" t="s">
        <v>500</v>
      </c>
      <c r="C381" s="4">
        <f>'data for stata'!D372</f>
        <v>1.8533204143941524</v>
      </c>
      <c r="E381" s="12">
        <v>194.86</v>
      </c>
      <c r="F381" s="119" t="str">
        <f t="shared" si="13"/>
        <v>FALSE</v>
      </c>
      <c r="G381" s="119">
        <f t="shared" si="24"/>
        <v>0</v>
      </c>
      <c r="H381" s="119">
        <f t="shared" si="14"/>
        <v>1.8533204143941524</v>
      </c>
      <c r="I381" s="119"/>
      <c r="J381" s="119"/>
      <c r="K381" s="119"/>
      <c r="L381" s="119"/>
      <c r="M381" s="119"/>
    </row>
    <row r="382" spans="1:13">
      <c r="A382" s="119"/>
      <c r="B382" s="7" t="s">
        <v>502</v>
      </c>
      <c r="C382" s="4">
        <f>'data for stata'!D373</f>
        <v>1.8533204143941524</v>
      </c>
      <c r="E382" s="12">
        <v>194.86</v>
      </c>
      <c r="F382" s="119" t="str">
        <f t="shared" si="13"/>
        <v>FALSE</v>
      </c>
      <c r="G382" s="119">
        <f t="shared" si="24"/>
        <v>0</v>
      </c>
      <c r="H382" s="119">
        <f t="shared" si="14"/>
        <v>1.8533204143941524</v>
      </c>
      <c r="I382" s="119"/>
      <c r="J382" s="119"/>
      <c r="K382" s="119"/>
      <c r="L382" s="119"/>
      <c r="M382" s="119"/>
    </row>
    <row r="383" spans="1:13">
      <c r="A383" s="119"/>
      <c r="B383" s="7" t="s">
        <v>503</v>
      </c>
      <c r="C383" s="4">
        <f>'data for stata'!D374</f>
        <v>1.8533204143941524</v>
      </c>
      <c r="E383" s="12">
        <v>194.86</v>
      </c>
      <c r="F383" s="119" t="str">
        <f t="shared" si="13"/>
        <v>FALSE</v>
      </c>
      <c r="G383" s="119">
        <f t="shared" si="24"/>
        <v>0</v>
      </c>
      <c r="H383" s="119">
        <f t="shared" si="14"/>
        <v>1.8533204143941524</v>
      </c>
      <c r="I383" s="119"/>
      <c r="J383" s="119"/>
      <c r="K383" s="119"/>
      <c r="L383" s="119"/>
      <c r="M383" s="119"/>
    </row>
    <row r="384" spans="1:13">
      <c r="A384" s="119"/>
      <c r="B384" s="7" t="s">
        <v>505</v>
      </c>
      <c r="C384" s="4">
        <f>'data for stata'!D375</f>
        <v>1.8533204143941524</v>
      </c>
      <c r="E384" s="12">
        <v>194.86</v>
      </c>
      <c r="F384" s="119" t="str">
        <f t="shared" si="13"/>
        <v>FALSE</v>
      </c>
      <c r="G384" s="119">
        <f t="shared" si="24"/>
        <v>0</v>
      </c>
      <c r="H384" s="119">
        <f t="shared" si="14"/>
        <v>1.8533204143941524</v>
      </c>
      <c r="I384" s="119"/>
      <c r="J384" s="119"/>
      <c r="K384" s="119"/>
      <c r="L384" s="119"/>
      <c r="M384" s="119"/>
    </row>
    <row r="385" spans="2:8">
      <c r="B385" s="7" t="s">
        <v>507</v>
      </c>
      <c r="C385" s="4">
        <f>'data for stata'!D376</f>
        <v>38.888302198696564</v>
      </c>
      <c r="E385" s="12">
        <v>194.86</v>
      </c>
      <c r="F385" s="119" t="str">
        <f t="shared" si="13"/>
        <v>FALSE</v>
      </c>
      <c r="G385" s="119">
        <f t="shared" si="24"/>
        <v>0</v>
      </c>
      <c r="H385" s="119">
        <f t="shared" si="14"/>
        <v>38.888302198696564</v>
      </c>
    </row>
    <row r="386" spans="2:8">
      <c r="B386" s="7" t="s">
        <v>508</v>
      </c>
      <c r="C386" s="4">
        <f>'data for stata'!D377</f>
        <v>1.8533204143941524</v>
      </c>
      <c r="E386" s="12">
        <v>194.86</v>
      </c>
      <c r="F386" s="119" t="str">
        <f t="shared" si="13"/>
        <v>FALSE</v>
      </c>
      <c r="G386" s="119">
        <f t="shared" si="24"/>
        <v>0</v>
      </c>
      <c r="H386" s="119">
        <f t="shared" si="14"/>
        <v>1.8533204143941524</v>
      </c>
    </row>
    <row r="387" spans="2:8">
      <c r="B387" s="7" t="s">
        <v>509</v>
      </c>
      <c r="C387" s="4">
        <f>'data for stata'!D378</f>
        <v>24.848106072256581</v>
      </c>
      <c r="E387" s="12">
        <v>194.86</v>
      </c>
      <c r="F387" s="119" t="str">
        <f t="shared" si="13"/>
        <v>FALSE</v>
      </c>
      <c r="G387" s="119">
        <f t="shared" si="24"/>
        <v>0</v>
      </c>
      <c r="H387" s="119">
        <f t="shared" si="14"/>
        <v>24.848106072256581</v>
      </c>
    </row>
    <row r="388" spans="2:8">
      <c r="B388" s="7" t="s">
        <v>510</v>
      </c>
      <c r="C388" s="4">
        <f>'data for stata'!D379</f>
        <v>1.8533204143941524</v>
      </c>
      <c r="E388" s="12">
        <v>194.86</v>
      </c>
      <c r="F388" s="119" t="str">
        <f t="shared" si="13"/>
        <v>FALSE</v>
      </c>
      <c r="G388" s="119">
        <f t="shared" si="24"/>
        <v>0</v>
      </c>
      <c r="H388" s="119">
        <f t="shared" si="14"/>
        <v>1.8533204143941524</v>
      </c>
    </row>
    <row r="389" spans="2:8">
      <c r="B389" s="7" t="s">
        <v>512</v>
      </c>
      <c r="C389" s="4">
        <f>'data for stata'!D380</f>
        <v>1.8533204143941524</v>
      </c>
      <c r="E389" s="12">
        <v>194.86</v>
      </c>
      <c r="F389" s="119" t="str">
        <f t="shared" si="13"/>
        <v>FALSE</v>
      </c>
      <c r="G389" s="119">
        <f t="shared" si="24"/>
        <v>0</v>
      </c>
      <c r="H389" s="119">
        <f t="shared" si="14"/>
        <v>1.8533204143941524</v>
      </c>
    </row>
    <row r="390" spans="2:8">
      <c r="B390" s="7" t="s">
        <v>511</v>
      </c>
      <c r="C390" s="4">
        <f>'data for stata'!D381</f>
        <v>11.727225728859844</v>
      </c>
      <c r="E390" s="12">
        <v>194.86</v>
      </c>
      <c r="F390" s="119" t="str">
        <f t="shared" si="13"/>
        <v>FALSE</v>
      </c>
      <c r="G390" s="119">
        <f t="shared" si="24"/>
        <v>0</v>
      </c>
      <c r="H390" s="119">
        <f t="shared" si="14"/>
        <v>11.727225728859844</v>
      </c>
    </row>
    <row r="391" spans="2:8">
      <c r="B391" s="7" t="s">
        <v>515</v>
      </c>
      <c r="C391" s="4">
        <f>'data for stata'!D382</f>
        <v>1.8533204143941524</v>
      </c>
      <c r="E391" s="12">
        <v>194.86</v>
      </c>
      <c r="F391" s="119" t="str">
        <f t="shared" si="13"/>
        <v>FALSE</v>
      </c>
      <c r="G391" s="119">
        <f t="shared" si="24"/>
        <v>0</v>
      </c>
      <c r="H391" s="119">
        <f t="shared" si="14"/>
        <v>1.8533204143941524</v>
      </c>
    </row>
    <row r="392" spans="2:8">
      <c r="B392" s="7" t="s">
        <v>517</v>
      </c>
      <c r="C392" s="4">
        <f>'data for stata'!D383</f>
        <v>1.8533204143941524</v>
      </c>
      <c r="E392" s="12">
        <v>194.86</v>
      </c>
      <c r="F392" s="119" t="str">
        <f t="shared" si="13"/>
        <v>FALSE</v>
      </c>
      <c r="G392" s="119">
        <f t="shared" si="24"/>
        <v>0</v>
      </c>
      <c r="H392" s="119">
        <f t="shared" si="14"/>
        <v>1.8533204143941524</v>
      </c>
    </row>
    <row r="393" spans="2:8">
      <c r="B393" s="7" t="s">
        <v>519</v>
      </c>
      <c r="C393" s="4">
        <f>'data for stata'!D384</f>
        <v>1.8533204143941524</v>
      </c>
      <c r="E393" s="12">
        <v>194.86</v>
      </c>
      <c r="F393" s="119" t="str">
        <f t="shared" si="13"/>
        <v>FALSE</v>
      </c>
      <c r="G393" s="119">
        <f t="shared" si="24"/>
        <v>0</v>
      </c>
      <c r="H393" s="119">
        <f t="shared" si="14"/>
        <v>1.8533204143941524</v>
      </c>
    </row>
    <row r="394" spans="2:8">
      <c r="B394" s="7" t="s">
        <v>521</v>
      </c>
      <c r="C394" s="4">
        <f>'data for stata'!D385</f>
        <v>1.8533204143941524</v>
      </c>
      <c r="E394" s="12">
        <v>194.86</v>
      </c>
      <c r="F394" s="119" t="str">
        <f t="shared" ref="F394:F457" si="25">IF(E394&lt;C394,"TRUE","FALSE")</f>
        <v>FALSE</v>
      </c>
      <c r="G394" s="119">
        <f t="shared" si="24"/>
        <v>0</v>
      </c>
      <c r="H394" s="119">
        <f t="shared" si="14"/>
        <v>1.8533204143941524</v>
      </c>
    </row>
    <row r="395" spans="2:8">
      <c r="B395" s="7" t="s">
        <v>523</v>
      </c>
      <c r="C395" s="4">
        <f>'data for stata'!D386</f>
        <v>1.8533204143941524</v>
      </c>
      <c r="E395" s="12">
        <v>194.86</v>
      </c>
      <c r="F395" s="119" t="str">
        <f t="shared" si="25"/>
        <v>FALSE</v>
      </c>
      <c r="G395" s="119">
        <f t="shared" si="24"/>
        <v>0</v>
      </c>
      <c r="H395" s="119">
        <f t="shared" ref="H395:H458" si="26">IF(F395="False",C395,C395-(G395))</f>
        <v>1.8533204143941524</v>
      </c>
    </row>
    <row r="396" spans="2:8">
      <c r="B396" s="7" t="s">
        <v>524</v>
      </c>
      <c r="C396" s="4">
        <f>'data for stata'!D387</f>
        <v>1.8533204143941524</v>
      </c>
      <c r="E396" s="12">
        <v>194.86</v>
      </c>
      <c r="F396" s="119" t="str">
        <f t="shared" si="25"/>
        <v>FALSE</v>
      </c>
      <c r="G396" s="119">
        <f t="shared" si="24"/>
        <v>0</v>
      </c>
      <c r="H396" s="119">
        <f t="shared" si="26"/>
        <v>1.8533204143941524</v>
      </c>
    </row>
    <row r="397" spans="2:8">
      <c r="B397" s="7" t="s">
        <v>525</v>
      </c>
      <c r="C397" s="4">
        <f>'data for stata'!D388</f>
        <v>1.8533204143941524</v>
      </c>
      <c r="E397" s="12">
        <v>194.86</v>
      </c>
      <c r="F397" s="119" t="str">
        <f t="shared" si="25"/>
        <v>FALSE</v>
      </c>
      <c r="G397" s="119">
        <f t="shared" si="24"/>
        <v>0</v>
      </c>
      <c r="H397" s="119">
        <f t="shared" si="26"/>
        <v>1.8533204143941524</v>
      </c>
    </row>
    <row r="398" spans="2:8">
      <c r="B398" s="7" t="s">
        <v>526</v>
      </c>
      <c r="C398" s="4">
        <f>'data for stata'!D389</f>
        <v>1.8533204143941524</v>
      </c>
      <c r="E398" s="12">
        <v>194.86</v>
      </c>
      <c r="F398" s="119" t="str">
        <f t="shared" si="25"/>
        <v>FALSE</v>
      </c>
      <c r="G398" s="119">
        <f t="shared" si="24"/>
        <v>0</v>
      </c>
      <c r="H398" s="119">
        <f t="shared" si="26"/>
        <v>1.8533204143941524</v>
      </c>
    </row>
    <row r="399" spans="2:8">
      <c r="B399" s="7" t="s">
        <v>527</v>
      </c>
      <c r="C399" s="4">
        <f>'data for stata'!D390</f>
        <v>1.8533204143941524</v>
      </c>
      <c r="E399" s="12">
        <v>194.86</v>
      </c>
      <c r="F399" s="119" t="str">
        <f t="shared" si="25"/>
        <v>FALSE</v>
      </c>
      <c r="G399" s="119">
        <f t="shared" si="24"/>
        <v>0</v>
      </c>
      <c r="H399" s="119">
        <f t="shared" si="26"/>
        <v>1.8533204143941524</v>
      </c>
    </row>
    <row r="400" spans="2:8">
      <c r="B400" s="7" t="s">
        <v>495</v>
      </c>
      <c r="C400" s="4">
        <f>'data for stata'!D391</f>
        <v>11.936103566535374</v>
      </c>
      <c r="E400" s="12">
        <v>194.86</v>
      </c>
      <c r="F400" s="119" t="str">
        <f t="shared" si="25"/>
        <v>FALSE</v>
      </c>
      <c r="G400" s="119">
        <f t="shared" si="24"/>
        <v>0</v>
      </c>
      <c r="H400" s="119">
        <f t="shared" si="26"/>
        <v>11.936103566535374</v>
      </c>
    </row>
    <row r="401" spans="2:8">
      <c r="B401" s="7" t="s">
        <v>504</v>
      </c>
      <c r="C401" s="4">
        <f>'data for stata'!D392</f>
        <v>90.969622243516753</v>
      </c>
      <c r="E401" s="12">
        <v>194.86</v>
      </c>
      <c r="F401" s="119" t="str">
        <f t="shared" si="25"/>
        <v>FALSE</v>
      </c>
      <c r="G401" s="119">
        <f t="shared" si="24"/>
        <v>0</v>
      </c>
      <c r="H401" s="119">
        <f t="shared" si="26"/>
        <v>90.969622243516753</v>
      </c>
    </row>
    <row r="402" spans="2:8">
      <c r="B402" s="7" t="s">
        <v>528</v>
      </c>
      <c r="C402" s="4">
        <f>'data for stata'!D393</f>
        <v>1.8533204143941524</v>
      </c>
      <c r="E402" s="12">
        <v>194.86</v>
      </c>
      <c r="F402" s="119" t="str">
        <f t="shared" si="25"/>
        <v>FALSE</v>
      </c>
      <c r="G402" s="119">
        <f t="shared" si="24"/>
        <v>0</v>
      </c>
      <c r="H402" s="119">
        <f t="shared" si="26"/>
        <v>1.8533204143941524</v>
      </c>
    </row>
    <row r="403" spans="2:8">
      <c r="B403" s="7" t="s">
        <v>529</v>
      </c>
      <c r="C403" s="4">
        <f>'data for stata'!D394</f>
        <v>1.8533204143941524</v>
      </c>
      <c r="E403" s="12">
        <v>194.86</v>
      </c>
      <c r="F403" s="119" t="str">
        <f t="shared" si="25"/>
        <v>FALSE</v>
      </c>
      <c r="G403" s="119">
        <f t="shared" si="24"/>
        <v>0</v>
      </c>
      <c r="H403" s="119">
        <f t="shared" si="26"/>
        <v>1.8533204143941524</v>
      </c>
    </row>
    <row r="404" spans="2:8">
      <c r="B404" s="7" t="s">
        <v>530</v>
      </c>
      <c r="C404" s="4">
        <f>'data for stata'!D395</f>
        <v>1.8533204143941524</v>
      </c>
      <c r="E404" s="12">
        <v>194.86</v>
      </c>
      <c r="F404" s="119" t="str">
        <f t="shared" si="25"/>
        <v>FALSE</v>
      </c>
      <c r="G404" s="119">
        <f t="shared" si="24"/>
        <v>0</v>
      </c>
      <c r="H404" s="119">
        <f t="shared" si="26"/>
        <v>1.8533204143941524</v>
      </c>
    </row>
    <row r="405" spans="2:8">
      <c r="B405" s="7" t="s">
        <v>493</v>
      </c>
      <c r="C405" s="4">
        <f>'data for stata'!D396</f>
        <v>7.5583615276430054</v>
      </c>
      <c r="E405" s="12">
        <v>194.86</v>
      </c>
      <c r="F405" s="119" t="str">
        <f t="shared" si="25"/>
        <v>FALSE</v>
      </c>
      <c r="G405" s="119">
        <f t="shared" si="24"/>
        <v>0</v>
      </c>
      <c r="H405" s="119">
        <f t="shared" si="26"/>
        <v>7.5583615276430054</v>
      </c>
    </row>
    <row r="406" spans="2:8">
      <c r="B406" s="7" t="s">
        <v>491</v>
      </c>
      <c r="C406" s="4">
        <f>'data for stata'!D397</f>
        <v>18.309792022590418</v>
      </c>
      <c r="E406" s="12">
        <v>194.86</v>
      </c>
      <c r="F406" s="119" t="str">
        <f t="shared" si="25"/>
        <v>FALSE</v>
      </c>
      <c r="G406" s="119">
        <f t="shared" si="24"/>
        <v>0</v>
      </c>
      <c r="H406" s="119">
        <f t="shared" si="26"/>
        <v>18.309792022590418</v>
      </c>
    </row>
    <row r="407" spans="2:8">
      <c r="B407" s="7" t="s">
        <v>531</v>
      </c>
      <c r="C407" s="4">
        <f>'data for stata'!D398</f>
        <v>1.8533204143941524</v>
      </c>
      <c r="E407" s="12">
        <v>194.86</v>
      </c>
      <c r="F407" s="119" t="str">
        <f t="shared" si="25"/>
        <v>FALSE</v>
      </c>
      <c r="G407" s="119">
        <f t="shared" si="24"/>
        <v>0</v>
      </c>
      <c r="H407" s="119">
        <f t="shared" si="26"/>
        <v>1.8533204143941524</v>
      </c>
    </row>
    <row r="408" spans="2:8">
      <c r="B408" s="7" t="s">
        <v>506</v>
      </c>
      <c r="C408" s="4">
        <f>'data for stata'!D399</f>
        <v>48.614722029622143</v>
      </c>
      <c r="E408" s="12">
        <v>194.86</v>
      </c>
      <c r="F408" s="119" t="str">
        <f t="shared" si="25"/>
        <v>FALSE</v>
      </c>
      <c r="G408" s="119">
        <f t="shared" si="24"/>
        <v>0</v>
      </c>
      <c r="H408" s="119">
        <f t="shared" si="26"/>
        <v>48.614722029622143</v>
      </c>
    </row>
    <row r="409" spans="2:8">
      <c r="B409" s="7" t="s">
        <v>513</v>
      </c>
      <c r="C409" s="4">
        <f>'data for stata'!D400</f>
        <v>13.618338438743271</v>
      </c>
      <c r="E409" s="12">
        <v>194.86</v>
      </c>
      <c r="F409" s="119" t="str">
        <f t="shared" si="25"/>
        <v>FALSE</v>
      </c>
      <c r="G409" s="119">
        <f t="shared" si="24"/>
        <v>0</v>
      </c>
      <c r="H409" s="119">
        <f t="shared" si="26"/>
        <v>13.618338438743271</v>
      </c>
    </row>
    <row r="410" spans="2:8">
      <c r="B410" s="7" t="s">
        <v>532</v>
      </c>
      <c r="C410" s="4">
        <f>'data for stata'!D401</f>
        <v>1.8533204143941524</v>
      </c>
      <c r="E410" s="12">
        <v>194.86</v>
      </c>
      <c r="F410" s="119" t="str">
        <f t="shared" si="25"/>
        <v>FALSE</v>
      </c>
      <c r="G410" s="119">
        <f t="shared" si="24"/>
        <v>0</v>
      </c>
      <c r="H410" s="119">
        <f t="shared" si="26"/>
        <v>1.8533204143941524</v>
      </c>
    </row>
    <row r="411" spans="2:8">
      <c r="B411" s="7" t="s">
        <v>533</v>
      </c>
      <c r="C411" s="4">
        <f>'data for stata'!D402</f>
        <v>1.8533204143941524</v>
      </c>
      <c r="E411" s="12">
        <v>194.86</v>
      </c>
      <c r="F411" s="119" t="str">
        <f t="shared" si="25"/>
        <v>FALSE</v>
      </c>
      <c r="G411" s="119">
        <f t="shared" si="24"/>
        <v>0</v>
      </c>
      <c r="H411" s="119">
        <f t="shared" si="26"/>
        <v>1.8533204143941524</v>
      </c>
    </row>
    <row r="412" spans="2:8">
      <c r="B412" s="7" t="s">
        <v>534</v>
      </c>
      <c r="C412" s="4">
        <f>'data for stata'!D403</f>
        <v>1.8533204143941524</v>
      </c>
      <c r="E412" s="12">
        <v>194.86</v>
      </c>
      <c r="F412" s="119" t="str">
        <f t="shared" si="25"/>
        <v>FALSE</v>
      </c>
      <c r="G412" s="119">
        <f t="shared" si="24"/>
        <v>0</v>
      </c>
      <c r="H412" s="119">
        <f t="shared" si="26"/>
        <v>1.8533204143941524</v>
      </c>
    </row>
    <row r="413" spans="2:8">
      <c r="B413" s="7" t="s">
        <v>535</v>
      </c>
      <c r="C413" s="4">
        <f>'data for stata'!D404</f>
        <v>1.8533204143941524</v>
      </c>
      <c r="E413" s="12">
        <v>194.86</v>
      </c>
      <c r="F413" s="119" t="str">
        <f t="shared" si="25"/>
        <v>FALSE</v>
      </c>
      <c r="G413" s="119">
        <f t="shared" si="24"/>
        <v>0</v>
      </c>
      <c r="H413" s="119">
        <f t="shared" si="26"/>
        <v>1.8533204143941524</v>
      </c>
    </row>
    <row r="414" spans="2:8">
      <c r="B414" s="7" t="s">
        <v>536</v>
      </c>
      <c r="C414" s="4">
        <f>'data for stata'!D405</f>
        <v>1.8533204143941524</v>
      </c>
      <c r="E414" s="12">
        <v>194.86</v>
      </c>
      <c r="F414" s="119" t="str">
        <f t="shared" si="25"/>
        <v>FALSE</v>
      </c>
      <c r="G414" s="119">
        <f t="shared" si="24"/>
        <v>0</v>
      </c>
      <c r="H414" s="119">
        <f t="shared" si="26"/>
        <v>1.8533204143941524</v>
      </c>
    </row>
    <row r="415" spans="2:8">
      <c r="B415" s="7" t="s">
        <v>501</v>
      </c>
      <c r="C415" s="4">
        <f>'data for stata'!D406</f>
        <v>24.477482972474181</v>
      </c>
      <c r="E415" s="12">
        <v>194.86</v>
      </c>
      <c r="F415" s="119" t="str">
        <f t="shared" si="25"/>
        <v>FALSE</v>
      </c>
      <c r="G415" s="119">
        <f t="shared" si="24"/>
        <v>0</v>
      </c>
      <c r="H415" s="119">
        <f t="shared" si="26"/>
        <v>24.477482972474181</v>
      </c>
    </row>
    <row r="416" spans="2:8">
      <c r="B416" s="7" t="s">
        <v>537</v>
      </c>
      <c r="C416" s="4">
        <f>'data for stata'!D407</f>
        <v>1.8533204143941524</v>
      </c>
      <c r="E416" s="12">
        <v>194.86</v>
      </c>
      <c r="F416" s="119" t="str">
        <f t="shared" si="25"/>
        <v>FALSE</v>
      </c>
      <c r="G416" s="119">
        <f t="shared" si="24"/>
        <v>0</v>
      </c>
      <c r="H416" s="119">
        <f t="shared" si="26"/>
        <v>1.8533204143941524</v>
      </c>
    </row>
    <row r="417" spans="2:8">
      <c r="B417" s="7" t="s">
        <v>499</v>
      </c>
      <c r="C417" s="4">
        <f>'data for stata'!D408</f>
        <v>44.106659690236022</v>
      </c>
      <c r="E417" s="12">
        <v>194.86</v>
      </c>
      <c r="F417" s="119" t="str">
        <f t="shared" si="25"/>
        <v>FALSE</v>
      </c>
      <c r="G417" s="119">
        <f t="shared" si="24"/>
        <v>0</v>
      </c>
      <c r="H417" s="119">
        <f t="shared" si="26"/>
        <v>44.106659690236022</v>
      </c>
    </row>
    <row r="418" spans="2:8">
      <c r="B418" s="7" t="s">
        <v>538</v>
      </c>
      <c r="C418" s="4">
        <f>'data for stata'!D409</f>
        <v>1.8533204143941524</v>
      </c>
      <c r="E418" s="12">
        <v>194.86</v>
      </c>
      <c r="F418" s="119" t="str">
        <f t="shared" si="25"/>
        <v>FALSE</v>
      </c>
      <c r="G418" s="119">
        <f t="shared" si="24"/>
        <v>0</v>
      </c>
      <c r="H418" s="119">
        <f t="shared" si="26"/>
        <v>1.8533204143941524</v>
      </c>
    </row>
    <row r="419" spans="2:8">
      <c r="B419" s="7" t="s">
        <v>539</v>
      </c>
      <c r="C419" s="4">
        <f>'data for stata'!D410</f>
        <v>1.8533204143941524</v>
      </c>
      <c r="E419" s="12">
        <v>194.86</v>
      </c>
      <c r="F419" s="119" t="str">
        <f t="shared" si="25"/>
        <v>FALSE</v>
      </c>
      <c r="G419" s="119">
        <f t="shared" si="24"/>
        <v>0</v>
      </c>
      <c r="H419" s="119">
        <f t="shared" si="26"/>
        <v>1.8533204143941524</v>
      </c>
    </row>
    <row r="420" spans="2:8">
      <c r="B420" s="7" t="s">
        <v>540</v>
      </c>
      <c r="C420" s="4">
        <f>'data for stata'!D411</f>
        <v>1.8533204143941524</v>
      </c>
      <c r="E420" s="12">
        <v>194.86</v>
      </c>
      <c r="F420" s="119" t="str">
        <f t="shared" si="25"/>
        <v>FALSE</v>
      </c>
      <c r="G420" s="119">
        <f t="shared" si="24"/>
        <v>0</v>
      </c>
      <c r="H420" s="119">
        <f t="shared" si="26"/>
        <v>1.8533204143941524</v>
      </c>
    </row>
    <row r="421" spans="2:8">
      <c r="B421" s="7" t="s">
        <v>514</v>
      </c>
      <c r="C421" s="4">
        <f>'data for stata'!D412</f>
        <v>23.985663449536517</v>
      </c>
      <c r="E421" s="12">
        <v>194.86</v>
      </c>
      <c r="F421" s="119" t="str">
        <f t="shared" si="25"/>
        <v>FALSE</v>
      </c>
      <c r="G421" s="119">
        <f t="shared" si="24"/>
        <v>0</v>
      </c>
      <c r="H421" s="119">
        <f t="shared" si="26"/>
        <v>23.985663449536517</v>
      </c>
    </row>
    <row r="422" spans="2:8">
      <c r="B422" s="7" t="s">
        <v>516</v>
      </c>
      <c r="C422" s="4">
        <f>'data for stata'!D413</f>
        <v>22.293129888049641</v>
      </c>
      <c r="E422" s="12">
        <v>194.86</v>
      </c>
      <c r="F422" s="119" t="str">
        <f t="shared" si="25"/>
        <v>FALSE</v>
      </c>
      <c r="G422" s="119">
        <f t="shared" si="24"/>
        <v>0</v>
      </c>
      <c r="H422" s="119">
        <f t="shared" si="26"/>
        <v>22.293129888049641</v>
      </c>
    </row>
    <row r="423" spans="2:8">
      <c r="B423" s="7" t="s">
        <v>518</v>
      </c>
      <c r="C423" s="4">
        <f>'data for stata'!D414</f>
        <v>29.012307056215924</v>
      </c>
      <c r="E423" s="12">
        <v>194.86</v>
      </c>
      <c r="F423" s="119" t="str">
        <f t="shared" si="25"/>
        <v>FALSE</v>
      </c>
      <c r="G423" s="119">
        <f t="shared" si="24"/>
        <v>0</v>
      </c>
      <c r="H423" s="119">
        <f t="shared" si="26"/>
        <v>29.012307056215924</v>
      </c>
    </row>
    <row r="424" spans="2:8">
      <c r="B424" s="7" t="s">
        <v>541</v>
      </c>
      <c r="C424" s="4">
        <f>'data for stata'!D415</f>
        <v>1.8533204143941524</v>
      </c>
      <c r="E424" s="12">
        <v>194.86</v>
      </c>
      <c r="F424" s="119" t="str">
        <f t="shared" si="25"/>
        <v>FALSE</v>
      </c>
      <c r="G424" s="119">
        <f t="shared" si="24"/>
        <v>0</v>
      </c>
      <c r="H424" s="119">
        <f t="shared" si="26"/>
        <v>1.8533204143941524</v>
      </c>
    </row>
    <row r="425" spans="2:8">
      <c r="B425" s="7" t="s">
        <v>520</v>
      </c>
      <c r="C425" s="4">
        <f>'data for stata'!D416</f>
        <v>24.649503701817789</v>
      </c>
      <c r="E425" s="12">
        <v>194.86</v>
      </c>
      <c r="F425" s="119" t="str">
        <f t="shared" si="25"/>
        <v>FALSE</v>
      </c>
      <c r="G425" s="119">
        <f t="shared" si="24"/>
        <v>0</v>
      </c>
      <c r="H425" s="119">
        <f t="shared" si="26"/>
        <v>24.649503701817789</v>
      </c>
    </row>
    <row r="426" spans="2:8">
      <c r="B426" s="7" t="s">
        <v>542</v>
      </c>
      <c r="C426" s="4">
        <f>'data for stata'!D417</f>
        <v>1.8533204143941524</v>
      </c>
      <c r="E426" s="12">
        <v>194.86</v>
      </c>
      <c r="F426" s="119" t="str">
        <f t="shared" si="25"/>
        <v>FALSE</v>
      </c>
      <c r="G426" s="119">
        <f t="shared" si="24"/>
        <v>0</v>
      </c>
      <c r="H426" s="119">
        <f t="shared" si="26"/>
        <v>1.8533204143941524</v>
      </c>
    </row>
    <row r="427" spans="2:8">
      <c r="B427" s="7" t="s">
        <v>543</v>
      </c>
      <c r="C427" s="4">
        <f>'data for stata'!D418</f>
        <v>1.8533204143941524</v>
      </c>
      <c r="E427" s="12">
        <v>194.86</v>
      </c>
      <c r="F427" s="119" t="str">
        <f t="shared" si="25"/>
        <v>FALSE</v>
      </c>
      <c r="G427" s="119">
        <f t="shared" si="24"/>
        <v>0</v>
      </c>
      <c r="H427" s="119">
        <f t="shared" si="26"/>
        <v>1.8533204143941524</v>
      </c>
    </row>
    <row r="428" spans="2:8">
      <c r="B428" s="7" t="s">
        <v>544</v>
      </c>
      <c r="C428" s="4">
        <f>'data for stata'!D419</f>
        <v>1.8533204143941524</v>
      </c>
      <c r="E428" s="12">
        <v>194.86</v>
      </c>
      <c r="F428" s="119" t="str">
        <f t="shared" si="25"/>
        <v>FALSE</v>
      </c>
      <c r="G428" s="119">
        <f t="shared" si="24"/>
        <v>0</v>
      </c>
      <c r="H428" s="119">
        <f t="shared" si="26"/>
        <v>1.8533204143941524</v>
      </c>
    </row>
    <row r="429" spans="2:8">
      <c r="B429" s="7" t="s">
        <v>489</v>
      </c>
      <c r="C429" s="4">
        <f>'data for stata'!D420</f>
        <v>24.471553663245658</v>
      </c>
      <c r="E429" s="12">
        <v>194.86</v>
      </c>
      <c r="F429" s="119" t="str">
        <f t="shared" si="25"/>
        <v>FALSE</v>
      </c>
      <c r="G429" s="119">
        <f t="shared" si="24"/>
        <v>0</v>
      </c>
      <c r="H429" s="119">
        <f t="shared" si="26"/>
        <v>24.471553663245658</v>
      </c>
    </row>
    <row r="430" spans="2:8">
      <c r="B430" s="7" t="s">
        <v>545</v>
      </c>
      <c r="C430" s="4">
        <f>'data for stata'!D421</f>
        <v>1.8533204143941524</v>
      </c>
      <c r="E430" s="12">
        <v>194.86</v>
      </c>
      <c r="F430" s="119" t="str">
        <f t="shared" si="25"/>
        <v>FALSE</v>
      </c>
      <c r="G430" s="119">
        <f t="shared" si="24"/>
        <v>0</v>
      </c>
      <c r="H430" s="119">
        <f t="shared" si="26"/>
        <v>1.8533204143941524</v>
      </c>
    </row>
    <row r="431" spans="2:8">
      <c r="B431" s="7" t="s">
        <v>546</v>
      </c>
      <c r="C431" s="4">
        <f>'data for stata'!D422</f>
        <v>1.8533204143941524</v>
      </c>
      <c r="E431" s="12">
        <v>194.86</v>
      </c>
      <c r="F431" s="119" t="str">
        <f t="shared" si="25"/>
        <v>FALSE</v>
      </c>
      <c r="G431" s="119">
        <f t="shared" si="24"/>
        <v>0</v>
      </c>
      <c r="H431" s="119">
        <f t="shared" si="26"/>
        <v>1.8533204143941524</v>
      </c>
    </row>
    <row r="432" spans="2:8">
      <c r="B432" s="7" t="s">
        <v>522</v>
      </c>
      <c r="C432" s="4">
        <f>'data for stata'!D423</f>
        <v>136.2434405896735</v>
      </c>
      <c r="E432" s="12">
        <v>194.86</v>
      </c>
      <c r="F432" s="119" t="str">
        <f t="shared" si="25"/>
        <v>FALSE</v>
      </c>
      <c r="G432" s="119">
        <f t="shared" si="24"/>
        <v>0</v>
      </c>
      <c r="H432" s="119">
        <f t="shared" si="26"/>
        <v>136.2434405896735</v>
      </c>
    </row>
    <row r="433" spans="1:13">
      <c r="A433" s="119"/>
      <c r="B433" s="7" t="s">
        <v>497</v>
      </c>
      <c r="C433" s="4">
        <f>'data for stata'!D424</f>
        <v>72.246788918458265</v>
      </c>
      <c r="E433" s="12">
        <v>194.86</v>
      </c>
      <c r="F433" s="119" t="str">
        <f t="shared" si="25"/>
        <v>FALSE</v>
      </c>
      <c r="G433" s="119">
        <f t="shared" si="24"/>
        <v>0</v>
      </c>
      <c r="H433" s="119">
        <f t="shared" si="26"/>
        <v>72.246788918458265</v>
      </c>
      <c r="I433" s="119"/>
      <c r="J433" s="119"/>
      <c r="K433" s="119"/>
      <c r="L433" s="119"/>
      <c r="M433" s="119"/>
    </row>
    <row r="434" spans="1:13">
      <c r="A434" s="119" t="s">
        <v>599</v>
      </c>
      <c r="B434" s="119"/>
      <c r="C434" s="119"/>
      <c r="F434" s="119"/>
      <c r="G434" s="119"/>
      <c r="H434" s="119"/>
      <c r="I434" s="119"/>
      <c r="J434" s="119"/>
      <c r="K434" s="119"/>
      <c r="L434" s="119"/>
      <c r="M434" s="119"/>
    </row>
    <row r="435" spans="1:13">
      <c r="A435" s="119"/>
      <c r="B435" s="62">
        <v>154</v>
      </c>
      <c r="C435" s="119">
        <f>'Aggregated Table'!D436</f>
        <v>92.096067860683917</v>
      </c>
      <c r="D435" s="10">
        <f>SUMPRODUCT(C435:C480,'data for stata'!C425:C470)/SUM('data for stata'!C425:C470)</f>
        <v>66.850895255856145</v>
      </c>
      <c r="E435" s="12">
        <v>213.86</v>
      </c>
      <c r="F435" s="119" t="str">
        <f t="shared" si="25"/>
        <v>FALSE</v>
      </c>
      <c r="G435" s="119">
        <f>IF(F435="FALSE",0,E$435-D$435)</f>
        <v>0</v>
      </c>
      <c r="H435" s="119">
        <f t="shared" si="26"/>
        <v>92.096067860683917</v>
      </c>
      <c r="I435" s="10">
        <f>SUMPRODUCT(H435:H480,'data for stata'!C425:C470)/SUM('data for stata'!C425:C470)</f>
        <v>66.850895255856145</v>
      </c>
      <c r="J435" s="119">
        <f>E435-I435</f>
        <v>147.00910474414388</v>
      </c>
      <c r="K435" s="119">
        <f>L435-M435</f>
        <v>0</v>
      </c>
      <c r="L435" s="119">
        <f>COUNT(G435:G480)</f>
        <v>46</v>
      </c>
      <c r="M435" s="119">
        <f>COUNTIF(G435:G480,0)</f>
        <v>46</v>
      </c>
    </row>
    <row r="436" spans="1:13">
      <c r="A436" s="119"/>
      <c r="B436" s="44">
        <v>127</v>
      </c>
      <c r="C436" s="119">
        <f>'Aggregated Table'!D437</f>
        <v>77.156213688562687</v>
      </c>
      <c r="E436" s="12">
        <v>213.86</v>
      </c>
      <c r="F436" s="119" t="str">
        <f t="shared" si="25"/>
        <v>FALSE</v>
      </c>
      <c r="G436" s="119">
        <f t="shared" ref="G436:G480" si="27">IF(F436="FALSE",0,E$435-D$435)</f>
        <v>0</v>
      </c>
      <c r="H436" s="119">
        <f t="shared" si="26"/>
        <v>77.156213688562687</v>
      </c>
      <c r="I436" s="119"/>
      <c r="J436" s="119"/>
      <c r="K436" s="119"/>
      <c r="L436" s="119"/>
      <c r="M436" s="119"/>
    </row>
    <row r="437" spans="1:13">
      <c r="A437" s="119"/>
      <c r="B437" s="44">
        <v>122</v>
      </c>
      <c r="C437" s="119">
        <f>'Aggregated Table'!D438</f>
        <v>59.621036964770298</v>
      </c>
      <c r="E437" s="12">
        <v>213.86</v>
      </c>
      <c r="F437" s="119" t="str">
        <f t="shared" si="25"/>
        <v>FALSE</v>
      </c>
      <c r="G437" s="119">
        <f t="shared" si="27"/>
        <v>0</v>
      </c>
      <c r="H437" s="119">
        <f t="shared" si="26"/>
        <v>59.621036964770298</v>
      </c>
      <c r="I437" s="119"/>
      <c r="J437" s="119"/>
      <c r="K437" s="119"/>
      <c r="L437" s="119"/>
      <c r="M437" s="119"/>
    </row>
    <row r="438" spans="1:13">
      <c r="A438" s="119"/>
      <c r="B438" s="44">
        <v>156</v>
      </c>
      <c r="C438" s="119">
        <f>'Aggregated Table'!D439</f>
        <v>10.214617376953118</v>
      </c>
      <c r="E438" s="12">
        <v>213.86</v>
      </c>
      <c r="F438" s="119" t="str">
        <f t="shared" si="25"/>
        <v>FALSE</v>
      </c>
      <c r="G438" s="119">
        <f t="shared" si="27"/>
        <v>0</v>
      </c>
      <c r="H438" s="119">
        <f t="shared" si="26"/>
        <v>10.214617376953118</v>
      </c>
      <c r="I438" s="119"/>
      <c r="J438" s="119"/>
      <c r="K438" s="119"/>
      <c r="L438" s="119"/>
      <c r="M438" s="119"/>
    </row>
    <row r="439" spans="1:13">
      <c r="A439" s="119"/>
      <c r="B439" s="44">
        <v>16</v>
      </c>
      <c r="C439" s="119">
        <f>'Aggregated Table'!D440</f>
        <v>135.62805784581735</v>
      </c>
      <c r="E439" s="12">
        <v>213.86</v>
      </c>
      <c r="F439" s="119" t="str">
        <f t="shared" si="25"/>
        <v>FALSE</v>
      </c>
      <c r="G439" s="119">
        <f t="shared" si="27"/>
        <v>0</v>
      </c>
      <c r="H439" s="119">
        <f t="shared" si="26"/>
        <v>135.62805784581735</v>
      </c>
      <c r="I439" s="119"/>
      <c r="J439" s="119"/>
      <c r="K439" s="119"/>
      <c r="L439" s="119"/>
      <c r="M439" s="119"/>
    </row>
    <row r="440" spans="1:13">
      <c r="A440" s="119"/>
      <c r="B440" s="44">
        <v>424</v>
      </c>
      <c r="C440" s="119">
        <f>'Aggregated Table'!D441</f>
        <v>171.77955856129279</v>
      </c>
      <c r="E440" s="12">
        <v>213.86</v>
      </c>
      <c r="F440" s="119" t="str">
        <f t="shared" si="25"/>
        <v>FALSE</v>
      </c>
      <c r="G440" s="119">
        <f t="shared" si="27"/>
        <v>0</v>
      </c>
      <c r="H440" s="119">
        <f t="shared" si="26"/>
        <v>171.77955856129279</v>
      </c>
      <c r="I440" s="119"/>
      <c r="J440" s="119"/>
      <c r="K440" s="119"/>
      <c r="L440" s="119"/>
      <c r="M440" s="119"/>
    </row>
    <row r="441" spans="1:13">
      <c r="A441" s="119"/>
      <c r="B441" s="44">
        <v>89</v>
      </c>
      <c r="C441" s="119">
        <f>'Aggregated Table'!D442</f>
        <v>74.830073688537325</v>
      </c>
      <c r="E441" s="12">
        <v>213.86</v>
      </c>
      <c r="F441" s="119" t="str">
        <f t="shared" si="25"/>
        <v>FALSE</v>
      </c>
      <c r="G441" s="119">
        <f t="shared" si="27"/>
        <v>0</v>
      </c>
      <c r="H441" s="119">
        <f t="shared" si="26"/>
        <v>74.830073688537325</v>
      </c>
      <c r="I441" s="119"/>
      <c r="J441" s="119"/>
      <c r="K441" s="119"/>
      <c r="L441" s="119"/>
      <c r="M441" s="119"/>
    </row>
    <row r="442" spans="1:13">
      <c r="A442" s="119"/>
      <c r="B442" s="44">
        <v>255</v>
      </c>
      <c r="C442" s="119">
        <f>'Aggregated Table'!D443</f>
        <v>131.02232411406402</v>
      </c>
      <c r="E442" s="12">
        <v>213.86</v>
      </c>
      <c r="F442" s="119" t="str">
        <f t="shared" si="25"/>
        <v>FALSE</v>
      </c>
      <c r="G442" s="119">
        <f t="shared" si="27"/>
        <v>0</v>
      </c>
      <c r="H442" s="119">
        <f t="shared" si="26"/>
        <v>131.02232411406402</v>
      </c>
      <c r="I442" s="119"/>
      <c r="J442" s="119"/>
      <c r="K442" s="119"/>
      <c r="L442" s="119"/>
      <c r="M442" s="119"/>
    </row>
    <row r="443" spans="1:13">
      <c r="A443" s="119"/>
      <c r="B443" s="44">
        <v>124</v>
      </c>
      <c r="C443" s="119">
        <f>'Aggregated Table'!D444</f>
        <v>67.750215705099507</v>
      </c>
      <c r="E443" s="12">
        <v>213.86</v>
      </c>
      <c r="F443" s="119" t="str">
        <f t="shared" si="25"/>
        <v>FALSE</v>
      </c>
      <c r="G443" s="119">
        <f t="shared" si="27"/>
        <v>0</v>
      </c>
      <c r="H443" s="119">
        <f t="shared" si="26"/>
        <v>67.750215705099507</v>
      </c>
      <c r="I443" s="119"/>
      <c r="J443" s="119"/>
      <c r="K443" s="119"/>
      <c r="L443" s="119"/>
      <c r="M443" s="119"/>
    </row>
    <row r="444" spans="1:13">
      <c r="A444" s="119"/>
      <c r="B444" s="44">
        <v>19</v>
      </c>
      <c r="C444" s="119">
        <f>'Aggregated Table'!D445</f>
        <v>66.412346527869559</v>
      </c>
      <c r="E444" s="12">
        <v>213.86</v>
      </c>
      <c r="F444" s="119" t="str">
        <f t="shared" si="25"/>
        <v>FALSE</v>
      </c>
      <c r="G444" s="119">
        <f t="shared" si="27"/>
        <v>0</v>
      </c>
      <c r="H444" s="119">
        <f t="shared" si="26"/>
        <v>66.412346527869559</v>
      </c>
      <c r="I444" s="119"/>
      <c r="J444" s="119"/>
      <c r="K444" s="119"/>
      <c r="L444" s="119"/>
      <c r="M444" s="119"/>
    </row>
    <row r="445" spans="1:13">
      <c r="A445" s="119"/>
      <c r="B445" s="44">
        <v>29</v>
      </c>
      <c r="C445" s="119">
        <f>'Aggregated Table'!D446</f>
        <v>87.623652109532884</v>
      </c>
      <c r="E445" s="12">
        <v>213.86</v>
      </c>
      <c r="F445" s="119" t="str">
        <f t="shared" si="25"/>
        <v>FALSE</v>
      </c>
      <c r="G445" s="119">
        <f t="shared" si="27"/>
        <v>0</v>
      </c>
      <c r="H445" s="119">
        <f t="shared" si="26"/>
        <v>87.623652109532884</v>
      </c>
      <c r="I445" s="119"/>
      <c r="J445" s="119"/>
      <c r="K445" s="119"/>
      <c r="L445" s="119"/>
      <c r="M445" s="119"/>
    </row>
    <row r="446" spans="1:13">
      <c r="A446" s="119"/>
      <c r="B446" s="44">
        <v>49</v>
      </c>
      <c r="C446" s="119">
        <f>'Aggregated Table'!D447</f>
        <v>94.769052360082711</v>
      </c>
      <c r="E446" s="12">
        <v>213.86</v>
      </c>
      <c r="F446" s="119" t="str">
        <f t="shared" si="25"/>
        <v>FALSE</v>
      </c>
      <c r="G446" s="119">
        <f t="shared" si="27"/>
        <v>0</v>
      </c>
      <c r="H446" s="119">
        <f t="shared" si="26"/>
        <v>94.769052360082711</v>
      </c>
      <c r="I446" s="119"/>
      <c r="J446" s="119"/>
      <c r="K446" s="119"/>
      <c r="L446" s="119"/>
      <c r="M446" s="119"/>
    </row>
    <row r="447" spans="1:13">
      <c r="A447" s="119"/>
      <c r="B447" s="44">
        <v>81</v>
      </c>
      <c r="C447" s="119">
        <f>'Aggregated Table'!D448</f>
        <v>88.075951632312112</v>
      </c>
      <c r="E447" s="12">
        <v>213.86</v>
      </c>
      <c r="F447" s="119" t="str">
        <f t="shared" si="25"/>
        <v>FALSE</v>
      </c>
      <c r="G447" s="119">
        <f t="shared" si="27"/>
        <v>0</v>
      </c>
      <c r="H447" s="119">
        <f t="shared" si="26"/>
        <v>88.075951632312112</v>
      </c>
      <c r="I447" s="119"/>
      <c r="J447" s="119"/>
      <c r="K447" s="119"/>
      <c r="L447" s="119"/>
      <c r="M447" s="119"/>
    </row>
    <row r="448" spans="1:13">
      <c r="A448" s="119"/>
      <c r="B448" s="44">
        <v>103</v>
      </c>
      <c r="C448" s="119">
        <f>'Aggregated Table'!D449</f>
        <v>82.642924062635629</v>
      </c>
      <c r="E448" s="12">
        <v>213.86</v>
      </c>
      <c r="F448" s="119" t="str">
        <f t="shared" si="25"/>
        <v>FALSE</v>
      </c>
      <c r="G448" s="119">
        <f t="shared" si="27"/>
        <v>0</v>
      </c>
      <c r="H448" s="119">
        <f t="shared" si="26"/>
        <v>82.642924062635629</v>
      </c>
      <c r="I448" s="119"/>
      <c r="J448" s="119"/>
      <c r="K448" s="119"/>
      <c r="L448" s="119"/>
      <c r="M448" s="119"/>
    </row>
    <row r="449" spans="2:8">
      <c r="B449" s="44">
        <v>23</v>
      </c>
      <c r="C449" s="119">
        <f>'Aggregated Table'!D450</f>
        <v>74.391046368158484</v>
      </c>
      <c r="E449" s="12">
        <v>213.86</v>
      </c>
      <c r="F449" s="119" t="str">
        <f t="shared" si="25"/>
        <v>FALSE</v>
      </c>
      <c r="G449" s="119">
        <f t="shared" si="27"/>
        <v>0</v>
      </c>
      <c r="H449" s="119">
        <f t="shared" si="26"/>
        <v>74.391046368158484</v>
      </c>
    </row>
    <row r="450" spans="2:8">
      <c r="B450" s="44">
        <v>55</v>
      </c>
      <c r="C450" s="119">
        <f>'Aggregated Table'!D451</f>
        <v>17.736691718548286</v>
      </c>
      <c r="E450" s="12">
        <v>213.86</v>
      </c>
      <c r="F450" s="119" t="str">
        <f t="shared" si="25"/>
        <v>FALSE</v>
      </c>
      <c r="G450" s="119">
        <f t="shared" si="27"/>
        <v>0</v>
      </c>
      <c r="H450" s="119">
        <f t="shared" si="26"/>
        <v>17.736691718548286</v>
      </c>
    </row>
    <row r="451" spans="2:8">
      <c r="B451" s="44">
        <v>62</v>
      </c>
      <c r="C451" s="119">
        <f>'Aggregated Table'!D452</f>
        <v>68.106915252089991</v>
      </c>
      <c r="E451" s="12">
        <v>213.86</v>
      </c>
      <c r="F451" s="119" t="str">
        <f t="shared" si="25"/>
        <v>FALSE</v>
      </c>
      <c r="G451" s="119">
        <f t="shared" si="27"/>
        <v>0</v>
      </c>
      <c r="H451" s="119">
        <f t="shared" si="26"/>
        <v>68.106915252089991</v>
      </c>
    </row>
    <row r="452" spans="2:8">
      <c r="B452" s="44">
        <v>109</v>
      </c>
      <c r="C452" s="119">
        <f>'Aggregated Table'!D453</f>
        <v>62.930861997025694</v>
      </c>
      <c r="E452" s="12">
        <v>213.86</v>
      </c>
      <c r="F452" s="119" t="str">
        <f t="shared" si="25"/>
        <v>FALSE</v>
      </c>
      <c r="G452" s="119">
        <f t="shared" si="27"/>
        <v>0</v>
      </c>
      <c r="H452" s="119">
        <f t="shared" si="26"/>
        <v>62.930861997025694</v>
      </c>
    </row>
    <row r="453" spans="2:8">
      <c r="B453" s="44">
        <v>117</v>
      </c>
      <c r="C453" s="119">
        <f>'Aggregated Table'!D454</f>
        <v>57.063882838284904</v>
      </c>
      <c r="E453" s="12">
        <v>213.86</v>
      </c>
      <c r="F453" s="119" t="str">
        <f t="shared" si="25"/>
        <v>FALSE</v>
      </c>
      <c r="G453" s="119">
        <f t="shared" si="27"/>
        <v>0</v>
      </c>
      <c r="H453" s="119">
        <f t="shared" si="26"/>
        <v>57.063882838284904</v>
      </c>
    </row>
    <row r="454" spans="2:8">
      <c r="B454" s="44">
        <v>230</v>
      </c>
      <c r="C454" s="119">
        <f>'Aggregated Table'!D455</f>
        <v>84.340470271012379</v>
      </c>
      <c r="E454" s="12">
        <v>213.86</v>
      </c>
      <c r="F454" s="119" t="str">
        <f t="shared" si="25"/>
        <v>FALSE</v>
      </c>
      <c r="G454" s="119">
        <f t="shared" si="27"/>
        <v>0</v>
      </c>
      <c r="H454" s="119">
        <f t="shared" si="26"/>
        <v>84.340470271012379</v>
      </c>
    </row>
    <row r="455" spans="2:8">
      <c r="B455" s="44">
        <v>45</v>
      </c>
      <c r="C455" s="119">
        <f>'Aggregated Table'!D456</f>
        <v>8.1071738424032294</v>
      </c>
      <c r="E455" s="12">
        <v>213.86</v>
      </c>
      <c r="F455" s="119" t="str">
        <f t="shared" si="25"/>
        <v>FALSE</v>
      </c>
      <c r="G455" s="119">
        <f t="shared" si="27"/>
        <v>0</v>
      </c>
      <c r="H455" s="119">
        <f t="shared" si="26"/>
        <v>8.1071738424032294</v>
      </c>
    </row>
    <row r="456" spans="2:8">
      <c r="B456" s="44">
        <v>58</v>
      </c>
      <c r="C456" s="119">
        <f>'Aggregated Table'!D457</f>
        <v>190.66236919767223</v>
      </c>
      <c r="E456" s="12">
        <v>213.86</v>
      </c>
      <c r="F456" s="119" t="str">
        <f t="shared" si="25"/>
        <v>FALSE</v>
      </c>
      <c r="G456" s="119">
        <f t="shared" si="27"/>
        <v>0</v>
      </c>
      <c r="H456" s="119">
        <f t="shared" si="26"/>
        <v>190.66236919767223</v>
      </c>
    </row>
    <row r="457" spans="2:8">
      <c r="B457" s="44">
        <v>60</v>
      </c>
      <c r="C457" s="119">
        <f>'Aggregated Table'!D458</f>
        <v>6.3833337514667656</v>
      </c>
      <c r="E457" s="12">
        <v>213.86</v>
      </c>
      <c r="F457" s="119" t="str">
        <f t="shared" si="25"/>
        <v>FALSE</v>
      </c>
      <c r="G457" s="119">
        <f t="shared" si="27"/>
        <v>0</v>
      </c>
      <c r="H457" s="119">
        <f t="shared" si="26"/>
        <v>6.3833337514667656</v>
      </c>
    </row>
    <row r="458" spans="2:8">
      <c r="B458" s="44">
        <v>74</v>
      </c>
      <c r="C458" s="119">
        <f>'Aggregated Table'!D459</f>
        <v>3.0545920571679694</v>
      </c>
      <c r="E458" s="12">
        <v>213.86</v>
      </c>
      <c r="F458" s="119" t="str">
        <f t="shared" ref="F458:F480" si="28">IF(E458&lt;C458,"TRUE","FALSE")</f>
        <v>FALSE</v>
      </c>
      <c r="G458" s="119">
        <f t="shared" si="27"/>
        <v>0</v>
      </c>
      <c r="H458" s="119">
        <f t="shared" si="26"/>
        <v>3.0545920571679694</v>
      </c>
    </row>
    <row r="459" spans="2:8">
      <c r="B459" s="44">
        <v>420</v>
      </c>
      <c r="C459" s="119">
        <f>'Aggregated Table'!D460</f>
        <v>3.0545920571679694</v>
      </c>
      <c r="E459" s="12">
        <v>213.86</v>
      </c>
      <c r="F459" s="119" t="str">
        <f t="shared" si="28"/>
        <v>FALSE</v>
      </c>
      <c r="G459" s="119">
        <f t="shared" si="27"/>
        <v>0</v>
      </c>
      <c r="H459" s="119">
        <f t="shared" ref="H459:H480" si="29">IF(F459="False",C459,C459-(G459))</f>
        <v>3.0545920571679694</v>
      </c>
    </row>
    <row r="460" spans="2:8">
      <c r="B460" s="44">
        <v>136</v>
      </c>
      <c r="C460" s="119">
        <f>'Aggregated Table'!D461</f>
        <v>2.6727680500219742</v>
      </c>
      <c r="E460" s="12">
        <v>213.86</v>
      </c>
      <c r="F460" s="119" t="str">
        <f t="shared" si="28"/>
        <v>FALSE</v>
      </c>
      <c r="G460" s="119">
        <f t="shared" si="27"/>
        <v>0</v>
      </c>
      <c r="H460" s="119">
        <f t="shared" si="29"/>
        <v>2.6727680500219742</v>
      </c>
    </row>
    <row r="461" spans="2:8">
      <c r="B461" s="44">
        <v>46</v>
      </c>
      <c r="C461" s="119">
        <f>'Aggregated Table'!D462</f>
        <v>68.485867761409352</v>
      </c>
      <c r="E461" s="12">
        <v>213.86</v>
      </c>
      <c r="F461" s="119" t="str">
        <f t="shared" si="28"/>
        <v>FALSE</v>
      </c>
      <c r="G461" s="119">
        <f t="shared" si="27"/>
        <v>0</v>
      </c>
      <c r="H461" s="119">
        <f t="shared" si="29"/>
        <v>68.485867761409352</v>
      </c>
    </row>
    <row r="462" spans="2:8">
      <c r="B462" s="44">
        <v>65</v>
      </c>
      <c r="C462" s="119">
        <f>'Aggregated Table'!D463</f>
        <v>86.728055976739626</v>
      </c>
      <c r="E462" s="12">
        <v>213.86</v>
      </c>
      <c r="F462" s="119" t="str">
        <f t="shared" si="28"/>
        <v>FALSE</v>
      </c>
      <c r="G462" s="119">
        <f t="shared" si="27"/>
        <v>0</v>
      </c>
      <c r="H462" s="119">
        <f t="shared" si="29"/>
        <v>86.728055976739626</v>
      </c>
    </row>
    <row r="463" spans="2:8">
      <c r="B463" s="44">
        <v>69</v>
      </c>
      <c r="C463" s="119">
        <f>'Aggregated Table'!D464</f>
        <v>19.771158190949997</v>
      </c>
      <c r="E463" s="12">
        <v>213.86</v>
      </c>
      <c r="F463" s="119" t="str">
        <f t="shared" si="28"/>
        <v>FALSE</v>
      </c>
      <c r="G463" s="119">
        <f t="shared" si="27"/>
        <v>0</v>
      </c>
      <c r="H463" s="119">
        <f t="shared" si="29"/>
        <v>19.771158190949997</v>
      </c>
    </row>
    <row r="464" spans="2:8">
      <c r="B464" s="44">
        <v>70</v>
      </c>
      <c r="C464" s="119">
        <f>'Aggregated Table'!D465</f>
        <v>61.86601049765374</v>
      </c>
      <c r="E464" s="12">
        <v>213.86</v>
      </c>
      <c r="F464" s="119" t="str">
        <f t="shared" si="28"/>
        <v>FALSE</v>
      </c>
      <c r="G464" s="119">
        <f t="shared" si="27"/>
        <v>0</v>
      </c>
      <c r="H464" s="119">
        <f t="shared" si="29"/>
        <v>61.86601049765374</v>
      </c>
    </row>
    <row r="465" spans="2:8">
      <c r="B465" s="44">
        <v>71</v>
      </c>
      <c r="C465" s="119">
        <f>'Aggregated Table'!D466</f>
        <v>43.588650462003201</v>
      </c>
      <c r="E465" s="12">
        <v>213.86</v>
      </c>
      <c r="F465" s="119" t="str">
        <f t="shared" si="28"/>
        <v>FALSE</v>
      </c>
      <c r="G465" s="119">
        <f t="shared" si="27"/>
        <v>0</v>
      </c>
      <c r="H465" s="119">
        <f t="shared" si="29"/>
        <v>43.588650462003201</v>
      </c>
    </row>
    <row r="466" spans="2:8">
      <c r="B466" s="44">
        <v>93</v>
      </c>
      <c r="C466" s="119">
        <f>'Aggregated Table'!D467</f>
        <v>35.799465400690309</v>
      </c>
      <c r="E466" s="12">
        <v>213.86</v>
      </c>
      <c r="F466" s="119" t="str">
        <f t="shared" si="28"/>
        <v>FALSE</v>
      </c>
      <c r="G466" s="119">
        <f t="shared" si="27"/>
        <v>0</v>
      </c>
      <c r="H466" s="119">
        <f t="shared" si="29"/>
        <v>35.799465400690309</v>
      </c>
    </row>
    <row r="467" spans="2:8">
      <c r="B467" s="44">
        <v>112</v>
      </c>
      <c r="C467" s="119">
        <f>'Aggregated Table'!D468</f>
        <v>23.292496874190686</v>
      </c>
      <c r="E467" s="12">
        <v>213.86</v>
      </c>
      <c r="F467" s="119" t="str">
        <f t="shared" si="28"/>
        <v>FALSE</v>
      </c>
      <c r="G467" s="119">
        <f t="shared" si="27"/>
        <v>0</v>
      </c>
      <c r="H467" s="119">
        <f t="shared" si="29"/>
        <v>23.292496874190686</v>
      </c>
    </row>
    <row r="468" spans="2:8">
      <c r="B468" s="44">
        <v>126</v>
      </c>
      <c r="C468" s="119">
        <f>'Aggregated Table'!D469</f>
        <v>78.252008728381696</v>
      </c>
      <c r="E468" s="12">
        <v>213.86</v>
      </c>
      <c r="F468" s="119" t="str">
        <f t="shared" si="28"/>
        <v>FALSE</v>
      </c>
      <c r="G468" s="119">
        <f t="shared" si="27"/>
        <v>0</v>
      </c>
      <c r="H468" s="119">
        <f t="shared" si="29"/>
        <v>78.252008728381696</v>
      </c>
    </row>
    <row r="469" spans="2:8">
      <c r="B469" s="44">
        <v>72</v>
      </c>
      <c r="C469" s="119">
        <f>'Aggregated Table'!D470</f>
        <v>14.68129332066586</v>
      </c>
      <c r="E469" s="12">
        <v>213.86</v>
      </c>
      <c r="F469" s="119" t="str">
        <f t="shared" si="28"/>
        <v>FALSE</v>
      </c>
      <c r="G469" s="119">
        <f t="shared" si="27"/>
        <v>0</v>
      </c>
      <c r="H469" s="119">
        <f t="shared" si="29"/>
        <v>14.68129332066586</v>
      </c>
    </row>
    <row r="470" spans="2:8">
      <c r="B470" s="44">
        <v>115</v>
      </c>
      <c r="C470" s="119">
        <f>'Aggregated Table'!D471</f>
        <v>22.721450486034168</v>
      </c>
      <c r="E470" s="12">
        <v>213.86</v>
      </c>
      <c r="F470" s="119" t="str">
        <f t="shared" si="28"/>
        <v>FALSE</v>
      </c>
      <c r="G470" s="119">
        <f t="shared" si="27"/>
        <v>0</v>
      </c>
      <c r="H470" s="119">
        <f t="shared" si="29"/>
        <v>22.721450486034168</v>
      </c>
    </row>
    <row r="471" spans="2:8">
      <c r="B471" s="44">
        <v>216</v>
      </c>
      <c r="C471" s="119">
        <f>'Aggregated Table'!D472</f>
        <v>24.940059569099141</v>
      </c>
      <c r="E471" s="12">
        <v>213.86</v>
      </c>
      <c r="F471" s="119" t="str">
        <f t="shared" si="28"/>
        <v>FALSE</v>
      </c>
      <c r="G471" s="119">
        <f t="shared" si="27"/>
        <v>0</v>
      </c>
      <c r="H471" s="119">
        <f t="shared" si="29"/>
        <v>24.940059569099141</v>
      </c>
    </row>
    <row r="472" spans="2:8">
      <c r="B472" s="44">
        <v>104</v>
      </c>
      <c r="C472" s="119">
        <f>'Aggregated Table'!D473</f>
        <v>13.732727193945239</v>
      </c>
      <c r="E472" s="12">
        <v>213.86</v>
      </c>
      <c r="F472" s="119" t="str">
        <f t="shared" si="28"/>
        <v>FALSE</v>
      </c>
      <c r="G472" s="119">
        <f t="shared" si="27"/>
        <v>0</v>
      </c>
      <c r="H472" s="119">
        <f t="shared" si="29"/>
        <v>13.732727193945239</v>
      </c>
    </row>
    <row r="473" spans="2:8">
      <c r="B473" s="44" t="s">
        <v>554</v>
      </c>
      <c r="C473" s="119">
        <f>'Aggregated Table'!D474</f>
        <v>6.8748504503297072</v>
      </c>
      <c r="E473" s="12">
        <v>213.86</v>
      </c>
      <c r="F473" s="119" t="str">
        <f t="shared" si="28"/>
        <v>FALSE</v>
      </c>
      <c r="G473" s="119">
        <f t="shared" si="27"/>
        <v>0</v>
      </c>
      <c r="H473" s="119">
        <f t="shared" si="29"/>
        <v>6.8748504503297072</v>
      </c>
    </row>
    <row r="474" spans="2:8">
      <c r="B474" s="44" t="s">
        <v>555</v>
      </c>
      <c r="C474" s="119">
        <f>'Aggregated Table'!D475</f>
        <v>9.1664672671062775</v>
      </c>
      <c r="E474" s="12">
        <v>213.86</v>
      </c>
      <c r="F474" s="119" t="str">
        <f t="shared" si="28"/>
        <v>FALSE</v>
      </c>
      <c r="G474" s="119">
        <f t="shared" si="27"/>
        <v>0</v>
      </c>
      <c r="H474" s="119">
        <f t="shared" si="29"/>
        <v>9.1664672671062775</v>
      </c>
    </row>
    <row r="475" spans="2:8">
      <c r="B475" s="44">
        <v>762</v>
      </c>
      <c r="C475" s="119">
        <f>'Aggregated Table'!D476</f>
        <v>20.614037227498308</v>
      </c>
      <c r="E475" s="12">
        <v>213.86</v>
      </c>
      <c r="F475" s="119" t="str">
        <f t="shared" si="28"/>
        <v>FALSE</v>
      </c>
      <c r="G475" s="119">
        <f t="shared" si="27"/>
        <v>0</v>
      </c>
      <c r="H475" s="119">
        <f t="shared" si="29"/>
        <v>20.614037227498308</v>
      </c>
    </row>
    <row r="476" spans="2:8">
      <c r="B476" s="44">
        <v>567</v>
      </c>
      <c r="C476" s="119">
        <f>'Aggregated Table'!D477</f>
        <v>20.178293927418515</v>
      </c>
      <c r="E476" s="12">
        <v>213.86</v>
      </c>
      <c r="F476" s="119" t="str">
        <f t="shared" si="28"/>
        <v>FALSE</v>
      </c>
      <c r="G476" s="119">
        <f t="shared" si="27"/>
        <v>0</v>
      </c>
      <c r="H476" s="119">
        <f t="shared" si="29"/>
        <v>20.178293927418515</v>
      </c>
    </row>
    <row r="477" spans="2:8">
      <c r="B477" s="44">
        <v>769</v>
      </c>
      <c r="C477" s="119">
        <f>'Aggregated Table'!D478</f>
        <v>25.207497743194917</v>
      </c>
      <c r="E477" s="12">
        <v>213.86</v>
      </c>
      <c r="F477" s="119" t="str">
        <f t="shared" si="28"/>
        <v>FALSE</v>
      </c>
      <c r="G477" s="119">
        <f t="shared" si="27"/>
        <v>0</v>
      </c>
      <c r="H477" s="119">
        <f t="shared" si="29"/>
        <v>25.207497743194917</v>
      </c>
    </row>
    <row r="478" spans="2:8">
      <c r="B478" s="44">
        <v>766</v>
      </c>
      <c r="C478" s="119">
        <f>'Aggregated Table'!D479</f>
        <v>25.28208192084729</v>
      </c>
      <c r="E478" s="12">
        <v>213.86</v>
      </c>
      <c r="F478" s="119" t="str">
        <f t="shared" si="28"/>
        <v>FALSE</v>
      </c>
      <c r="G478" s="119">
        <f t="shared" si="27"/>
        <v>0</v>
      </c>
      <c r="H478" s="119">
        <f t="shared" si="29"/>
        <v>25.28208192084729</v>
      </c>
    </row>
    <row r="479" spans="2:8">
      <c r="B479" s="44">
        <v>246</v>
      </c>
      <c r="C479" s="119">
        <f>'Aggregated Table'!D480</f>
        <v>15.36252779059889</v>
      </c>
      <c r="E479" s="12">
        <v>213.86</v>
      </c>
      <c r="F479" s="119" t="str">
        <f t="shared" si="28"/>
        <v>FALSE</v>
      </c>
      <c r="G479" s="119">
        <f t="shared" si="27"/>
        <v>0</v>
      </c>
      <c r="H479" s="119">
        <f t="shared" si="29"/>
        <v>15.36252779059889</v>
      </c>
    </row>
    <row r="480" spans="2:8">
      <c r="B480" s="44">
        <v>205</v>
      </c>
      <c r="C480" s="119">
        <f>'Aggregated Table'!D481</f>
        <v>18.324599273762111</v>
      </c>
      <c r="E480" s="12">
        <v>213.86</v>
      </c>
      <c r="F480" s="119" t="str">
        <f t="shared" si="28"/>
        <v>FALSE</v>
      </c>
      <c r="G480" s="119">
        <f t="shared" si="27"/>
        <v>0</v>
      </c>
      <c r="H480" s="119">
        <f t="shared" si="29"/>
        <v>18.324599273762111</v>
      </c>
    </row>
  </sheetData>
  <conditionalFormatting sqref="B138:B147">
    <cfRule type="duplicateValues" dxfId="26" priority="22"/>
  </conditionalFormatting>
  <conditionalFormatting sqref="B138:B289">
    <cfRule type="duplicateValues" dxfId="25" priority="27"/>
  </conditionalFormatting>
  <conditionalFormatting sqref="B148:B151">
    <cfRule type="duplicateValues" dxfId="24" priority="21"/>
  </conditionalFormatting>
  <conditionalFormatting sqref="B152">
    <cfRule type="duplicateValues" dxfId="23" priority="20"/>
  </conditionalFormatting>
  <conditionalFormatting sqref="B153:B155">
    <cfRule type="duplicateValues" dxfId="22" priority="19"/>
  </conditionalFormatting>
  <conditionalFormatting sqref="B156">
    <cfRule type="duplicateValues" dxfId="21" priority="18"/>
  </conditionalFormatting>
  <conditionalFormatting sqref="B157:B176">
    <cfRule type="duplicateValues" dxfId="20" priority="24"/>
  </conditionalFormatting>
  <conditionalFormatting sqref="B177:B189">
    <cfRule type="duplicateValues" dxfId="19" priority="17"/>
  </conditionalFormatting>
  <conditionalFormatting sqref="B190:B191">
    <cfRule type="duplicateValues" dxfId="18" priority="16"/>
  </conditionalFormatting>
  <conditionalFormatting sqref="B192:B196">
    <cfRule type="duplicateValues" dxfId="17" priority="15"/>
  </conditionalFormatting>
  <conditionalFormatting sqref="B197:B199">
    <cfRule type="duplicateValues" dxfId="16" priority="25"/>
  </conditionalFormatting>
  <conditionalFormatting sqref="B200">
    <cfRule type="duplicateValues" dxfId="15" priority="14"/>
  </conditionalFormatting>
  <conditionalFormatting sqref="B201:B204">
    <cfRule type="duplicateValues" dxfId="14" priority="13"/>
  </conditionalFormatting>
  <conditionalFormatting sqref="B205:B207">
    <cfRule type="duplicateValues" dxfId="13" priority="12"/>
  </conditionalFormatting>
  <conditionalFormatting sqref="B208:B212">
    <cfRule type="duplicateValues" dxfId="12" priority="11"/>
  </conditionalFormatting>
  <conditionalFormatting sqref="B213:B214">
    <cfRule type="duplicateValues" dxfId="11" priority="10"/>
  </conditionalFormatting>
  <conditionalFormatting sqref="B215:B217">
    <cfRule type="duplicateValues" dxfId="10" priority="9"/>
  </conditionalFormatting>
  <conditionalFormatting sqref="B218:B232">
    <cfRule type="duplicateValues" dxfId="9" priority="8"/>
  </conditionalFormatting>
  <conditionalFormatting sqref="B233:B242">
    <cfRule type="duplicateValues" dxfId="8" priority="7"/>
  </conditionalFormatting>
  <conditionalFormatting sqref="B243">
    <cfRule type="duplicateValues" dxfId="7" priority="6"/>
  </conditionalFormatting>
  <conditionalFormatting sqref="B244:B247">
    <cfRule type="duplicateValues" dxfId="6" priority="5"/>
  </conditionalFormatting>
  <conditionalFormatting sqref="B248:B253">
    <cfRule type="duplicateValues" dxfId="5" priority="4"/>
  </conditionalFormatting>
  <conditionalFormatting sqref="B254:B262">
    <cfRule type="duplicateValues" dxfId="4" priority="26"/>
  </conditionalFormatting>
  <conditionalFormatting sqref="B263:B276">
    <cfRule type="duplicateValues" dxfId="3" priority="3"/>
  </conditionalFormatting>
  <conditionalFormatting sqref="B277">
    <cfRule type="duplicateValues" dxfId="2" priority="2"/>
  </conditionalFormatting>
  <conditionalFormatting sqref="B278:B289">
    <cfRule type="duplicateValues" dxfId="1" priority="23"/>
  </conditionalFormatting>
  <conditionalFormatting sqref="B435:B480">
    <cfRule type="duplicateValues" dxfId="0" priority="1"/>
  </conditionalFormatting>
  <pageMargins left="0.7" right="0.7" top="0.75" bottom="0.75" header="0.3" footer="0.3"/>
  <pageSetup scale="37" fitToHeight="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F0729-33F3-4D65-9764-E30AC6BCC1BF}">
  <sheetPr>
    <pageSetUpPr fitToPage="1"/>
  </sheetPr>
  <dimension ref="A1:X47"/>
  <sheetViews>
    <sheetView zoomScaleNormal="100" workbookViewId="0">
      <selection activeCell="C19" sqref="C19"/>
    </sheetView>
  </sheetViews>
  <sheetFormatPr defaultRowHeight="15"/>
  <cols>
    <col min="1" max="1" width="9.140625" style="119"/>
    <col min="3" max="3" width="10.85546875" bestFit="1" customWidth="1"/>
    <col min="4" max="4" width="12.28515625" customWidth="1"/>
    <col min="5" max="5" width="12.7109375" bestFit="1" customWidth="1"/>
    <col min="6" max="6" width="16.28515625" customWidth="1"/>
    <col min="7" max="7" width="10.28515625" customWidth="1"/>
    <col min="8" max="8" width="15.140625" customWidth="1"/>
    <col min="10" max="10" width="31.42578125" bestFit="1" customWidth="1"/>
    <col min="11" max="11" width="14.5703125" customWidth="1"/>
    <col min="12" max="12" width="16.5703125" customWidth="1"/>
    <col min="13" max="13" width="32.42578125" bestFit="1" customWidth="1"/>
    <col min="14" max="14" width="12.5703125" bestFit="1" customWidth="1"/>
    <col min="15" max="19" width="12.42578125" bestFit="1" customWidth="1"/>
    <col min="20" max="20" width="16" customWidth="1"/>
    <col min="21" max="21" width="10.5703125" customWidth="1"/>
    <col min="22" max="22" width="15.5703125" customWidth="1"/>
    <col min="23" max="23" width="11.28515625" customWidth="1"/>
    <col min="24" max="24" width="16.28515625" customWidth="1"/>
  </cols>
  <sheetData>
    <row r="1" spans="1:22" s="119" customFormat="1">
      <c r="A1" s="109"/>
      <c r="B1" s="109"/>
      <c r="C1" s="109"/>
      <c r="D1" s="109"/>
      <c r="E1" s="109"/>
      <c r="F1" s="109"/>
      <c r="G1" s="109"/>
    </row>
    <row r="2" spans="1:22">
      <c r="A2" s="109"/>
      <c r="B2" s="110" t="s">
        <v>626</v>
      </c>
      <c r="C2" s="110"/>
      <c r="D2" s="110"/>
      <c r="E2" s="110"/>
      <c r="F2" s="110"/>
      <c r="G2" s="109"/>
      <c r="H2" s="119"/>
      <c r="I2" s="119"/>
      <c r="J2" s="252"/>
      <c r="K2" s="252"/>
      <c r="L2" s="96"/>
      <c r="M2" s="96"/>
      <c r="N2" s="96"/>
      <c r="R2" s="73" t="s">
        <v>1746</v>
      </c>
      <c r="S2" s="73" t="s">
        <v>626</v>
      </c>
      <c r="T2" s="73"/>
      <c r="U2" s="73"/>
      <c r="V2" s="73"/>
    </row>
    <row r="3" spans="1:22">
      <c r="A3" s="109"/>
      <c r="B3" s="110"/>
      <c r="C3" s="116" t="s">
        <v>627</v>
      </c>
      <c r="D3" s="116" t="s">
        <v>628</v>
      </c>
      <c r="E3" s="116" t="s">
        <v>629</v>
      </c>
      <c r="F3" s="116" t="s">
        <v>630</v>
      </c>
      <c r="G3" s="109"/>
      <c r="H3" s="119"/>
      <c r="I3" s="119"/>
      <c r="J3" s="234"/>
      <c r="K3" s="235"/>
      <c r="L3" s="96"/>
      <c r="M3" s="96"/>
      <c r="N3" s="96"/>
      <c r="R3" s="73"/>
      <c r="S3" s="73" t="s">
        <v>627</v>
      </c>
      <c r="T3" s="73" t="s">
        <v>628</v>
      </c>
      <c r="U3" s="73" t="s">
        <v>629</v>
      </c>
      <c r="V3" s="73" t="s">
        <v>630</v>
      </c>
    </row>
    <row r="4" spans="1:22">
      <c r="A4" s="109"/>
      <c r="B4" s="110" t="s">
        <v>632</v>
      </c>
      <c r="C4" s="105">
        <v>14.55</v>
      </c>
      <c r="D4" s="105">
        <f t="shared" ref="D4:D9" si="0">F4/2</f>
        <v>10.818605790121518</v>
      </c>
      <c r="E4" s="105">
        <f t="shared" ref="E4:E9" si="1">F4</f>
        <v>21.637211580243036</v>
      </c>
      <c r="F4" s="105">
        <f>'Aggregated Table'!E72</f>
        <v>21.637211580243036</v>
      </c>
      <c r="G4" s="109"/>
      <c r="H4" s="119"/>
      <c r="I4" s="119"/>
      <c r="J4" s="234"/>
      <c r="K4" s="236"/>
      <c r="L4" s="96"/>
      <c r="M4" s="96"/>
      <c r="N4" s="96"/>
      <c r="R4" s="155" t="s">
        <v>634</v>
      </c>
      <c r="S4" s="95">
        <f>C5</f>
        <v>199.4</v>
      </c>
      <c r="T4" s="95">
        <f t="shared" ref="T4:V4" si="2">D5</f>
        <v>126.26858576885303</v>
      </c>
      <c r="U4" s="95">
        <f t="shared" si="2"/>
        <v>252.53717153770606</v>
      </c>
      <c r="V4" s="95">
        <f t="shared" si="2"/>
        <v>252.53717153770606</v>
      </c>
    </row>
    <row r="5" spans="1:22">
      <c r="A5" s="109"/>
      <c r="B5" s="110" t="s">
        <v>634</v>
      </c>
      <c r="C5" s="105">
        <v>199.4</v>
      </c>
      <c r="D5" s="105">
        <f t="shared" si="0"/>
        <v>126.26858576885303</v>
      </c>
      <c r="E5" s="105">
        <f t="shared" si="1"/>
        <v>252.53717153770606</v>
      </c>
      <c r="F5" s="105">
        <f>'Aggregated Table'!E2</f>
        <v>252.53717153770606</v>
      </c>
      <c r="G5" s="109"/>
      <c r="H5" s="119"/>
      <c r="I5" s="119"/>
      <c r="J5" s="234"/>
      <c r="K5" s="235"/>
      <c r="L5" s="96"/>
      <c r="M5" s="96"/>
      <c r="N5" s="96"/>
      <c r="R5" s="155" t="s">
        <v>632</v>
      </c>
      <c r="S5" s="95">
        <f>C4</f>
        <v>14.55</v>
      </c>
      <c r="T5" s="95">
        <f t="shared" ref="T5:V5" si="3">D4</f>
        <v>10.818605790121518</v>
      </c>
      <c r="U5" s="95">
        <f t="shared" si="3"/>
        <v>21.637211580243036</v>
      </c>
      <c r="V5" s="95">
        <f t="shared" si="3"/>
        <v>21.637211580243036</v>
      </c>
    </row>
    <row r="6" spans="1:22">
      <c r="A6" s="109"/>
      <c r="B6" s="110" t="s">
        <v>636</v>
      </c>
      <c r="C6" s="105">
        <v>61.44</v>
      </c>
      <c r="D6" s="105">
        <f t="shared" si="0"/>
        <v>73.295215788921624</v>
      </c>
      <c r="E6" s="105">
        <f t="shared" si="1"/>
        <v>146.59043157784325</v>
      </c>
      <c r="F6" s="105">
        <f>'Aggregated Table'!E137</f>
        <v>146.59043157784325</v>
      </c>
      <c r="G6" s="109"/>
      <c r="H6" s="119"/>
      <c r="I6" s="119"/>
      <c r="J6" s="237"/>
      <c r="K6" s="235"/>
      <c r="L6" s="96"/>
      <c r="M6" s="96"/>
      <c r="N6" s="96"/>
      <c r="R6" s="155" t="s">
        <v>369</v>
      </c>
      <c r="S6" s="95">
        <f>C7</f>
        <v>29.67</v>
      </c>
      <c r="T6" s="95">
        <f t="shared" ref="T6:V6" si="4">D7</f>
        <v>42.616078801039684</v>
      </c>
      <c r="U6" s="95">
        <f t="shared" si="4"/>
        <v>85.232157602079369</v>
      </c>
      <c r="V6" s="95">
        <f t="shared" si="4"/>
        <v>85.232157602079369</v>
      </c>
    </row>
    <row r="7" spans="1:22">
      <c r="A7" s="109"/>
      <c r="B7" s="110" t="s">
        <v>369</v>
      </c>
      <c r="C7" s="105">
        <v>29.67</v>
      </c>
      <c r="D7" s="105">
        <f t="shared" si="0"/>
        <v>42.616078801039684</v>
      </c>
      <c r="E7" s="105">
        <f t="shared" si="1"/>
        <v>85.232157602079369</v>
      </c>
      <c r="F7" s="105">
        <f>'Aggregated Table'!E290</f>
        <v>85.232157602079369</v>
      </c>
      <c r="G7" s="109"/>
      <c r="H7" s="119"/>
      <c r="I7" s="119"/>
      <c r="J7" s="237"/>
      <c r="K7" s="235"/>
      <c r="L7" s="96"/>
      <c r="M7" s="96"/>
      <c r="N7" s="96"/>
      <c r="R7" s="155" t="s">
        <v>636</v>
      </c>
      <c r="S7" s="95">
        <f>C6</f>
        <v>61.44</v>
      </c>
      <c r="T7" s="95">
        <f t="shared" ref="T7:V7" si="5">D6</f>
        <v>73.295215788921624</v>
      </c>
      <c r="U7" s="95">
        <f t="shared" si="5"/>
        <v>146.59043157784325</v>
      </c>
      <c r="V7" s="95">
        <f t="shared" si="5"/>
        <v>146.59043157784325</v>
      </c>
    </row>
    <row r="8" spans="1:22">
      <c r="A8" s="109"/>
      <c r="B8" s="110" t="s">
        <v>598</v>
      </c>
      <c r="C8" s="105">
        <v>64.78</v>
      </c>
      <c r="D8" s="105">
        <f t="shared" si="0"/>
        <v>11.365229983650471</v>
      </c>
      <c r="E8" s="105">
        <f t="shared" si="1"/>
        <v>22.730459967300941</v>
      </c>
      <c r="F8" s="105">
        <f>'Aggregated Table'!E375</f>
        <v>22.730459967300941</v>
      </c>
      <c r="G8" s="109"/>
      <c r="H8" s="119"/>
      <c r="I8" s="119"/>
      <c r="J8" s="237"/>
      <c r="K8" s="235"/>
      <c r="L8" s="96"/>
      <c r="M8" s="96"/>
      <c r="N8" s="96"/>
      <c r="R8" s="155" t="s">
        <v>598</v>
      </c>
      <c r="S8" s="95">
        <f>C8</f>
        <v>64.78</v>
      </c>
      <c r="T8" s="95">
        <f t="shared" ref="T8:V9" si="6">D8</f>
        <v>11.365229983650471</v>
      </c>
      <c r="U8" s="95">
        <f t="shared" si="6"/>
        <v>22.730459967300941</v>
      </c>
      <c r="V8" s="95">
        <f t="shared" si="6"/>
        <v>22.730459967300941</v>
      </c>
    </row>
    <row r="9" spans="1:22">
      <c r="A9" s="109"/>
      <c r="B9" s="110" t="s">
        <v>599</v>
      </c>
      <c r="C9" s="105">
        <v>31.92</v>
      </c>
      <c r="D9" s="105">
        <f t="shared" si="0"/>
        <v>33.425447627928072</v>
      </c>
      <c r="E9" s="105">
        <f t="shared" si="1"/>
        <v>66.850895255856145</v>
      </c>
      <c r="F9" s="105">
        <f>'Aggregated Table'!E435</f>
        <v>66.850895255856145</v>
      </c>
      <c r="G9" s="109"/>
      <c r="H9" s="119"/>
      <c r="I9" s="119"/>
      <c r="J9" s="237"/>
      <c r="K9" s="235"/>
      <c r="L9" s="96"/>
      <c r="M9" s="96"/>
      <c r="N9" s="96"/>
      <c r="R9" s="155" t="s">
        <v>1744</v>
      </c>
      <c r="S9" s="95">
        <f>C9</f>
        <v>31.92</v>
      </c>
      <c r="T9" s="95">
        <f t="shared" si="6"/>
        <v>33.425447627928072</v>
      </c>
      <c r="U9" s="95">
        <f t="shared" si="6"/>
        <v>66.850895255856145</v>
      </c>
      <c r="V9" s="95">
        <f t="shared" si="6"/>
        <v>66.850895255856145</v>
      </c>
    </row>
    <row r="10" spans="1:22">
      <c r="A10" s="109"/>
      <c r="B10" s="109"/>
      <c r="C10" s="109"/>
      <c r="D10" s="109"/>
      <c r="E10" s="109"/>
      <c r="F10" s="109"/>
      <c r="G10" s="109"/>
      <c r="H10" s="119"/>
      <c r="I10" s="119"/>
      <c r="J10" s="96"/>
      <c r="K10" s="96"/>
      <c r="L10" s="96"/>
      <c r="M10" s="96"/>
      <c r="N10" s="96"/>
    </row>
    <row r="11" spans="1:22">
      <c r="A11" s="109"/>
      <c r="B11" s="109"/>
      <c r="C11" s="109"/>
      <c r="D11" s="109"/>
      <c r="E11" s="109"/>
      <c r="F11" s="109"/>
      <c r="G11" s="109"/>
      <c r="H11" s="119"/>
      <c r="I11" s="119"/>
      <c r="J11" s="96"/>
      <c r="K11" s="96"/>
      <c r="L11" s="96"/>
      <c r="M11" s="96"/>
      <c r="N11" s="96"/>
    </row>
    <row r="12" spans="1:22">
      <c r="A12" s="109"/>
      <c r="B12" s="110" t="s">
        <v>640</v>
      </c>
      <c r="C12" s="110"/>
      <c r="D12" s="110"/>
      <c r="E12" s="110"/>
      <c r="F12" s="110"/>
      <c r="G12" s="109"/>
      <c r="H12" s="119"/>
      <c r="I12" s="119"/>
      <c r="J12" s="237"/>
      <c r="K12" s="96"/>
      <c r="L12" s="96"/>
      <c r="M12" s="96"/>
      <c r="N12" s="96"/>
    </row>
    <row r="13" spans="1:22">
      <c r="A13" s="109"/>
      <c r="B13" s="110"/>
      <c r="C13" s="113" t="s">
        <v>627</v>
      </c>
      <c r="D13" s="113" t="s">
        <v>628</v>
      </c>
      <c r="E13" s="113" t="s">
        <v>629</v>
      </c>
      <c r="F13" s="113" t="s">
        <v>630</v>
      </c>
      <c r="G13" s="109"/>
      <c r="H13" s="109"/>
      <c r="I13" s="119"/>
      <c r="J13" s="96"/>
      <c r="K13" s="96"/>
      <c r="L13" s="96"/>
      <c r="M13" s="96"/>
      <c r="N13" s="96"/>
    </row>
    <row r="14" spans="1:22">
      <c r="A14" s="109"/>
      <c r="B14" s="110" t="s">
        <v>632</v>
      </c>
      <c r="C14" s="66" t="s">
        <v>641</v>
      </c>
      <c r="D14" s="105" t="s">
        <v>642</v>
      </c>
      <c r="E14" s="66" t="s">
        <v>560</v>
      </c>
      <c r="F14" s="66">
        <v>13.94</v>
      </c>
      <c r="G14" s="109"/>
      <c r="H14" s="109"/>
      <c r="I14" s="119"/>
      <c r="J14" s="119"/>
      <c r="K14" s="119"/>
      <c r="L14" s="119"/>
      <c r="M14" s="119"/>
      <c r="N14" s="119"/>
    </row>
    <row r="15" spans="1:22">
      <c r="A15" s="109"/>
      <c r="B15" s="110" t="s">
        <v>634</v>
      </c>
      <c r="C15" s="66">
        <v>140.76</v>
      </c>
      <c r="D15" s="105" t="s">
        <v>1741</v>
      </c>
      <c r="E15" s="66" t="s">
        <v>560</v>
      </c>
      <c r="F15" s="66">
        <v>52.69</v>
      </c>
      <c r="G15" s="109"/>
      <c r="H15" s="109"/>
      <c r="I15" s="119"/>
      <c r="J15" s="119"/>
      <c r="K15" s="119"/>
      <c r="L15" s="119"/>
      <c r="M15" s="119"/>
      <c r="N15" s="119"/>
    </row>
    <row r="16" spans="1:22">
      <c r="A16" s="109"/>
      <c r="B16" s="110" t="s">
        <v>636</v>
      </c>
      <c r="C16" s="66">
        <v>30.72</v>
      </c>
      <c r="D16" s="105" t="s">
        <v>1742</v>
      </c>
      <c r="E16" s="66" t="s">
        <v>560</v>
      </c>
      <c r="F16" s="66">
        <v>31.93</v>
      </c>
      <c r="G16" s="109"/>
      <c r="H16" s="109"/>
      <c r="I16" s="119"/>
      <c r="J16" s="119"/>
      <c r="K16" s="119" t="s">
        <v>643</v>
      </c>
      <c r="L16" s="119"/>
      <c r="M16" s="119"/>
      <c r="N16" s="119"/>
      <c r="R16" s="73" t="s">
        <v>1743</v>
      </c>
      <c r="S16" s="73" t="s">
        <v>640</v>
      </c>
    </row>
    <row r="17" spans="1:24">
      <c r="A17" s="109"/>
      <c r="B17" s="110" t="s">
        <v>369</v>
      </c>
      <c r="C17" s="66" t="s">
        <v>644</v>
      </c>
      <c r="D17" s="105" t="s">
        <v>645</v>
      </c>
      <c r="E17" s="66" t="s">
        <v>560</v>
      </c>
      <c r="F17" s="66">
        <v>38.67</v>
      </c>
      <c r="G17" s="109"/>
      <c r="H17" s="109"/>
      <c r="I17" s="109"/>
      <c r="J17" s="109"/>
      <c r="K17" s="109"/>
      <c r="L17" s="109"/>
      <c r="M17" s="109"/>
      <c r="N17" s="109"/>
      <c r="O17" s="109"/>
      <c r="P17" s="119"/>
      <c r="Q17" s="119"/>
      <c r="S17" s="73" t="s">
        <v>627</v>
      </c>
      <c r="T17" s="73" t="s">
        <v>628</v>
      </c>
      <c r="U17" s="73" t="s">
        <v>629</v>
      </c>
      <c r="V17" s="73" t="s">
        <v>630</v>
      </c>
    </row>
    <row r="18" spans="1:24">
      <c r="A18" s="109"/>
      <c r="B18" s="110" t="s">
        <v>598</v>
      </c>
      <c r="C18" s="66">
        <v>39.61</v>
      </c>
      <c r="D18" s="105" t="s">
        <v>1740</v>
      </c>
      <c r="E18" s="66" t="s">
        <v>560</v>
      </c>
      <c r="F18" s="66">
        <v>11.99</v>
      </c>
      <c r="G18" s="109"/>
      <c r="H18" s="109"/>
      <c r="I18" s="109"/>
      <c r="J18" s="109" t="s">
        <v>646</v>
      </c>
      <c r="K18" s="109"/>
      <c r="L18" s="109"/>
      <c r="M18" s="109" t="s">
        <v>647</v>
      </c>
      <c r="N18" s="109"/>
      <c r="O18" s="109"/>
      <c r="P18" s="119"/>
      <c r="Q18" s="119"/>
      <c r="R18" t="s">
        <v>634</v>
      </c>
      <c r="S18" s="100">
        <f>C15</f>
        <v>140.76</v>
      </c>
      <c r="T18" s="100" t="str">
        <f>D15</f>
        <v>31.57 or 63.13</v>
      </c>
      <c r="U18" s="100" t="str">
        <f>E15</f>
        <v>TBD</v>
      </c>
      <c r="V18" s="100">
        <f>F15</f>
        <v>52.69</v>
      </c>
    </row>
    <row r="19" spans="1:24">
      <c r="A19" s="109"/>
      <c r="B19" s="110" t="s">
        <v>599</v>
      </c>
      <c r="C19" s="66" t="s">
        <v>648</v>
      </c>
      <c r="D19" s="105" t="s">
        <v>649</v>
      </c>
      <c r="E19" s="66" t="s">
        <v>560</v>
      </c>
      <c r="F19" s="66">
        <v>19.8</v>
      </c>
      <c r="G19" s="109"/>
      <c r="H19" s="109"/>
      <c r="I19" s="109"/>
      <c r="J19" s="109"/>
      <c r="K19" s="66" t="s">
        <v>631</v>
      </c>
      <c r="L19" s="109"/>
      <c r="M19" s="109"/>
      <c r="N19" s="66" t="s">
        <v>631</v>
      </c>
      <c r="O19" s="109"/>
      <c r="P19" s="119"/>
      <c r="Q19" s="119"/>
      <c r="R19" t="s">
        <v>632</v>
      </c>
      <c r="S19" s="100" t="str">
        <f>C14</f>
        <v>N/A</v>
      </c>
      <c r="T19" s="100" t="str">
        <f>D14</f>
        <v>2.7 or 5.41</v>
      </c>
      <c r="U19" s="100" t="str">
        <f>E14</f>
        <v>TBD</v>
      </c>
      <c r="V19" s="100">
        <f>F14</f>
        <v>13.94</v>
      </c>
    </row>
    <row r="20" spans="1:24">
      <c r="A20" s="109"/>
      <c r="B20" s="109"/>
      <c r="C20" s="109"/>
      <c r="D20" s="109"/>
      <c r="E20" s="109"/>
      <c r="F20" s="109"/>
      <c r="G20" s="109"/>
      <c r="H20" s="109"/>
      <c r="I20" s="109"/>
      <c r="J20" s="126" t="s">
        <v>633</v>
      </c>
      <c r="K20" s="128">
        <v>2.7539191513290782E-2</v>
      </c>
      <c r="L20" s="109"/>
      <c r="M20" s="126" t="s">
        <v>633</v>
      </c>
      <c r="N20" s="129">
        <v>324428.27897995675</v>
      </c>
      <c r="O20" s="109"/>
      <c r="P20" s="119"/>
      <c r="Q20" s="119"/>
      <c r="R20" t="s">
        <v>369</v>
      </c>
      <c r="S20" s="100" t="str">
        <f>C17</f>
        <v>53.59/56.26</v>
      </c>
      <c r="T20" s="100" t="str">
        <f>D17</f>
        <v>10.65 or 21.31</v>
      </c>
      <c r="U20" s="100" t="str">
        <f>E17</f>
        <v>TBD</v>
      </c>
      <c r="V20" s="100">
        <f>F17</f>
        <v>38.67</v>
      </c>
    </row>
    <row r="21" spans="1:24">
      <c r="A21" s="109"/>
      <c r="B21" s="109"/>
      <c r="C21" s="109"/>
      <c r="D21" s="109"/>
      <c r="E21" s="109"/>
      <c r="F21" s="109"/>
      <c r="G21" s="109"/>
      <c r="H21" s="119"/>
      <c r="I21" s="109"/>
      <c r="J21" s="126" t="s">
        <v>635</v>
      </c>
      <c r="K21" s="128">
        <v>3.1030000000000047E-2</v>
      </c>
      <c r="L21" s="109"/>
      <c r="M21" s="126" t="s">
        <v>635</v>
      </c>
      <c r="N21" s="129">
        <v>366499.57561414066</v>
      </c>
      <c r="O21" s="109"/>
      <c r="P21" s="119"/>
      <c r="Q21" s="119"/>
      <c r="R21" s="155" t="s">
        <v>636</v>
      </c>
      <c r="S21" s="100">
        <f>C16</f>
        <v>30.72</v>
      </c>
      <c r="T21" s="100" t="str">
        <f>D16</f>
        <v>18.32 or 36.65</v>
      </c>
      <c r="U21" s="100" t="str">
        <f>E16</f>
        <v>TBD</v>
      </c>
      <c r="V21" s="100">
        <f>F16</f>
        <v>31.93</v>
      </c>
      <c r="W21" s="155"/>
      <c r="X21" s="155"/>
    </row>
    <row r="22" spans="1:24">
      <c r="A22" s="109"/>
      <c r="B22" s="110" t="s">
        <v>650</v>
      </c>
      <c r="C22" s="110"/>
      <c r="D22" s="109"/>
      <c r="E22" s="119"/>
      <c r="F22" s="121"/>
      <c r="G22" s="122"/>
      <c r="H22" s="121"/>
      <c r="I22" s="109"/>
      <c r="J22" s="127" t="s">
        <v>637</v>
      </c>
      <c r="K22" s="128">
        <v>4.2835395020607792E-2</v>
      </c>
      <c r="L22" s="109"/>
      <c r="M22" s="127" t="s">
        <v>637</v>
      </c>
      <c r="N22" s="129">
        <v>503353.16360451624</v>
      </c>
      <c r="O22" s="109"/>
      <c r="P22" s="119"/>
      <c r="Q22" s="119"/>
      <c r="R22" s="155" t="s">
        <v>598</v>
      </c>
      <c r="S22" s="100">
        <f t="shared" ref="S22:V23" si="7">C18</f>
        <v>39.61</v>
      </c>
      <c r="T22" s="100" t="str">
        <f t="shared" si="7"/>
        <v>2.84 or 5.68</v>
      </c>
      <c r="U22" s="100" t="str">
        <f t="shared" si="7"/>
        <v>TBD</v>
      </c>
      <c r="V22" s="100">
        <f t="shared" si="7"/>
        <v>11.99</v>
      </c>
      <c r="W22" s="155"/>
      <c r="X22" s="155"/>
    </row>
    <row r="23" spans="1:24" s="119" customFormat="1">
      <c r="A23" s="109"/>
      <c r="B23" s="110"/>
      <c r="C23" s="248" t="s">
        <v>628</v>
      </c>
      <c r="D23" s="249"/>
      <c r="E23" s="248" t="s">
        <v>629</v>
      </c>
      <c r="F23" s="250"/>
      <c r="G23" s="251" t="s">
        <v>630</v>
      </c>
      <c r="H23" s="250"/>
      <c r="I23" s="109"/>
      <c r="J23" s="127" t="s">
        <v>639</v>
      </c>
      <c r="K23" s="128">
        <v>1.149011464203108E-2</v>
      </c>
      <c r="L23" s="109"/>
      <c r="M23" s="127" t="s">
        <v>639</v>
      </c>
      <c r="N23" s="129">
        <v>134946.93750909093</v>
      </c>
      <c r="O23" s="109"/>
      <c r="R23" s="155" t="s">
        <v>1744</v>
      </c>
      <c r="S23" s="100" t="str">
        <f t="shared" si="7"/>
        <v>47.96/9.47</v>
      </c>
      <c r="T23" s="100" t="str">
        <f t="shared" si="7"/>
        <v>8.36 or 16.71</v>
      </c>
      <c r="U23" s="100" t="str">
        <f t="shared" si="7"/>
        <v>TBD</v>
      </c>
      <c r="V23" s="100">
        <f t="shared" si="7"/>
        <v>19.8</v>
      </c>
      <c r="W23" s="155"/>
      <c r="X23" s="155"/>
    </row>
    <row r="24" spans="1:24" ht="45">
      <c r="A24" s="109"/>
      <c r="B24" s="110"/>
      <c r="C24" s="120" t="s">
        <v>625</v>
      </c>
      <c r="D24" s="120" t="s">
        <v>651</v>
      </c>
      <c r="E24" s="120" t="s">
        <v>625</v>
      </c>
      <c r="F24" s="120" t="s">
        <v>651</v>
      </c>
      <c r="G24" s="120" t="s">
        <v>625</v>
      </c>
      <c r="H24" s="120" t="s">
        <v>651</v>
      </c>
      <c r="I24" s="109"/>
      <c r="J24" s="109"/>
      <c r="K24" s="109"/>
      <c r="L24" s="109"/>
      <c r="M24" s="109"/>
      <c r="N24" s="109"/>
      <c r="O24" s="109"/>
      <c r="P24" s="119"/>
      <c r="Q24" s="119"/>
      <c r="R24" s="155"/>
      <c r="S24" s="155"/>
      <c r="T24" s="155"/>
      <c r="U24" s="155"/>
      <c r="V24" s="155"/>
      <c r="W24" s="155"/>
      <c r="X24" s="155"/>
    </row>
    <row r="25" spans="1:24">
      <c r="A25" s="109"/>
      <c r="B25" s="110" t="s">
        <v>632</v>
      </c>
      <c r="C25" s="66">
        <v>2</v>
      </c>
      <c r="D25" s="106">
        <f>SUM('Aggregated Table'!P72:Q72)</f>
        <v>4</v>
      </c>
      <c r="E25" s="66" t="s">
        <v>560</v>
      </c>
      <c r="F25" s="66" t="s">
        <v>560</v>
      </c>
      <c r="G25" s="66">
        <v>1</v>
      </c>
      <c r="H25" s="66">
        <f>'Aggregated Table'!J72</f>
        <v>4</v>
      </c>
      <c r="I25" s="119"/>
      <c r="J25" s="119"/>
      <c r="K25" s="119"/>
      <c r="L25" s="119"/>
      <c r="M25" s="119"/>
      <c r="N25" s="119"/>
      <c r="O25" s="119"/>
      <c r="P25" s="119"/>
      <c r="Q25" s="119"/>
      <c r="R25" s="155"/>
      <c r="S25" s="155"/>
      <c r="T25" s="155"/>
      <c r="U25" s="155"/>
      <c r="V25" s="155"/>
      <c r="W25" s="155"/>
      <c r="X25" s="155"/>
    </row>
    <row r="26" spans="1:24">
      <c r="A26" s="109"/>
      <c r="B26" s="110" t="s">
        <v>634</v>
      </c>
      <c r="C26" s="66">
        <v>2</v>
      </c>
      <c r="D26" s="106">
        <f>SUM('Aggregated Table'!P2:Q2)</f>
        <v>11</v>
      </c>
      <c r="E26" s="66" t="s">
        <v>560</v>
      </c>
      <c r="F26" s="66" t="s">
        <v>560</v>
      </c>
      <c r="G26" s="66">
        <v>1</v>
      </c>
      <c r="H26" s="66">
        <f>'Aggregated Table'!J2</f>
        <v>2</v>
      </c>
      <c r="I26" s="119"/>
      <c r="J26" s="119"/>
      <c r="K26" s="119"/>
      <c r="L26" s="119"/>
      <c r="M26" s="119"/>
      <c r="N26" s="119"/>
      <c r="O26" s="119"/>
      <c r="P26" s="119"/>
      <c r="Q26" s="119"/>
      <c r="R26" s="155"/>
      <c r="S26" s="155"/>
      <c r="T26" s="155"/>
      <c r="U26" s="155"/>
      <c r="V26" s="155"/>
      <c r="W26" s="155"/>
      <c r="X26" s="155"/>
    </row>
    <row r="27" spans="1:24" ht="35.25" customHeight="1">
      <c r="A27" s="109"/>
      <c r="B27" s="110" t="s">
        <v>636</v>
      </c>
      <c r="C27" s="66">
        <v>2</v>
      </c>
      <c r="D27" s="106">
        <f>SUM('Aggregated Table'!P137:Q137)</f>
        <v>35</v>
      </c>
      <c r="E27" s="66" t="s">
        <v>560</v>
      </c>
      <c r="F27" s="66" t="s">
        <v>560</v>
      </c>
      <c r="G27" s="66">
        <v>1</v>
      </c>
      <c r="H27" s="66">
        <v>35</v>
      </c>
      <c r="I27" s="119"/>
      <c r="J27" s="139">
        <v>2025</v>
      </c>
      <c r="K27" s="119"/>
      <c r="L27" s="119"/>
      <c r="M27" s="119"/>
      <c r="N27" s="119"/>
      <c r="O27" s="119"/>
      <c r="P27" s="119"/>
      <c r="Q27" s="119"/>
      <c r="R27" s="155"/>
      <c r="S27" s="155"/>
      <c r="T27" s="155"/>
      <c r="U27" s="155"/>
      <c r="V27" s="155"/>
      <c r="W27" s="155"/>
      <c r="X27" s="155"/>
    </row>
    <row r="28" spans="1:24">
      <c r="A28" s="109"/>
      <c r="B28" s="110" t="s">
        <v>369</v>
      </c>
      <c r="C28" s="66">
        <v>2</v>
      </c>
      <c r="D28" s="106">
        <f>SUM('Aggregated Table'!P290:Q290)</f>
        <v>23</v>
      </c>
      <c r="E28" s="66" t="s">
        <v>560</v>
      </c>
      <c r="F28" s="66" t="s">
        <v>560</v>
      </c>
      <c r="G28" s="66">
        <v>1</v>
      </c>
      <c r="H28" s="66">
        <v>10</v>
      </c>
      <c r="I28" s="119"/>
      <c r="J28" s="130" t="s">
        <v>652</v>
      </c>
      <c r="K28" s="131"/>
      <c r="L28" s="131"/>
      <c r="M28" s="131"/>
      <c r="N28" s="131"/>
      <c r="O28" s="131"/>
      <c r="P28" s="131"/>
      <c r="Q28" s="131"/>
      <c r="R28" s="155"/>
      <c r="S28" s="155"/>
      <c r="T28" s="155"/>
      <c r="U28" s="155"/>
      <c r="V28" s="155"/>
      <c r="W28" s="155"/>
      <c r="X28" s="155"/>
    </row>
    <row r="29" spans="1:24">
      <c r="A29" s="109"/>
      <c r="B29" s="110" t="s">
        <v>598</v>
      </c>
      <c r="C29" s="66">
        <v>2</v>
      </c>
      <c r="D29" s="106">
        <f>SUM('Aggregated Table'!P375:Q375)</f>
        <v>16</v>
      </c>
      <c r="E29" s="66" t="s">
        <v>560</v>
      </c>
      <c r="F29" s="66" t="s">
        <v>560</v>
      </c>
      <c r="G29" s="66">
        <v>1</v>
      </c>
      <c r="H29" s="66">
        <f>'Aggregated Table'!J375</f>
        <v>7</v>
      </c>
      <c r="I29" s="119"/>
      <c r="J29" s="130"/>
      <c r="K29" s="73" t="s">
        <v>627</v>
      </c>
      <c r="L29" s="73" t="s">
        <v>653</v>
      </c>
      <c r="M29" s="73" t="s">
        <v>628</v>
      </c>
      <c r="N29" s="73" t="s">
        <v>629</v>
      </c>
      <c r="O29" s="119"/>
      <c r="P29" s="131"/>
      <c r="Q29" s="131"/>
      <c r="R29" s="155"/>
      <c r="S29" s="155"/>
      <c r="T29" s="155"/>
      <c r="U29" s="155"/>
      <c r="V29" s="155"/>
      <c r="W29" s="155"/>
      <c r="X29" s="155"/>
    </row>
    <row r="30" spans="1:24">
      <c r="A30" s="109"/>
      <c r="B30" s="110" t="s">
        <v>599</v>
      </c>
      <c r="C30" s="66">
        <v>2</v>
      </c>
      <c r="D30" s="106">
        <f>SUM('Aggregated Table'!P435:Q435)</f>
        <v>23</v>
      </c>
      <c r="E30" s="66" t="s">
        <v>560</v>
      </c>
      <c r="F30" s="66" t="s">
        <v>560</v>
      </c>
      <c r="G30" s="66">
        <v>1</v>
      </c>
      <c r="H30" s="66">
        <v>9</v>
      </c>
      <c r="I30" s="119"/>
      <c r="J30" s="132" t="s">
        <v>654</v>
      </c>
      <c r="K30" s="133">
        <v>700892.48987312207</v>
      </c>
      <c r="L30" s="133">
        <v>700892.48987312207</v>
      </c>
      <c r="M30" s="133">
        <v>700892.48987312207</v>
      </c>
      <c r="N30" s="133">
        <v>700892.48987312207</v>
      </c>
      <c r="O30" s="119"/>
      <c r="P30" s="133"/>
      <c r="Q30" s="133"/>
      <c r="R30" s="73" t="s">
        <v>1745</v>
      </c>
      <c r="S30" s="73" t="s">
        <v>650</v>
      </c>
      <c r="T30" s="155"/>
      <c r="U30" s="155"/>
      <c r="V30" s="155"/>
      <c r="W30" s="155"/>
      <c r="X30" s="155"/>
    </row>
    <row r="31" spans="1:24">
      <c r="A31" s="109"/>
      <c r="B31" s="109"/>
      <c r="C31" s="109"/>
      <c r="D31" s="109"/>
      <c r="E31" s="109"/>
      <c r="F31" s="109"/>
      <c r="G31" s="119"/>
      <c r="H31" s="119"/>
      <c r="I31" s="119"/>
      <c r="J31" s="132" t="s">
        <v>655</v>
      </c>
      <c r="K31" s="133">
        <v>324428.27897995675</v>
      </c>
      <c r="L31" s="133">
        <v>324428.27897995675</v>
      </c>
      <c r="M31" s="133">
        <v>324428.27897995675</v>
      </c>
      <c r="N31" s="133">
        <v>324428.27897995675</v>
      </c>
      <c r="O31" s="119"/>
      <c r="P31" s="133"/>
      <c r="Q31" s="133"/>
      <c r="R31" s="155"/>
      <c r="S31" s="158" t="s">
        <v>628</v>
      </c>
      <c r="T31" s="159"/>
      <c r="U31" s="158" t="s">
        <v>629</v>
      </c>
      <c r="V31" s="233"/>
      <c r="W31" s="158" t="s">
        <v>630</v>
      </c>
      <c r="X31" s="233"/>
    </row>
    <row r="32" spans="1:24" ht="30">
      <c r="B32" s="119"/>
      <c r="C32" s="119"/>
      <c r="D32" s="119"/>
      <c r="E32" s="119"/>
      <c r="F32" s="119"/>
      <c r="G32" s="119"/>
      <c r="H32" s="119"/>
      <c r="I32" s="119"/>
      <c r="J32" s="132" t="s">
        <v>656</v>
      </c>
      <c r="K32" s="133">
        <v>366499.57561414066</v>
      </c>
      <c r="L32" s="133">
        <v>366499.57561414066</v>
      </c>
      <c r="M32" s="133">
        <v>366499.57561414066</v>
      </c>
      <c r="N32" s="133">
        <v>366499.57561414066</v>
      </c>
      <c r="O32" s="119"/>
      <c r="P32" s="133"/>
      <c r="Q32" s="133"/>
      <c r="R32" s="155"/>
      <c r="S32" s="120" t="s">
        <v>625</v>
      </c>
      <c r="T32" s="120" t="s">
        <v>651</v>
      </c>
      <c r="U32" s="120" t="s">
        <v>625</v>
      </c>
      <c r="V32" s="120" t="s">
        <v>651</v>
      </c>
      <c r="W32" s="120" t="s">
        <v>625</v>
      </c>
      <c r="X32" s="120" t="s">
        <v>651</v>
      </c>
    </row>
    <row r="33" spans="10:24">
      <c r="J33" s="132" t="s">
        <v>657</v>
      </c>
      <c r="K33" s="133">
        <v>405169.63031947584</v>
      </c>
      <c r="L33" s="133">
        <v>503353.16360451624</v>
      </c>
      <c r="M33" s="133">
        <v>251676.58180225812</v>
      </c>
      <c r="N33" s="133">
        <v>503353.16360451624</v>
      </c>
      <c r="O33" s="119"/>
      <c r="P33" s="133"/>
      <c r="Q33" s="133"/>
      <c r="R33" s="155" t="s">
        <v>634</v>
      </c>
      <c r="S33" s="232">
        <f t="shared" ref="S33:X33" si="8">C26</f>
        <v>2</v>
      </c>
      <c r="T33" s="232">
        <f t="shared" si="8"/>
        <v>11</v>
      </c>
      <c r="U33" s="232" t="str">
        <f t="shared" si="8"/>
        <v>TBD</v>
      </c>
      <c r="V33" s="232" t="str">
        <f t="shared" si="8"/>
        <v>TBD</v>
      </c>
      <c r="W33" s="232">
        <f t="shared" si="8"/>
        <v>1</v>
      </c>
      <c r="X33" s="232">
        <f t="shared" si="8"/>
        <v>2</v>
      </c>
    </row>
    <row r="34" spans="10:24">
      <c r="J34" s="132" t="s">
        <v>658</v>
      </c>
      <c r="K34" s="133">
        <v>348406.65670909092</v>
      </c>
      <c r="L34" s="133">
        <v>134946.93750909093</v>
      </c>
      <c r="M34" s="133">
        <v>76631.64316363637</v>
      </c>
      <c r="N34" s="133" t="s">
        <v>560</v>
      </c>
      <c r="O34" s="119"/>
      <c r="P34" s="133"/>
      <c r="Q34" s="133"/>
      <c r="R34" s="155" t="s">
        <v>632</v>
      </c>
      <c r="S34" s="232">
        <f t="shared" ref="S34:X34" si="9">C25</f>
        <v>2</v>
      </c>
      <c r="T34" s="232">
        <f t="shared" si="9"/>
        <v>4</v>
      </c>
      <c r="U34" s="232" t="str">
        <f t="shared" si="9"/>
        <v>TBD</v>
      </c>
      <c r="V34" s="232" t="str">
        <f t="shared" si="9"/>
        <v>TBD</v>
      </c>
      <c r="W34" s="232">
        <f t="shared" si="9"/>
        <v>1</v>
      </c>
      <c r="X34" s="232">
        <f t="shared" si="9"/>
        <v>4</v>
      </c>
    </row>
    <row r="35" spans="10:24">
      <c r="J35" s="132" t="s">
        <v>638</v>
      </c>
      <c r="K35" s="133">
        <v>0</v>
      </c>
      <c r="L35" s="133">
        <v>0</v>
      </c>
      <c r="M35" s="133">
        <v>0</v>
      </c>
      <c r="N35" s="133">
        <v>0</v>
      </c>
      <c r="O35" s="119"/>
      <c r="P35" s="133"/>
      <c r="Q35" s="133"/>
      <c r="R35" s="155" t="s">
        <v>369</v>
      </c>
      <c r="S35" s="231">
        <f t="shared" ref="S35:X35" si="10">C28</f>
        <v>2</v>
      </c>
      <c r="T35" s="231">
        <f t="shared" si="10"/>
        <v>23</v>
      </c>
      <c r="U35" s="231" t="str">
        <f t="shared" si="10"/>
        <v>TBD</v>
      </c>
      <c r="V35" s="231" t="str">
        <f t="shared" si="10"/>
        <v>TBD</v>
      </c>
      <c r="W35" s="231">
        <f t="shared" si="10"/>
        <v>1</v>
      </c>
      <c r="X35" s="231">
        <f t="shared" si="10"/>
        <v>10</v>
      </c>
    </row>
    <row r="36" spans="10:24" ht="60">
      <c r="J36" s="134" t="s">
        <v>659</v>
      </c>
      <c r="K36" s="133">
        <v>2145396.6314957864</v>
      </c>
      <c r="L36" s="133">
        <v>2030120.4455808266</v>
      </c>
      <c r="M36" s="133">
        <v>1720128.5694331138</v>
      </c>
      <c r="N36" s="133">
        <v>1895173.5080717357</v>
      </c>
      <c r="O36" s="119"/>
      <c r="P36" s="133"/>
      <c r="Q36" s="133"/>
      <c r="R36" s="155" t="s">
        <v>636</v>
      </c>
      <c r="S36" s="231">
        <f t="shared" ref="S36:X36" si="11">C27</f>
        <v>2</v>
      </c>
      <c r="T36" s="231">
        <f t="shared" si="11"/>
        <v>35</v>
      </c>
      <c r="U36" s="231" t="str">
        <f t="shared" si="11"/>
        <v>TBD</v>
      </c>
      <c r="V36" s="231" t="str">
        <f t="shared" si="11"/>
        <v>TBD</v>
      </c>
      <c r="W36" s="231">
        <f t="shared" si="11"/>
        <v>1</v>
      </c>
      <c r="X36" s="231">
        <f t="shared" si="11"/>
        <v>35</v>
      </c>
    </row>
    <row r="37" spans="10:24" ht="60">
      <c r="J37" s="134" t="s">
        <v>660</v>
      </c>
      <c r="K37" s="135">
        <v>2145396.6314957864</v>
      </c>
      <c r="L37" s="135">
        <v>2030120.4455808266</v>
      </c>
      <c r="M37" s="135">
        <v>1720128.5694331138</v>
      </c>
      <c r="N37" s="135">
        <v>1895173.5080717357</v>
      </c>
      <c r="O37" s="119"/>
      <c r="P37" s="135"/>
      <c r="Q37" s="135"/>
      <c r="R37" s="155" t="s">
        <v>598</v>
      </c>
      <c r="S37" s="231">
        <f t="shared" ref="S37:X38" si="12">C29</f>
        <v>2</v>
      </c>
      <c r="T37" s="231">
        <f t="shared" si="12"/>
        <v>16</v>
      </c>
      <c r="U37" s="231" t="str">
        <f t="shared" si="12"/>
        <v>TBD</v>
      </c>
      <c r="V37" s="231" t="str">
        <f t="shared" si="12"/>
        <v>TBD</v>
      </c>
      <c r="W37" s="231">
        <f t="shared" si="12"/>
        <v>1</v>
      </c>
      <c r="X37" s="231">
        <f t="shared" si="12"/>
        <v>7</v>
      </c>
    </row>
    <row r="38" spans="10:24">
      <c r="J38" s="130"/>
      <c r="K38" s="136"/>
      <c r="L38" s="136"/>
      <c r="M38" s="136"/>
      <c r="N38" s="136"/>
      <c r="O38" s="119"/>
      <c r="P38" s="136"/>
      <c r="Q38" s="136"/>
      <c r="R38" s="155" t="s">
        <v>1744</v>
      </c>
      <c r="S38" s="231">
        <f t="shared" si="12"/>
        <v>2</v>
      </c>
      <c r="T38" s="231">
        <f t="shared" si="12"/>
        <v>23</v>
      </c>
      <c r="U38" s="231" t="str">
        <f t="shared" si="12"/>
        <v>TBD</v>
      </c>
      <c r="V38" s="231" t="str">
        <f t="shared" si="12"/>
        <v>TBD</v>
      </c>
      <c r="W38" s="231">
        <f t="shared" si="12"/>
        <v>1</v>
      </c>
      <c r="X38" s="231">
        <f t="shared" si="12"/>
        <v>9</v>
      </c>
    </row>
    <row r="39" spans="10:24">
      <c r="J39" s="130" t="s">
        <v>661</v>
      </c>
      <c r="K39" s="137"/>
      <c r="L39" s="137"/>
      <c r="M39" s="137"/>
      <c r="N39" s="137"/>
      <c r="O39" s="119"/>
      <c r="P39" s="137"/>
      <c r="Q39" s="137"/>
      <c r="R39" s="137"/>
      <c r="S39" s="137"/>
      <c r="T39" s="137"/>
    </row>
    <row r="40" spans="10:24">
      <c r="J40" s="130"/>
      <c r="K40" s="137"/>
      <c r="L40" s="137"/>
      <c r="M40" s="137"/>
      <c r="N40" s="137"/>
      <c r="O40" s="119"/>
      <c r="P40" s="137"/>
      <c r="Q40" s="137"/>
      <c r="R40" s="137"/>
      <c r="S40" s="137"/>
      <c r="T40" s="137"/>
    </row>
    <row r="41" spans="10:24">
      <c r="J41" s="132" t="s">
        <v>654</v>
      </c>
      <c r="K41" s="138">
        <v>5.9341662058731912E-2</v>
      </c>
      <c r="L41" s="138">
        <v>5.9341662058731912E-2</v>
      </c>
      <c r="M41" s="138">
        <v>5.9341662058731912E-2</v>
      </c>
      <c r="N41" s="138">
        <v>5.9341662058731912E-2</v>
      </c>
      <c r="O41" s="119"/>
      <c r="P41" s="138"/>
      <c r="Q41" s="138"/>
      <c r="R41" s="138"/>
      <c r="S41" s="138"/>
      <c r="T41" s="138"/>
    </row>
    <row r="42" spans="10:24">
      <c r="J42" s="132" t="s">
        <v>655</v>
      </c>
      <c r="K42" s="138">
        <v>2.7467997691071958E-2</v>
      </c>
      <c r="L42" s="138">
        <v>2.7467997691071958E-2</v>
      </c>
      <c r="M42" s="138">
        <v>2.7467997691071958E-2</v>
      </c>
      <c r="N42" s="138">
        <v>2.7467997691071958E-2</v>
      </c>
      <c r="O42" s="119"/>
      <c r="P42" s="138"/>
      <c r="Q42" s="138"/>
      <c r="R42" s="138"/>
      <c r="S42" s="138"/>
      <c r="T42" s="138"/>
    </row>
    <row r="43" spans="10:24">
      <c r="J43" s="132" t="s">
        <v>656</v>
      </c>
      <c r="K43" s="138">
        <v>3.103000000000003E-2</v>
      </c>
      <c r="L43" s="138">
        <v>3.103000000000003E-2</v>
      </c>
      <c r="M43" s="138">
        <v>3.103000000000003E-2</v>
      </c>
      <c r="N43" s="138">
        <v>3.103000000000003E-2</v>
      </c>
      <c r="O43" s="119"/>
      <c r="P43" s="138"/>
      <c r="Q43" s="138"/>
      <c r="R43" s="138"/>
      <c r="S43" s="138"/>
      <c r="T43" s="138"/>
    </row>
    <row r="44" spans="10:24">
      <c r="J44" s="132" t="s">
        <v>657</v>
      </c>
      <c r="K44" s="138">
        <v>3.4304033252278245E-2</v>
      </c>
      <c r="L44" s="138">
        <v>4.2616826064465228E-2</v>
      </c>
      <c r="M44" s="138">
        <v>2.1308413032232614E-2</v>
      </c>
      <c r="N44" s="138">
        <v>4.2616826064465228E-2</v>
      </c>
      <c r="O44" s="119"/>
      <c r="P44" s="138"/>
      <c r="Q44" s="138"/>
      <c r="R44" s="138"/>
      <c r="S44" s="138"/>
      <c r="T44" s="138"/>
    </row>
    <row r="45" spans="10:24">
      <c r="J45" s="132" t="s">
        <v>658</v>
      </c>
      <c r="K45" s="138">
        <v>2.949814754783028E-2</v>
      </c>
      <c r="L45" s="138">
        <v>1.1425397870898742E-2</v>
      </c>
      <c r="M45" s="138">
        <v>6.4880836038705989E-3</v>
      </c>
      <c r="N45" s="138" t="s">
        <v>560</v>
      </c>
      <c r="O45" s="119"/>
      <c r="P45" s="138"/>
      <c r="Q45" s="138"/>
      <c r="R45" s="138"/>
      <c r="S45" s="138"/>
      <c r="T45" s="138"/>
    </row>
    <row r="46" spans="10:24">
      <c r="J46" s="132" t="s">
        <v>638</v>
      </c>
      <c r="K46" s="138">
        <v>0</v>
      </c>
      <c r="L46" s="138">
        <v>0</v>
      </c>
      <c r="M46" s="138">
        <v>0</v>
      </c>
      <c r="N46" s="138">
        <v>0</v>
      </c>
      <c r="O46" s="119"/>
      <c r="P46" s="138"/>
      <c r="Q46" s="138"/>
      <c r="R46" s="138"/>
      <c r="S46" s="138"/>
      <c r="T46" s="138"/>
    </row>
    <row r="47" spans="10:24">
      <c r="J47" s="134"/>
      <c r="K47" s="138"/>
      <c r="L47" s="138"/>
      <c r="M47" s="138"/>
      <c r="N47" s="138"/>
      <c r="O47" s="119"/>
      <c r="P47" s="138"/>
      <c r="Q47" s="138"/>
      <c r="R47" s="138"/>
      <c r="S47" s="138"/>
      <c r="T47" s="138"/>
    </row>
  </sheetData>
  <mergeCells count="4">
    <mergeCell ref="C23:D23"/>
    <mergeCell ref="E23:F23"/>
    <mergeCell ref="G23:H23"/>
    <mergeCell ref="J2:K2"/>
  </mergeCells>
  <pageMargins left="0.7" right="0.7" top="0.75" bottom="0.75" header="0.3" footer="0.3"/>
  <pageSetup scale="3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0843E-BB4A-4181-BBBA-8F66942A9474}">
  <sheetPr>
    <pageSetUpPr fitToPage="1"/>
  </sheetPr>
  <dimension ref="A2:G203"/>
  <sheetViews>
    <sheetView workbookViewId="0">
      <selection activeCell="A8" sqref="A8"/>
    </sheetView>
  </sheetViews>
  <sheetFormatPr defaultRowHeight="15"/>
  <sheetData>
    <row r="2" spans="1:7">
      <c r="A2" s="123" t="s">
        <v>369</v>
      </c>
      <c r="B2" s="123" t="s">
        <v>662</v>
      </c>
      <c r="C2" s="122" t="s">
        <v>599</v>
      </c>
      <c r="D2" s="122" t="s">
        <v>572</v>
      </c>
      <c r="E2" s="122"/>
      <c r="F2" s="122"/>
      <c r="G2" s="122"/>
    </row>
    <row r="3" spans="1:7">
      <c r="A3" s="119" t="s">
        <v>391</v>
      </c>
      <c r="B3" s="150" t="s">
        <v>210</v>
      </c>
      <c r="C3" s="65">
        <v>205</v>
      </c>
      <c r="D3" s="119" t="s">
        <v>45</v>
      </c>
      <c r="E3" s="119"/>
      <c r="F3" s="119"/>
      <c r="G3" s="119"/>
    </row>
    <row r="4" spans="1:7">
      <c r="A4" s="119" t="s">
        <v>392</v>
      </c>
      <c r="B4" s="150" t="s">
        <v>212</v>
      </c>
      <c r="C4" s="66">
        <v>45</v>
      </c>
      <c r="D4" s="119" t="s">
        <v>15</v>
      </c>
      <c r="E4" s="119"/>
      <c r="F4" s="119"/>
      <c r="G4" s="119"/>
    </row>
    <row r="5" spans="1:7">
      <c r="A5" s="119" t="s">
        <v>393</v>
      </c>
      <c r="B5" s="150" t="s">
        <v>214</v>
      </c>
      <c r="C5" s="66">
        <v>16</v>
      </c>
      <c r="D5" s="119" t="s">
        <v>16</v>
      </c>
      <c r="E5" s="119"/>
      <c r="F5" s="119"/>
      <c r="G5" s="119"/>
    </row>
    <row r="6" spans="1:7">
      <c r="A6" s="119" t="s">
        <v>407</v>
      </c>
      <c r="B6" s="150" t="s">
        <v>216</v>
      </c>
      <c r="C6" s="66">
        <v>424</v>
      </c>
      <c r="D6" s="119" t="s">
        <v>17</v>
      </c>
      <c r="E6" s="119"/>
      <c r="F6" s="119"/>
      <c r="G6" s="119"/>
    </row>
    <row r="7" spans="1:7">
      <c r="A7" s="119" t="s">
        <v>418</v>
      </c>
      <c r="B7" s="150" t="s">
        <v>218</v>
      </c>
      <c r="C7" s="66">
        <v>154</v>
      </c>
      <c r="D7" s="119" t="s">
        <v>18</v>
      </c>
      <c r="E7" s="119"/>
      <c r="F7" s="119"/>
      <c r="G7" s="119"/>
    </row>
    <row r="8" spans="1:7">
      <c r="A8" s="119" t="s">
        <v>413</v>
      </c>
      <c r="B8" s="150" t="s">
        <v>220</v>
      </c>
      <c r="C8" s="66">
        <v>89</v>
      </c>
      <c r="D8" s="119" t="s">
        <v>19</v>
      </c>
      <c r="E8" s="119"/>
      <c r="F8" s="119"/>
      <c r="G8" s="119"/>
    </row>
    <row r="9" spans="1:7">
      <c r="A9" s="119" t="s">
        <v>427</v>
      </c>
      <c r="B9" s="150" t="s">
        <v>222</v>
      </c>
      <c r="C9" s="66">
        <v>255</v>
      </c>
      <c r="D9" s="119" t="s">
        <v>20</v>
      </c>
      <c r="E9" s="119"/>
      <c r="F9" s="119"/>
      <c r="G9" s="119"/>
    </row>
    <row r="10" spans="1:7">
      <c r="A10" s="119" t="s">
        <v>439</v>
      </c>
      <c r="B10" s="150" t="s">
        <v>224</v>
      </c>
      <c r="C10" s="66">
        <v>124</v>
      </c>
      <c r="D10" s="119" t="s">
        <v>21</v>
      </c>
      <c r="E10" s="119"/>
      <c r="F10" s="119"/>
      <c r="G10" s="119"/>
    </row>
    <row r="11" spans="1:7">
      <c r="A11" s="119" t="s">
        <v>440</v>
      </c>
      <c r="B11" s="150" t="s">
        <v>16</v>
      </c>
      <c r="C11" s="66">
        <v>89</v>
      </c>
      <c r="D11" s="119" t="s">
        <v>54</v>
      </c>
      <c r="E11" s="119"/>
      <c r="F11" s="119"/>
      <c r="G11" s="119"/>
    </row>
    <row r="12" spans="1:7">
      <c r="A12" s="119" t="s">
        <v>441</v>
      </c>
      <c r="B12" s="150" t="s">
        <v>227</v>
      </c>
      <c r="C12" s="66">
        <v>16</v>
      </c>
      <c r="D12" s="119" t="s">
        <v>22</v>
      </c>
      <c r="E12" s="119"/>
      <c r="F12" s="119"/>
      <c r="G12" s="119"/>
    </row>
    <row r="13" spans="1:7">
      <c r="A13" s="119" t="s">
        <v>442</v>
      </c>
      <c r="B13" s="150" t="s">
        <v>227</v>
      </c>
      <c r="C13" s="66">
        <v>45</v>
      </c>
      <c r="D13" s="119" t="s">
        <v>57</v>
      </c>
      <c r="E13" s="119"/>
      <c r="F13" s="119"/>
      <c r="G13" s="119"/>
    </row>
    <row r="14" spans="1:7">
      <c r="A14" s="119" t="s">
        <v>447</v>
      </c>
      <c r="B14" s="150" t="s">
        <v>228</v>
      </c>
      <c r="C14" s="66">
        <v>424</v>
      </c>
      <c r="D14" s="119" t="s">
        <v>59</v>
      </c>
      <c r="E14" s="119"/>
      <c r="F14" s="119"/>
      <c r="G14" s="119"/>
    </row>
    <row r="15" spans="1:7">
      <c r="A15" s="119" t="s">
        <v>447</v>
      </c>
      <c r="B15" s="150" t="s">
        <v>229</v>
      </c>
      <c r="C15" s="91">
        <v>19</v>
      </c>
      <c r="D15" s="119" t="s">
        <v>61</v>
      </c>
      <c r="E15" s="119"/>
      <c r="F15" s="119"/>
      <c r="G15" s="119"/>
    </row>
    <row r="16" spans="1:7">
      <c r="A16" s="119" t="s">
        <v>448</v>
      </c>
      <c r="B16" s="150" t="s">
        <v>230</v>
      </c>
      <c r="C16" s="91">
        <v>29</v>
      </c>
      <c r="D16" s="119" t="s">
        <v>23</v>
      </c>
      <c r="E16" s="119"/>
      <c r="F16" s="119"/>
      <c r="G16" s="119"/>
    </row>
    <row r="17" spans="1:4">
      <c r="A17" s="119" t="s">
        <v>456</v>
      </c>
      <c r="B17" s="150" t="s">
        <v>231</v>
      </c>
      <c r="C17" s="91">
        <v>49</v>
      </c>
      <c r="D17" s="119" t="s">
        <v>24</v>
      </c>
    </row>
    <row r="18" spans="1:4">
      <c r="A18" s="119" t="s">
        <v>457</v>
      </c>
      <c r="B18" s="150" t="s">
        <v>231</v>
      </c>
      <c r="C18" s="91">
        <v>81</v>
      </c>
      <c r="D18" s="119" t="s">
        <v>25</v>
      </c>
    </row>
    <row r="19" spans="1:4">
      <c r="A19" s="119" t="s">
        <v>461</v>
      </c>
      <c r="B19" s="150" t="s">
        <v>232</v>
      </c>
      <c r="C19" s="91">
        <v>103</v>
      </c>
      <c r="D19" s="119" t="s">
        <v>27</v>
      </c>
    </row>
    <row r="20" spans="1:4">
      <c r="A20" s="119" t="s">
        <v>394</v>
      </c>
      <c r="B20" s="150" t="s">
        <v>232</v>
      </c>
      <c r="C20" s="91">
        <v>23</v>
      </c>
      <c r="D20" s="119" t="s">
        <v>67</v>
      </c>
    </row>
    <row r="21" spans="1:4">
      <c r="A21" s="119" t="s">
        <v>464</v>
      </c>
      <c r="B21" s="150" t="s">
        <v>234</v>
      </c>
      <c r="C21" s="91">
        <v>19</v>
      </c>
      <c r="D21" s="119" t="s">
        <v>69</v>
      </c>
    </row>
    <row r="22" spans="1:4">
      <c r="A22" s="119" t="s">
        <v>428</v>
      </c>
      <c r="B22" s="150" t="s">
        <v>235</v>
      </c>
      <c r="C22" s="91">
        <v>29</v>
      </c>
      <c r="D22" s="119" t="s">
        <v>28</v>
      </c>
    </row>
    <row r="23" spans="1:4">
      <c r="A23" s="119" t="s">
        <v>429</v>
      </c>
      <c r="B23" s="150" t="s">
        <v>236</v>
      </c>
      <c r="C23" s="91">
        <v>49</v>
      </c>
      <c r="D23" s="119" t="s">
        <v>29</v>
      </c>
    </row>
    <row r="24" spans="1:4">
      <c r="A24" s="119" t="s">
        <v>398</v>
      </c>
      <c r="B24" s="150" t="s">
        <v>236</v>
      </c>
      <c r="C24" s="91">
        <v>81</v>
      </c>
      <c r="D24" s="119" t="s">
        <v>30</v>
      </c>
    </row>
    <row r="25" spans="1:4">
      <c r="A25" s="119" t="s">
        <v>399</v>
      </c>
      <c r="B25" s="150" t="s">
        <v>237</v>
      </c>
      <c r="C25" s="91">
        <v>103</v>
      </c>
      <c r="D25" s="119" t="s">
        <v>70</v>
      </c>
    </row>
    <row r="26" spans="1:4">
      <c r="A26" s="119" t="s">
        <v>400</v>
      </c>
      <c r="B26" s="150" t="s">
        <v>243</v>
      </c>
      <c r="C26" s="91">
        <v>19</v>
      </c>
      <c r="D26" s="119" t="s">
        <v>31</v>
      </c>
    </row>
    <row r="27" spans="1:4">
      <c r="A27" s="119" t="s">
        <v>398</v>
      </c>
      <c r="B27" s="150" t="s">
        <v>238</v>
      </c>
      <c r="C27" s="91">
        <v>29</v>
      </c>
      <c r="D27" s="119" t="s">
        <v>32</v>
      </c>
    </row>
    <row r="28" spans="1:4">
      <c r="A28" s="119" t="s">
        <v>399</v>
      </c>
      <c r="B28" s="150" t="s">
        <v>239</v>
      </c>
      <c r="C28" s="91">
        <v>49</v>
      </c>
      <c r="D28" s="119" t="s">
        <v>33</v>
      </c>
    </row>
    <row r="29" spans="1:4">
      <c r="A29" s="119" t="s">
        <v>400</v>
      </c>
      <c r="B29" s="150" t="s">
        <v>240</v>
      </c>
      <c r="C29" s="91">
        <v>81</v>
      </c>
      <c r="D29" s="119" t="s">
        <v>34</v>
      </c>
    </row>
    <row r="30" spans="1:4">
      <c r="A30" s="119" t="s">
        <v>402</v>
      </c>
      <c r="B30" s="150" t="s">
        <v>241</v>
      </c>
      <c r="C30" s="91">
        <v>103</v>
      </c>
      <c r="D30" s="119" t="s">
        <v>71</v>
      </c>
    </row>
    <row r="31" spans="1:4">
      <c r="A31" s="119" t="s">
        <v>403</v>
      </c>
      <c r="B31" s="150" t="s">
        <v>242</v>
      </c>
      <c r="C31" s="91">
        <v>23</v>
      </c>
      <c r="D31" s="119" t="s">
        <v>35</v>
      </c>
    </row>
    <row r="32" spans="1:4">
      <c r="A32" s="119" t="s">
        <v>404</v>
      </c>
      <c r="B32" s="150" t="s">
        <v>244</v>
      </c>
      <c r="C32" s="91">
        <v>127</v>
      </c>
      <c r="D32" s="119" t="s">
        <v>36</v>
      </c>
    </row>
    <row r="33" spans="1:4">
      <c r="A33" s="119" t="s">
        <v>465</v>
      </c>
      <c r="B33" s="150" t="s">
        <v>245</v>
      </c>
      <c r="C33" s="91">
        <v>154</v>
      </c>
      <c r="D33" s="119" t="s">
        <v>72</v>
      </c>
    </row>
    <row r="34" spans="1:4">
      <c r="A34" s="119" t="s">
        <v>473</v>
      </c>
      <c r="B34" s="150" t="s">
        <v>209</v>
      </c>
      <c r="C34" s="91">
        <v>122</v>
      </c>
      <c r="D34" s="119" t="s">
        <v>73</v>
      </c>
    </row>
    <row r="35" spans="1:4">
      <c r="A35" s="119" t="s">
        <v>472</v>
      </c>
      <c r="B35" s="150" t="s">
        <v>211</v>
      </c>
      <c r="C35" s="91">
        <v>122</v>
      </c>
      <c r="D35" s="119" t="s">
        <v>37</v>
      </c>
    </row>
    <row r="36" spans="1:4">
      <c r="A36" s="119" t="s">
        <v>472</v>
      </c>
      <c r="B36" s="150" t="s">
        <v>213</v>
      </c>
      <c r="C36" s="91">
        <v>120</v>
      </c>
      <c r="D36" s="119" t="s">
        <v>38</v>
      </c>
    </row>
    <row r="37" spans="1:4">
      <c r="A37" s="119" t="s">
        <v>423</v>
      </c>
      <c r="B37" s="150" t="s">
        <v>215</v>
      </c>
      <c r="C37" s="91">
        <v>149</v>
      </c>
      <c r="D37" s="119" t="s">
        <v>39</v>
      </c>
    </row>
    <row r="38" spans="1:4">
      <c r="A38" s="119" t="s">
        <v>423</v>
      </c>
      <c r="B38" s="150" t="s">
        <v>217</v>
      </c>
      <c r="C38" s="91">
        <v>154</v>
      </c>
      <c r="D38" s="119" t="s">
        <v>74</v>
      </c>
    </row>
    <row r="39" spans="1:4">
      <c r="A39" s="119" t="s">
        <v>424</v>
      </c>
      <c r="B39" s="150" t="s">
        <v>219</v>
      </c>
      <c r="C39" s="91">
        <v>156</v>
      </c>
      <c r="D39" s="119" t="s">
        <v>40</v>
      </c>
    </row>
    <row r="40" spans="1:4">
      <c r="A40" s="119" t="s">
        <v>425</v>
      </c>
      <c r="B40" s="150" t="s">
        <v>221</v>
      </c>
      <c r="C40" s="91">
        <v>154</v>
      </c>
      <c r="D40" s="119" t="s">
        <v>75</v>
      </c>
    </row>
    <row r="41" spans="1:4">
      <c r="A41" s="119" t="s">
        <v>425</v>
      </c>
      <c r="B41" s="150" t="s">
        <v>246</v>
      </c>
      <c r="C41" s="91">
        <v>55</v>
      </c>
      <c r="D41" s="119" t="s">
        <v>41</v>
      </c>
    </row>
    <row r="42" spans="1:4">
      <c r="A42" s="119" t="s">
        <v>395</v>
      </c>
      <c r="B42" s="150" t="s">
        <v>223</v>
      </c>
      <c r="C42" s="91">
        <v>62</v>
      </c>
      <c r="D42" s="119" t="s">
        <v>42</v>
      </c>
    </row>
    <row r="43" spans="1:4">
      <c r="A43" s="119" t="s">
        <v>396</v>
      </c>
      <c r="B43" s="150" t="s">
        <v>226</v>
      </c>
      <c r="C43" s="91">
        <v>109</v>
      </c>
      <c r="D43" s="119" t="s">
        <v>44</v>
      </c>
    </row>
    <row r="44" spans="1:4">
      <c r="A44" s="119" t="s">
        <v>397</v>
      </c>
      <c r="B44" s="150" t="s">
        <v>249</v>
      </c>
      <c r="C44" s="91">
        <v>58</v>
      </c>
      <c r="D44" s="119" t="s">
        <v>46</v>
      </c>
    </row>
    <row r="45" spans="1:4">
      <c r="A45" s="119" t="s">
        <v>397</v>
      </c>
      <c r="B45" s="150" t="s">
        <v>251</v>
      </c>
      <c r="C45" s="91">
        <v>117</v>
      </c>
      <c r="D45" s="119" t="s">
        <v>47</v>
      </c>
    </row>
    <row r="46" spans="1:4">
      <c r="A46" s="119" t="s">
        <v>419</v>
      </c>
      <c r="B46" s="150" t="s">
        <v>247</v>
      </c>
      <c r="C46" s="91">
        <v>124</v>
      </c>
      <c r="D46" s="119" t="s">
        <v>48</v>
      </c>
    </row>
    <row r="47" spans="1:4">
      <c r="A47" s="119" t="s">
        <v>419</v>
      </c>
      <c r="B47" s="150" t="s">
        <v>247</v>
      </c>
      <c r="C47" s="91">
        <v>230</v>
      </c>
      <c r="D47" s="119" t="s">
        <v>76</v>
      </c>
    </row>
    <row r="48" spans="1:4">
      <c r="A48" s="119" t="s">
        <v>419</v>
      </c>
      <c r="B48" s="150" t="s">
        <v>254</v>
      </c>
      <c r="C48" s="91">
        <v>230</v>
      </c>
      <c r="D48" s="119" t="s">
        <v>49</v>
      </c>
    </row>
    <row r="49" spans="1:4">
      <c r="A49" s="119" t="s">
        <v>419</v>
      </c>
      <c r="B49" s="150" t="s">
        <v>248</v>
      </c>
      <c r="C49" s="91">
        <v>55</v>
      </c>
      <c r="D49" s="119" t="s">
        <v>50</v>
      </c>
    </row>
    <row r="50" spans="1:4">
      <c r="A50" s="119" t="s">
        <v>430</v>
      </c>
      <c r="B50" s="150" t="s">
        <v>257</v>
      </c>
      <c r="C50" s="91">
        <v>55</v>
      </c>
      <c r="D50" s="119" t="s">
        <v>51</v>
      </c>
    </row>
    <row r="51" spans="1:4">
      <c r="A51" s="119" t="s">
        <v>431</v>
      </c>
      <c r="B51" s="150" t="s">
        <v>259</v>
      </c>
      <c r="C51" s="91">
        <v>62</v>
      </c>
      <c r="D51" s="119" t="s">
        <v>77</v>
      </c>
    </row>
    <row r="52" spans="1:4">
      <c r="A52" s="119" t="s">
        <v>432</v>
      </c>
      <c r="B52" s="150" t="s">
        <v>261</v>
      </c>
      <c r="C52" s="91">
        <v>62</v>
      </c>
      <c r="D52" s="119" t="s">
        <v>52</v>
      </c>
    </row>
    <row r="53" spans="1:4">
      <c r="A53" s="119" t="s">
        <v>432</v>
      </c>
      <c r="B53" s="150" t="s">
        <v>263</v>
      </c>
      <c r="C53" s="91">
        <v>109</v>
      </c>
      <c r="D53" s="119" t="s">
        <v>78</v>
      </c>
    </row>
    <row r="54" spans="1:4">
      <c r="A54" s="119" t="s">
        <v>433</v>
      </c>
      <c r="B54" s="150" t="s">
        <v>252</v>
      </c>
      <c r="C54" s="91">
        <v>109</v>
      </c>
      <c r="D54" s="119" t="s">
        <v>79</v>
      </c>
    </row>
    <row r="55" spans="1:4">
      <c r="A55" s="119" t="s">
        <v>433</v>
      </c>
      <c r="B55" s="150" t="s">
        <v>255</v>
      </c>
      <c r="C55" s="91">
        <v>230</v>
      </c>
      <c r="D55" s="119" t="s">
        <v>80</v>
      </c>
    </row>
    <row r="56" spans="1:4">
      <c r="A56" s="119" t="s">
        <v>434</v>
      </c>
      <c r="B56" s="150" t="s">
        <v>256</v>
      </c>
      <c r="C56" s="91">
        <v>45</v>
      </c>
      <c r="D56" s="119" t="s">
        <v>53</v>
      </c>
    </row>
    <row r="57" spans="1:4">
      <c r="A57" s="119" t="s">
        <v>434</v>
      </c>
      <c r="B57" s="150" t="s">
        <v>266</v>
      </c>
      <c r="C57" s="91">
        <v>58</v>
      </c>
      <c r="D57" s="119" t="s">
        <v>81</v>
      </c>
    </row>
    <row r="58" spans="1:4">
      <c r="A58" s="119" t="s">
        <v>435</v>
      </c>
      <c r="B58" s="150" t="s">
        <v>258</v>
      </c>
      <c r="C58" s="91">
        <v>60</v>
      </c>
      <c r="D58" s="119" t="s">
        <v>55</v>
      </c>
    </row>
    <row r="59" spans="1:4">
      <c r="A59" s="119" t="s">
        <v>435</v>
      </c>
      <c r="B59" s="150" t="s">
        <v>260</v>
      </c>
      <c r="C59" s="91">
        <v>74</v>
      </c>
      <c r="D59" s="119" t="s">
        <v>56</v>
      </c>
    </row>
    <row r="60" spans="1:4">
      <c r="A60" s="119" t="s">
        <v>449</v>
      </c>
      <c r="B60" s="150" t="s">
        <v>269</v>
      </c>
      <c r="C60" s="91">
        <v>420</v>
      </c>
      <c r="D60" s="119" t="s">
        <v>58</v>
      </c>
    </row>
    <row r="61" spans="1:4">
      <c r="A61" s="119" t="s">
        <v>450</v>
      </c>
      <c r="B61" s="150"/>
      <c r="C61" s="91">
        <v>136</v>
      </c>
      <c r="D61" s="119" t="s">
        <v>60</v>
      </c>
    </row>
    <row r="62" spans="1:4">
      <c r="A62" s="119" t="s">
        <v>450</v>
      </c>
      <c r="B62" s="150" t="s">
        <v>262</v>
      </c>
      <c r="C62" s="91">
        <v>55</v>
      </c>
      <c r="D62" s="119" t="s">
        <v>82</v>
      </c>
    </row>
    <row r="63" spans="1:4">
      <c r="A63" s="119" t="s">
        <v>451</v>
      </c>
      <c r="B63" s="150" t="s">
        <v>265</v>
      </c>
      <c r="C63" s="91">
        <v>124</v>
      </c>
      <c r="D63" s="119" t="s">
        <v>83</v>
      </c>
    </row>
    <row r="64" spans="1:4">
      <c r="A64" s="119" t="s">
        <v>451</v>
      </c>
      <c r="B64" s="150" t="s">
        <v>265</v>
      </c>
      <c r="C64" s="91">
        <v>46</v>
      </c>
      <c r="D64" s="119" t="s">
        <v>84</v>
      </c>
    </row>
    <row r="65" spans="1:4">
      <c r="A65" s="119" t="s">
        <v>452</v>
      </c>
      <c r="B65" s="150" t="s">
        <v>265</v>
      </c>
      <c r="C65" s="91">
        <v>65</v>
      </c>
      <c r="D65" s="119" t="s">
        <v>62</v>
      </c>
    </row>
    <row r="66" spans="1:4">
      <c r="A66" s="119" t="s">
        <v>453</v>
      </c>
      <c r="B66" s="150" t="s">
        <v>267</v>
      </c>
      <c r="C66" s="91">
        <v>69</v>
      </c>
      <c r="D66" s="119" t="s">
        <v>63</v>
      </c>
    </row>
    <row r="67" spans="1:4">
      <c r="A67" s="119" t="s">
        <v>408</v>
      </c>
      <c r="B67" s="150" t="s">
        <v>268</v>
      </c>
      <c r="C67" s="91">
        <v>70</v>
      </c>
      <c r="D67" s="119" t="s">
        <v>64</v>
      </c>
    </row>
    <row r="68" spans="1:4">
      <c r="A68" s="119" t="s">
        <v>414</v>
      </c>
      <c r="B68" s="150" t="s">
        <v>273</v>
      </c>
      <c r="C68" s="91">
        <v>71</v>
      </c>
      <c r="D68" s="119" t="s">
        <v>65</v>
      </c>
    </row>
    <row r="69" spans="1:4">
      <c r="A69" s="119" t="s">
        <v>415</v>
      </c>
      <c r="B69" s="150" t="s">
        <v>233</v>
      </c>
      <c r="C69" s="91">
        <v>93</v>
      </c>
      <c r="D69" s="119" t="s">
        <v>66</v>
      </c>
    </row>
    <row r="70" spans="1:4">
      <c r="A70" s="119" t="s">
        <v>420</v>
      </c>
      <c r="B70" s="150" t="s">
        <v>270</v>
      </c>
      <c r="C70" s="91">
        <v>112</v>
      </c>
      <c r="D70" s="119" t="s">
        <v>85</v>
      </c>
    </row>
    <row r="71" spans="1:4">
      <c r="A71" s="119" t="s">
        <v>470</v>
      </c>
      <c r="B71" s="150" t="s">
        <v>270</v>
      </c>
      <c r="C71" s="91">
        <v>126</v>
      </c>
      <c r="D71" s="119" t="s">
        <v>68</v>
      </c>
    </row>
    <row r="72" spans="1:4">
      <c r="A72" s="119" t="s">
        <v>436</v>
      </c>
      <c r="B72" s="150" t="s">
        <v>272</v>
      </c>
      <c r="C72" s="91">
        <v>65</v>
      </c>
      <c r="D72" s="119"/>
    </row>
    <row r="73" spans="1:4">
      <c r="A73" s="119" t="s">
        <v>437</v>
      </c>
      <c r="B73" s="150" t="s">
        <v>278</v>
      </c>
      <c r="C73" s="91">
        <v>72</v>
      </c>
      <c r="D73" s="119"/>
    </row>
    <row r="74" spans="1:4">
      <c r="A74" s="119" t="s">
        <v>438</v>
      </c>
      <c r="B74" s="150" t="s">
        <v>214</v>
      </c>
      <c r="C74" s="91">
        <v>112</v>
      </c>
      <c r="D74" s="119"/>
    </row>
    <row r="75" spans="1:4">
      <c r="A75" s="119" t="s">
        <v>443</v>
      </c>
      <c r="B75" s="150" t="s">
        <v>264</v>
      </c>
      <c r="C75" s="91">
        <v>65</v>
      </c>
      <c r="D75" s="119"/>
    </row>
    <row r="76" spans="1:4">
      <c r="A76" s="119" t="s">
        <v>449</v>
      </c>
      <c r="B76" s="150" t="s">
        <v>264</v>
      </c>
      <c r="C76" s="91">
        <v>69</v>
      </c>
      <c r="D76" s="119"/>
    </row>
    <row r="77" spans="1:4">
      <c r="A77" s="119" t="s">
        <v>452</v>
      </c>
      <c r="B77" s="151"/>
      <c r="C77" s="91">
        <v>70</v>
      </c>
      <c r="D77" s="119"/>
    </row>
    <row r="78" spans="1:4">
      <c r="A78" s="119" t="s">
        <v>454</v>
      </c>
      <c r="B78" s="150" t="s">
        <v>236</v>
      </c>
      <c r="C78" s="91">
        <v>71</v>
      </c>
      <c r="D78" s="119"/>
    </row>
    <row r="79" spans="1:4">
      <c r="A79" s="119" t="s">
        <v>455</v>
      </c>
      <c r="B79" s="150" t="s">
        <v>236</v>
      </c>
      <c r="C79" s="91">
        <v>93</v>
      </c>
      <c r="D79" s="119"/>
    </row>
    <row r="80" spans="1:4">
      <c r="A80" s="119" t="s">
        <v>421</v>
      </c>
      <c r="B80" s="150" t="s">
        <v>271</v>
      </c>
      <c r="C80" s="91">
        <v>126</v>
      </c>
      <c r="D80" s="119"/>
    </row>
    <row r="81" spans="1:3">
      <c r="A81" s="119" t="s">
        <v>426</v>
      </c>
      <c r="B81" s="150" t="s">
        <v>271</v>
      </c>
      <c r="C81" s="91">
        <v>65</v>
      </c>
    </row>
    <row r="82" spans="1:3">
      <c r="A82" s="119" t="s">
        <v>444</v>
      </c>
      <c r="B82" s="150" t="s">
        <v>233</v>
      </c>
      <c r="C82" s="91">
        <v>70</v>
      </c>
    </row>
    <row r="83" spans="1:3">
      <c r="A83" s="119" t="s">
        <v>445</v>
      </c>
      <c r="B83" s="150" t="s">
        <v>233</v>
      </c>
      <c r="C83" s="91">
        <v>93</v>
      </c>
    </row>
    <row r="84" spans="1:3">
      <c r="A84" s="119" t="s">
        <v>405</v>
      </c>
      <c r="B84" s="150" t="s">
        <v>281</v>
      </c>
      <c r="C84" s="91">
        <v>126</v>
      </c>
    </row>
    <row r="85" spans="1:3">
      <c r="A85" s="119" t="s">
        <v>409</v>
      </c>
      <c r="B85" s="150" t="s">
        <v>225</v>
      </c>
      <c r="C85" s="91">
        <v>89</v>
      </c>
    </row>
    <row r="86" spans="1:3">
      <c r="A86" s="119" t="s">
        <v>410</v>
      </c>
      <c r="B86" s="150" t="s">
        <v>275</v>
      </c>
      <c r="C86" s="91">
        <v>255</v>
      </c>
    </row>
    <row r="87" spans="1:3">
      <c r="A87" s="119" t="s">
        <v>410</v>
      </c>
      <c r="B87" s="150" t="s">
        <v>276</v>
      </c>
      <c r="C87" s="91">
        <v>255</v>
      </c>
    </row>
    <row r="88" spans="1:3">
      <c r="A88" s="119" t="s">
        <v>411</v>
      </c>
      <c r="B88" s="150" t="s">
        <v>276</v>
      </c>
      <c r="C88" s="91">
        <v>246</v>
      </c>
    </row>
    <row r="89" spans="1:3">
      <c r="A89" s="119" t="s">
        <v>412</v>
      </c>
      <c r="B89" s="150" t="s">
        <v>277</v>
      </c>
      <c r="C89" s="91">
        <v>115</v>
      </c>
    </row>
    <row r="90" spans="1:3">
      <c r="A90" s="119" t="s">
        <v>416</v>
      </c>
      <c r="B90" s="150" t="s">
        <v>279</v>
      </c>
      <c r="C90" s="91">
        <v>127</v>
      </c>
    </row>
    <row r="91" spans="1:3">
      <c r="A91" s="119" t="s">
        <v>485</v>
      </c>
      <c r="B91" s="150" t="s">
        <v>286</v>
      </c>
      <c r="C91" s="91">
        <v>216</v>
      </c>
    </row>
    <row r="92" spans="1:3">
      <c r="A92" s="119" t="s">
        <v>422</v>
      </c>
      <c r="B92" s="150" t="s">
        <v>286</v>
      </c>
      <c r="C92" s="91">
        <v>104</v>
      </c>
    </row>
    <row r="93" spans="1:3">
      <c r="A93" s="119" t="s">
        <v>471</v>
      </c>
      <c r="B93" s="150" t="s">
        <v>280</v>
      </c>
      <c r="C93" s="92" t="s">
        <v>554</v>
      </c>
    </row>
    <row r="94" spans="1:3">
      <c r="A94" s="119" t="s">
        <v>436</v>
      </c>
      <c r="B94" s="150" t="s">
        <v>282</v>
      </c>
      <c r="C94" s="92" t="s">
        <v>555</v>
      </c>
    </row>
    <row r="95" spans="1:3">
      <c r="A95" s="119" t="s">
        <v>446</v>
      </c>
      <c r="B95" s="150" t="s">
        <v>283</v>
      </c>
      <c r="C95" s="91">
        <v>762</v>
      </c>
    </row>
    <row r="96" spans="1:3">
      <c r="A96" s="119" t="s">
        <v>458</v>
      </c>
      <c r="B96" s="150" t="s">
        <v>284</v>
      </c>
      <c r="C96" s="91">
        <v>567</v>
      </c>
    </row>
    <row r="97" spans="1:3">
      <c r="A97" s="119" t="s">
        <v>466</v>
      </c>
      <c r="B97" s="150" t="s">
        <v>285</v>
      </c>
      <c r="C97" s="91">
        <v>769</v>
      </c>
    </row>
    <row r="98" spans="1:3">
      <c r="A98" s="119" t="s">
        <v>406</v>
      </c>
      <c r="B98" s="150" t="s">
        <v>285</v>
      </c>
      <c r="C98" s="91">
        <v>766</v>
      </c>
    </row>
    <row r="99" spans="1:3">
      <c r="A99" s="119" t="s">
        <v>406</v>
      </c>
      <c r="B99" s="150" t="s">
        <v>212</v>
      </c>
      <c r="C99" s="141">
        <v>125</v>
      </c>
    </row>
    <row r="100" spans="1:3">
      <c r="A100" s="119" t="s">
        <v>406</v>
      </c>
      <c r="B100" s="150" t="s">
        <v>291</v>
      </c>
      <c r="C100" s="141">
        <v>125</v>
      </c>
    </row>
    <row r="101" spans="1:3">
      <c r="A101" s="119" t="s">
        <v>417</v>
      </c>
      <c r="B101" s="150" t="s">
        <v>293</v>
      </c>
      <c r="C101" s="141">
        <v>148</v>
      </c>
    </row>
    <row r="102" spans="1:3">
      <c r="A102" s="119" t="s">
        <v>458</v>
      </c>
      <c r="B102" s="150" t="s">
        <v>210</v>
      </c>
      <c r="C102" s="141">
        <v>168</v>
      </c>
    </row>
    <row r="103" spans="1:3">
      <c r="A103" s="119" t="s">
        <v>458</v>
      </c>
      <c r="B103" s="150" t="s">
        <v>323</v>
      </c>
      <c r="C103" s="141">
        <v>428</v>
      </c>
    </row>
    <row r="104" spans="1:3">
      <c r="A104" s="119" t="s">
        <v>459</v>
      </c>
      <c r="B104" s="150" t="s">
        <v>295</v>
      </c>
      <c r="C104" s="124">
        <v>1</v>
      </c>
    </row>
    <row r="105" spans="1:3">
      <c r="A105" s="119" t="s">
        <v>460</v>
      </c>
      <c r="B105" s="150" t="s">
        <v>297</v>
      </c>
      <c r="C105" s="124">
        <v>7</v>
      </c>
    </row>
    <row r="106" spans="1:3">
      <c r="A106" s="119" t="s">
        <v>462</v>
      </c>
      <c r="B106" s="150" t="s">
        <v>287</v>
      </c>
      <c r="C106" s="124">
        <v>14</v>
      </c>
    </row>
    <row r="107" spans="1:3">
      <c r="A107" s="119" t="s">
        <v>463</v>
      </c>
      <c r="B107" s="150" t="s">
        <v>226</v>
      </c>
      <c r="C107" s="124">
        <v>15</v>
      </c>
    </row>
    <row r="108" spans="1:3">
      <c r="A108" s="119" t="s">
        <v>467</v>
      </c>
      <c r="B108" s="150" t="s">
        <v>288</v>
      </c>
      <c r="C108" s="124">
        <v>16</v>
      </c>
    </row>
    <row r="109" spans="1:3">
      <c r="A109" s="119" t="s">
        <v>468</v>
      </c>
      <c r="B109" s="150" t="s">
        <v>289</v>
      </c>
      <c r="C109" s="124">
        <v>15</v>
      </c>
    </row>
    <row r="110" spans="1:3">
      <c r="A110" s="119" t="s">
        <v>663</v>
      </c>
      <c r="B110" s="150" t="s">
        <v>290</v>
      </c>
      <c r="C110" s="124">
        <v>17</v>
      </c>
    </row>
    <row r="111" spans="1:3">
      <c r="A111" s="119" t="s">
        <v>663</v>
      </c>
      <c r="B111" s="150" t="s">
        <v>302</v>
      </c>
      <c r="C111" s="124">
        <v>22</v>
      </c>
    </row>
    <row r="112" spans="1:3">
      <c r="A112" s="119" t="s">
        <v>664</v>
      </c>
      <c r="B112" s="150" t="s">
        <v>304</v>
      </c>
      <c r="C112" s="124">
        <v>33</v>
      </c>
    </row>
    <row r="113" spans="1:3">
      <c r="A113" s="119" t="s">
        <v>665</v>
      </c>
      <c r="B113" s="150" t="s">
        <v>292</v>
      </c>
      <c r="C113" s="124">
        <v>35</v>
      </c>
    </row>
    <row r="114" spans="1:3">
      <c r="A114" s="119" t="s">
        <v>665</v>
      </c>
      <c r="B114" s="150" t="s">
        <v>307</v>
      </c>
      <c r="C114" s="124">
        <v>35</v>
      </c>
    </row>
    <row r="115" spans="1:3">
      <c r="A115" s="119" t="s">
        <v>666</v>
      </c>
      <c r="B115" s="150" t="s">
        <v>309</v>
      </c>
      <c r="C115" s="124">
        <v>36</v>
      </c>
    </row>
    <row r="116" spans="1:3">
      <c r="A116" s="119" t="s">
        <v>667</v>
      </c>
      <c r="B116" s="150" t="s">
        <v>311</v>
      </c>
      <c r="C116" s="124">
        <v>37</v>
      </c>
    </row>
    <row r="117" spans="1:3">
      <c r="A117" s="119" t="s">
        <v>668</v>
      </c>
      <c r="B117" s="150" t="s">
        <v>294</v>
      </c>
      <c r="C117" s="124">
        <v>39</v>
      </c>
    </row>
    <row r="118" spans="1:3">
      <c r="A118" s="119" t="s">
        <v>669</v>
      </c>
      <c r="B118" s="150" t="s">
        <v>314</v>
      </c>
      <c r="C118" s="124">
        <v>41</v>
      </c>
    </row>
    <row r="119" spans="1:3">
      <c r="A119" s="119" t="s">
        <v>670</v>
      </c>
      <c r="B119" s="150" t="s">
        <v>296</v>
      </c>
      <c r="C119" s="124">
        <v>42</v>
      </c>
    </row>
    <row r="120" spans="1:3">
      <c r="A120" s="119" t="s">
        <v>671</v>
      </c>
      <c r="B120" s="150" t="s">
        <v>316</v>
      </c>
      <c r="C120" s="125">
        <v>42</v>
      </c>
    </row>
    <row r="121" spans="1:3">
      <c r="A121" s="119" t="s">
        <v>403</v>
      </c>
      <c r="B121" s="150" t="s">
        <v>298</v>
      </c>
      <c r="C121" s="124">
        <v>43</v>
      </c>
    </row>
    <row r="122" spans="1:3">
      <c r="A122" s="119" t="s">
        <v>672</v>
      </c>
      <c r="B122" s="150" t="s">
        <v>300</v>
      </c>
      <c r="C122" s="124">
        <v>43</v>
      </c>
    </row>
    <row r="123" spans="1:3">
      <c r="A123" s="119" t="s">
        <v>672</v>
      </c>
      <c r="B123" s="150" t="s">
        <v>264</v>
      </c>
      <c r="C123" s="124">
        <v>43</v>
      </c>
    </row>
    <row r="124" spans="1:3">
      <c r="A124" s="119" t="s">
        <v>673</v>
      </c>
      <c r="B124" s="150" t="s">
        <v>253</v>
      </c>
      <c r="C124" s="124">
        <v>51</v>
      </c>
    </row>
    <row r="125" spans="1:3">
      <c r="A125" s="119" t="s">
        <v>674</v>
      </c>
      <c r="B125" s="150" t="s">
        <v>308</v>
      </c>
      <c r="C125" s="124">
        <v>75</v>
      </c>
    </row>
    <row r="126" spans="1:3">
      <c r="A126" s="119" t="s">
        <v>675</v>
      </c>
      <c r="B126" s="150" t="s">
        <v>301</v>
      </c>
      <c r="C126" s="124">
        <v>48</v>
      </c>
    </row>
    <row r="127" spans="1:3">
      <c r="A127" s="119" t="s">
        <v>676</v>
      </c>
      <c r="B127" s="150" t="s">
        <v>320</v>
      </c>
      <c r="C127" s="124">
        <v>76</v>
      </c>
    </row>
    <row r="128" spans="1:3">
      <c r="A128" s="119" t="s">
        <v>672</v>
      </c>
      <c r="B128" s="150" t="s">
        <v>303</v>
      </c>
      <c r="C128" s="124">
        <v>83</v>
      </c>
    </row>
    <row r="129" spans="1:3">
      <c r="A129" s="119" t="s">
        <v>677</v>
      </c>
      <c r="B129" s="150" t="s">
        <v>322</v>
      </c>
      <c r="C129" s="124">
        <v>85</v>
      </c>
    </row>
    <row r="130" spans="1:3">
      <c r="A130" s="119" t="s">
        <v>678</v>
      </c>
      <c r="B130" s="150" t="s">
        <v>299</v>
      </c>
      <c r="C130" s="124">
        <v>88</v>
      </c>
    </row>
    <row r="131" spans="1:3">
      <c r="A131" s="119" t="s">
        <v>679</v>
      </c>
      <c r="B131" s="150" t="s">
        <v>305</v>
      </c>
      <c r="C131" s="124">
        <v>90</v>
      </c>
    </row>
    <row r="132" spans="1:3">
      <c r="A132" s="119" t="s">
        <v>680</v>
      </c>
      <c r="B132" s="150" t="s">
        <v>310</v>
      </c>
      <c r="C132" s="124">
        <v>90</v>
      </c>
    </row>
    <row r="133" spans="1:3">
      <c r="A133" s="119" t="s">
        <v>681</v>
      </c>
      <c r="B133" s="150" t="s">
        <v>325</v>
      </c>
      <c r="C133" s="124">
        <v>91</v>
      </c>
    </row>
    <row r="134" spans="1:3">
      <c r="A134" s="119" t="s">
        <v>682</v>
      </c>
      <c r="B134" s="150" t="s">
        <v>327</v>
      </c>
      <c r="C134" s="124">
        <v>92</v>
      </c>
    </row>
    <row r="135" spans="1:3">
      <c r="A135" s="119" t="s">
        <v>683</v>
      </c>
      <c r="B135" s="150" t="s">
        <v>348</v>
      </c>
      <c r="C135" s="119"/>
    </row>
    <row r="136" spans="1:3">
      <c r="A136" s="119" t="s">
        <v>684</v>
      </c>
      <c r="B136" s="150" t="s">
        <v>329</v>
      </c>
      <c r="C136" s="119"/>
    </row>
    <row r="137" spans="1:3">
      <c r="A137" s="119" t="s">
        <v>685</v>
      </c>
      <c r="B137" s="150" t="s">
        <v>312</v>
      </c>
      <c r="C137" s="119"/>
    </row>
    <row r="138" spans="1:3">
      <c r="A138" s="119" t="s">
        <v>686</v>
      </c>
      <c r="B138" s="150" t="s">
        <v>332</v>
      </c>
      <c r="C138" s="119"/>
    </row>
    <row r="139" spans="1:3">
      <c r="A139" s="119" t="s">
        <v>687</v>
      </c>
      <c r="B139" s="150" t="s">
        <v>313</v>
      </c>
      <c r="C139" s="119"/>
    </row>
    <row r="140" spans="1:3">
      <c r="A140" s="119" t="s">
        <v>688</v>
      </c>
      <c r="B140" s="150" t="s">
        <v>351</v>
      </c>
      <c r="C140" s="119"/>
    </row>
    <row r="141" spans="1:3">
      <c r="A141" s="119" t="s">
        <v>689</v>
      </c>
      <c r="B141" s="150" t="s">
        <v>315</v>
      </c>
      <c r="C141" s="119"/>
    </row>
    <row r="142" spans="1:3">
      <c r="A142" s="119" t="s">
        <v>690</v>
      </c>
      <c r="B142" s="150" t="s">
        <v>315</v>
      </c>
      <c r="C142" s="119"/>
    </row>
    <row r="143" spans="1:3">
      <c r="A143" s="119" t="s">
        <v>691</v>
      </c>
      <c r="B143" s="150" t="s">
        <v>335</v>
      </c>
      <c r="C143" s="119"/>
    </row>
    <row r="144" spans="1:3">
      <c r="A144" s="119" t="s">
        <v>692</v>
      </c>
      <c r="B144" s="150" t="s">
        <v>317</v>
      </c>
      <c r="C144" s="119"/>
    </row>
    <row r="145" spans="1:2">
      <c r="A145" s="119" t="s">
        <v>693</v>
      </c>
      <c r="B145" s="150" t="s">
        <v>338</v>
      </c>
    </row>
    <row r="146" spans="1:2">
      <c r="A146" s="119" t="s">
        <v>694</v>
      </c>
      <c r="B146" s="150" t="s">
        <v>318</v>
      </c>
    </row>
    <row r="147" spans="1:2">
      <c r="A147" s="119" t="s">
        <v>695</v>
      </c>
      <c r="B147" s="150" t="s">
        <v>319</v>
      </c>
    </row>
    <row r="148" spans="1:2">
      <c r="A148" s="119" t="s">
        <v>696</v>
      </c>
      <c r="B148" s="150" t="s">
        <v>319</v>
      </c>
    </row>
    <row r="149" spans="1:2">
      <c r="A149" s="119" t="s">
        <v>697</v>
      </c>
      <c r="B149" s="150" t="s">
        <v>319</v>
      </c>
    </row>
    <row r="150" spans="1:2">
      <c r="A150" s="119" t="s">
        <v>698</v>
      </c>
      <c r="B150" s="150" t="s">
        <v>319</v>
      </c>
    </row>
    <row r="151" spans="1:2">
      <c r="A151" s="119" t="s">
        <v>699</v>
      </c>
      <c r="B151" s="150" t="s">
        <v>321</v>
      </c>
    </row>
    <row r="152" spans="1:2">
      <c r="A152" s="119" t="s">
        <v>700</v>
      </c>
      <c r="B152" s="150" t="s">
        <v>266</v>
      </c>
    </row>
    <row r="153" spans="1:2">
      <c r="A153" s="119" t="s">
        <v>701</v>
      </c>
      <c r="B153" s="150" t="s">
        <v>339</v>
      </c>
    </row>
    <row r="154" spans="1:2">
      <c r="A154" s="119" t="s">
        <v>701</v>
      </c>
      <c r="B154" s="150" t="s">
        <v>324</v>
      </c>
    </row>
    <row r="155" spans="1:2">
      <c r="A155" s="119" t="s">
        <v>702</v>
      </c>
      <c r="B155" s="150" t="s">
        <v>344</v>
      </c>
    </row>
    <row r="156" spans="1:2">
      <c r="A156" s="119" t="s">
        <v>703</v>
      </c>
      <c r="B156" s="150" t="s">
        <v>326</v>
      </c>
    </row>
    <row r="157" spans="1:2">
      <c r="A157" s="119" t="s">
        <v>704</v>
      </c>
      <c r="B157" s="150" t="s">
        <v>328</v>
      </c>
    </row>
    <row r="158" spans="1:2">
      <c r="A158" s="119" t="s">
        <v>705</v>
      </c>
      <c r="B158" s="150" t="s">
        <v>330</v>
      </c>
    </row>
    <row r="159" spans="1:2">
      <c r="A159" s="119" t="s">
        <v>706</v>
      </c>
      <c r="B159" s="150" t="s">
        <v>331</v>
      </c>
    </row>
    <row r="160" spans="1:2">
      <c r="A160" s="119" t="s">
        <v>707</v>
      </c>
      <c r="B160" s="150" t="s">
        <v>333</v>
      </c>
    </row>
    <row r="161" spans="1:2">
      <c r="A161" s="119" t="s">
        <v>708</v>
      </c>
      <c r="B161" s="150" t="s">
        <v>333</v>
      </c>
    </row>
    <row r="162" spans="1:2">
      <c r="A162" s="119" t="s">
        <v>709</v>
      </c>
      <c r="B162" s="150" t="s">
        <v>334</v>
      </c>
    </row>
    <row r="163" spans="1:2">
      <c r="A163" s="119" t="s">
        <v>710</v>
      </c>
      <c r="B163" s="150" t="s">
        <v>336</v>
      </c>
    </row>
    <row r="164" spans="1:2">
      <c r="A164" s="119" t="s">
        <v>711</v>
      </c>
      <c r="B164" s="150" t="s">
        <v>274</v>
      </c>
    </row>
    <row r="165" spans="1:2">
      <c r="A165" s="119" t="s">
        <v>712</v>
      </c>
      <c r="B165" s="150" t="s">
        <v>306</v>
      </c>
    </row>
    <row r="166" spans="1:2">
      <c r="A166" s="119" t="s">
        <v>713</v>
      </c>
      <c r="B166" s="150" t="s">
        <v>337</v>
      </c>
    </row>
    <row r="167" spans="1:2">
      <c r="A167" s="119" t="s">
        <v>714</v>
      </c>
      <c r="B167" s="150" t="s">
        <v>340</v>
      </c>
    </row>
    <row r="168" spans="1:2">
      <c r="A168" s="119" t="s">
        <v>713</v>
      </c>
      <c r="B168" s="150" t="s">
        <v>341</v>
      </c>
    </row>
    <row r="169" spans="1:2">
      <c r="A169" s="119" t="s">
        <v>715</v>
      </c>
      <c r="B169" s="150" t="s">
        <v>342</v>
      </c>
    </row>
    <row r="170" spans="1:2">
      <c r="A170" s="119" t="s">
        <v>716</v>
      </c>
      <c r="B170" s="150" t="s">
        <v>343</v>
      </c>
    </row>
    <row r="171" spans="1:2">
      <c r="A171" s="119" t="s">
        <v>717</v>
      </c>
      <c r="B171" s="150" t="s">
        <v>345</v>
      </c>
    </row>
    <row r="172" spans="1:2">
      <c r="A172" s="119" t="s">
        <v>717</v>
      </c>
      <c r="B172" s="150" t="s">
        <v>346</v>
      </c>
    </row>
    <row r="173" spans="1:2">
      <c r="A173" s="119" t="s">
        <v>718</v>
      </c>
      <c r="B173" s="150" t="s">
        <v>349</v>
      </c>
    </row>
    <row r="174" spans="1:2">
      <c r="A174" s="119" t="s">
        <v>719</v>
      </c>
      <c r="B174" s="150" t="s">
        <v>350</v>
      </c>
    </row>
    <row r="175" spans="1:2">
      <c r="A175" s="119" t="s">
        <v>720</v>
      </c>
      <c r="B175" s="150" t="s">
        <v>352</v>
      </c>
    </row>
    <row r="176" spans="1:2">
      <c r="A176" s="119" t="s">
        <v>719</v>
      </c>
      <c r="B176" s="150" t="s">
        <v>352</v>
      </c>
    </row>
    <row r="177" spans="1:2">
      <c r="A177" s="119" t="s">
        <v>721</v>
      </c>
      <c r="B177" s="150" t="s">
        <v>353</v>
      </c>
    </row>
    <row r="178" spans="1:2">
      <c r="A178" s="119" t="s">
        <v>722</v>
      </c>
      <c r="B178" s="150" t="s">
        <v>329</v>
      </c>
    </row>
    <row r="179" spans="1:2">
      <c r="A179" s="119" t="s">
        <v>722</v>
      </c>
      <c r="B179" s="150" t="s">
        <v>364</v>
      </c>
    </row>
    <row r="180" spans="1:2">
      <c r="A180" s="119" t="s">
        <v>723</v>
      </c>
      <c r="B180" s="150" t="s">
        <v>364</v>
      </c>
    </row>
    <row r="181" spans="1:2">
      <c r="A181" s="119" t="s">
        <v>723</v>
      </c>
      <c r="B181" s="150" t="s">
        <v>364</v>
      </c>
    </row>
    <row r="182" spans="1:2">
      <c r="A182" s="119" t="s">
        <v>724</v>
      </c>
      <c r="B182" s="150" t="s">
        <v>354</v>
      </c>
    </row>
    <row r="183" spans="1:2">
      <c r="A183" s="119" t="s">
        <v>725</v>
      </c>
      <c r="B183" s="150" t="s">
        <v>355</v>
      </c>
    </row>
    <row r="184" spans="1:2">
      <c r="A184" s="119" t="s">
        <v>726</v>
      </c>
      <c r="B184" s="150" t="s">
        <v>356</v>
      </c>
    </row>
    <row r="185" spans="1:2">
      <c r="A185" s="119" t="s">
        <v>727</v>
      </c>
      <c r="B185" s="150" t="s">
        <v>250</v>
      </c>
    </row>
    <row r="186" spans="1:2">
      <c r="A186" s="119" t="s">
        <v>728</v>
      </c>
      <c r="B186" s="150" t="s">
        <v>357</v>
      </c>
    </row>
    <row r="187" spans="1:2">
      <c r="A187" s="119" t="s">
        <v>723</v>
      </c>
      <c r="B187" s="150" t="s">
        <v>358</v>
      </c>
    </row>
    <row r="188" spans="1:2">
      <c r="A188" s="119" t="s">
        <v>729</v>
      </c>
      <c r="B188" s="150" t="s">
        <v>359</v>
      </c>
    </row>
    <row r="189" spans="1:2">
      <c r="A189" s="119" t="s">
        <v>730</v>
      </c>
      <c r="B189" s="150" t="s">
        <v>360</v>
      </c>
    </row>
    <row r="190" spans="1:2">
      <c r="A190" s="119" t="s">
        <v>727</v>
      </c>
      <c r="B190" s="150" t="s">
        <v>361</v>
      </c>
    </row>
    <row r="191" spans="1:2">
      <c r="A191" s="119" t="s">
        <v>731</v>
      </c>
      <c r="B191" s="150" t="s">
        <v>362</v>
      </c>
    </row>
    <row r="192" spans="1:2">
      <c r="A192" s="119" t="s">
        <v>732</v>
      </c>
      <c r="B192" s="150" t="s">
        <v>363</v>
      </c>
    </row>
    <row r="193" spans="1:1">
      <c r="A193" s="119" t="s">
        <v>722</v>
      </c>
    </row>
    <row r="194" spans="1:1">
      <c r="A194" s="119" t="s">
        <v>731</v>
      </c>
    </row>
    <row r="195" spans="1:1">
      <c r="A195" s="119" t="s">
        <v>728</v>
      </c>
    </row>
    <row r="196" spans="1:1">
      <c r="A196" s="119" t="s">
        <v>733</v>
      </c>
    </row>
    <row r="197" spans="1:1">
      <c r="A197" s="119" t="s">
        <v>723</v>
      </c>
    </row>
    <row r="198" spans="1:1">
      <c r="A198" s="119" t="s">
        <v>734</v>
      </c>
    </row>
    <row r="199" spans="1:1">
      <c r="A199" s="119" t="s">
        <v>735</v>
      </c>
    </row>
    <row r="200" spans="1:1">
      <c r="A200" s="119" t="s">
        <v>736</v>
      </c>
    </row>
    <row r="201" spans="1:1">
      <c r="A201" s="119" t="s">
        <v>737</v>
      </c>
    </row>
    <row r="202" spans="1:1">
      <c r="A202" s="119" t="s">
        <v>738</v>
      </c>
    </row>
    <row r="203" spans="1:1">
      <c r="A203" s="119" t="s">
        <v>739</v>
      </c>
    </row>
  </sheetData>
  <pageMargins left="0.7" right="0.7" top="0.75" bottom="0.75" header="0.3" footer="0.3"/>
  <pageSetup scale="87" fitToHeight="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B57D1-3BAB-4F47-A198-82FB494EF8BE}">
  <sheetPr>
    <pageSetUpPr fitToPage="1"/>
  </sheetPr>
  <dimension ref="A1:Y470"/>
  <sheetViews>
    <sheetView zoomScaleNormal="100" workbookViewId="0"/>
  </sheetViews>
  <sheetFormatPr defaultRowHeight="15"/>
  <cols>
    <col min="1" max="1" width="15.42578125" customWidth="1"/>
    <col min="2" max="3" width="19.42578125" customWidth="1"/>
    <col min="25" max="25" width="20.42578125" bestFit="1" customWidth="1"/>
  </cols>
  <sheetData>
    <row r="1" spans="1:25">
      <c r="A1" s="119" t="s">
        <v>740</v>
      </c>
      <c r="B1" s="119" t="s">
        <v>111</v>
      </c>
      <c r="C1" s="119" t="s">
        <v>741</v>
      </c>
      <c r="D1" s="119" t="s">
        <v>742</v>
      </c>
      <c r="E1" s="119" t="s">
        <v>743</v>
      </c>
      <c r="F1" s="119"/>
      <c r="G1" s="99" t="s">
        <v>1751</v>
      </c>
      <c r="H1" s="99"/>
      <c r="I1" s="99"/>
      <c r="J1" s="99"/>
      <c r="K1" s="99"/>
      <c r="L1" s="99"/>
      <c r="M1" s="119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25">
      <c r="A2" s="119" t="str">
        <f>'Aggregated Table'!$A$2</f>
        <v>CECONY</v>
      </c>
      <c r="B2" s="119" t="str">
        <f>'Aggregated Table'!B3</f>
        <v>Astor</v>
      </c>
      <c r="C2" s="119">
        <f>'Aggregated Table'!C3</f>
        <v>0</v>
      </c>
      <c r="D2" s="119">
        <f>'Aggregated Table'!D3</f>
        <v>0</v>
      </c>
      <c r="E2" s="119">
        <v>1</v>
      </c>
      <c r="F2" s="119"/>
      <c r="G2" s="119"/>
      <c r="H2" s="119"/>
      <c r="I2" s="119"/>
      <c r="J2" s="119"/>
      <c r="K2" s="119"/>
      <c r="L2" s="119"/>
      <c r="M2" s="119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>
      <c r="A3" s="119" t="str">
        <f>'Aggregated Table'!$A$2</f>
        <v>CECONY</v>
      </c>
      <c r="B3" s="119" t="str">
        <f>'Aggregated Table'!B4</f>
        <v>Atlantic</v>
      </c>
      <c r="C3" s="119">
        <f>'Aggregated Table'!C4</f>
        <v>716</v>
      </c>
      <c r="D3" s="119">
        <f>'Aggregated Table'!D4</f>
        <v>204.35575005146114</v>
      </c>
      <c r="E3" s="119">
        <f>E2+1</f>
        <v>2</v>
      </c>
      <c r="F3" s="119"/>
      <c r="G3" s="119"/>
      <c r="H3" s="119"/>
      <c r="I3" s="119"/>
      <c r="J3" s="119"/>
      <c r="K3" s="119"/>
      <c r="L3" s="119"/>
      <c r="M3" s="119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>
      <c r="A4" s="119" t="str">
        <f>'Aggregated Table'!$A$2</f>
        <v>CECONY</v>
      </c>
      <c r="B4" s="119" t="str">
        <f>'Aggregated Table'!B5</f>
        <v>Avenue A</v>
      </c>
      <c r="C4" s="119">
        <f>'Aggregated Table'!C5</f>
        <v>2.5579999999999998</v>
      </c>
      <c r="D4" s="119">
        <f>'Aggregated Table'!D5</f>
        <v>66.024933905551279</v>
      </c>
      <c r="E4" s="119">
        <f t="shared" ref="E4:E67" si="0">E3+1</f>
        <v>3</v>
      </c>
      <c r="F4" s="119"/>
      <c r="G4" s="119"/>
      <c r="H4" s="119"/>
      <c r="I4" s="119"/>
      <c r="J4" s="119"/>
      <c r="K4" s="119"/>
      <c r="L4" s="119"/>
      <c r="M4" s="119"/>
      <c r="N4" s="3"/>
      <c r="O4" s="3"/>
      <c r="P4" s="238"/>
      <c r="Q4" s="3"/>
      <c r="R4" s="3"/>
      <c r="S4" s="3"/>
      <c r="T4" s="3"/>
      <c r="U4" s="3"/>
      <c r="V4" s="3"/>
      <c r="W4" s="3"/>
      <c r="X4" s="3"/>
      <c r="Y4" s="3"/>
    </row>
    <row r="5" spans="1:25">
      <c r="A5" s="119" t="str">
        <f>'Aggregated Table'!$A$2</f>
        <v>CECONY</v>
      </c>
      <c r="B5" s="119" t="str">
        <f>'Aggregated Table'!B6</f>
        <v>Bensonhurst No. 1</v>
      </c>
      <c r="C5" s="119">
        <f>'Aggregated Table'!C6</f>
        <v>2.5091999999999999</v>
      </c>
      <c r="D5" s="119">
        <f>'Aggregated Table'!D6</f>
        <v>57.22074249119099</v>
      </c>
      <c r="E5" s="119">
        <f t="shared" si="0"/>
        <v>4</v>
      </c>
      <c r="F5" s="119"/>
      <c r="G5" s="119"/>
      <c r="H5" s="119"/>
      <c r="I5" s="119"/>
      <c r="J5" s="119"/>
      <c r="K5" s="119"/>
      <c r="L5" s="119"/>
      <c r="M5" s="119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>
      <c r="A6" s="119" t="str">
        <f>'Aggregated Table'!$A$2</f>
        <v>CECONY</v>
      </c>
      <c r="B6" s="119" t="str">
        <f>'Aggregated Table'!B7</f>
        <v>Bensonhurst No. 2</v>
      </c>
      <c r="C6" s="119">
        <f>'Aggregated Table'!C7</f>
        <v>5.7009499999999997</v>
      </c>
      <c r="D6" s="119">
        <f>'Aggregated Table'!D7</f>
        <v>45.918807829107799</v>
      </c>
      <c r="E6" s="119">
        <f t="shared" si="0"/>
        <v>5</v>
      </c>
      <c r="F6" s="119"/>
      <c r="G6" s="119"/>
      <c r="H6" s="119"/>
      <c r="I6" s="119"/>
      <c r="J6" s="119"/>
      <c r="K6" s="119"/>
      <c r="L6" s="119"/>
      <c r="M6" s="119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25">
      <c r="A7" s="119" t="str">
        <f>'Aggregated Table'!$A$2</f>
        <v>CECONY</v>
      </c>
      <c r="B7" s="119" t="str">
        <f>'Aggregated Table'!B8</f>
        <v>Brownsville No. 1</v>
      </c>
      <c r="C7" s="119">
        <f>'Aggregated Table'!C8</f>
        <v>5.2377000000000002</v>
      </c>
      <c r="D7" s="119">
        <f>'Aggregated Table'!D8</f>
        <v>103.21450476191932</v>
      </c>
      <c r="E7" s="119">
        <f t="shared" si="0"/>
        <v>6</v>
      </c>
      <c r="F7" s="119"/>
      <c r="G7" s="119"/>
      <c r="H7" s="119"/>
      <c r="I7" s="119"/>
      <c r="J7" s="119"/>
      <c r="K7" s="119"/>
      <c r="L7" s="119"/>
      <c r="M7" s="119"/>
      <c r="N7" s="3"/>
      <c r="O7" s="3"/>
      <c r="P7" s="239"/>
      <c r="Q7" s="239"/>
      <c r="R7" s="239"/>
      <c r="S7" s="239"/>
      <c r="T7" s="239"/>
      <c r="U7" s="239"/>
      <c r="V7" s="239"/>
      <c r="W7" s="239"/>
      <c r="X7" s="239"/>
      <c r="Y7" s="3"/>
    </row>
    <row r="8" spans="1:25">
      <c r="A8" s="119" t="str">
        <f>'Aggregated Table'!$A$2</f>
        <v>CECONY</v>
      </c>
      <c r="B8" s="119" t="str">
        <f>'Aggregated Table'!B9</f>
        <v>Brownsville No. 2</v>
      </c>
      <c r="C8" s="119">
        <f>'Aggregated Table'!C9</f>
        <v>0.72250000000000003</v>
      </c>
      <c r="D8" s="119">
        <f>'Aggregated Table'!D9</f>
        <v>38.505684486784119</v>
      </c>
      <c r="E8" s="119">
        <f t="shared" si="0"/>
        <v>7</v>
      </c>
      <c r="F8" s="119"/>
      <c r="G8" s="119"/>
      <c r="H8" s="119"/>
      <c r="I8" s="119"/>
      <c r="J8" s="119"/>
      <c r="K8" s="119"/>
      <c r="L8" s="119"/>
      <c r="M8" s="119"/>
      <c r="N8" s="3"/>
      <c r="O8" s="3"/>
      <c r="P8" s="240"/>
      <c r="Q8" s="240"/>
      <c r="R8" s="240"/>
      <c r="S8" s="240"/>
      <c r="T8" s="240"/>
      <c r="U8" s="240"/>
      <c r="V8" s="240"/>
      <c r="W8" s="240"/>
      <c r="X8" s="240"/>
      <c r="Y8" s="3"/>
    </row>
    <row r="9" spans="1:25">
      <c r="A9" s="119" t="str">
        <f>'Aggregated Table'!$A$2</f>
        <v>CECONY</v>
      </c>
      <c r="B9" s="119" t="str">
        <f>'Aggregated Table'!B10</f>
        <v>Bruckner</v>
      </c>
      <c r="C9" s="119">
        <f>'Aggregated Table'!C10</f>
        <v>33.134</v>
      </c>
      <c r="D9" s="119">
        <f>'Aggregated Table'!D10</f>
        <v>137.05325353607603</v>
      </c>
      <c r="E9" s="119">
        <f t="shared" si="0"/>
        <v>8</v>
      </c>
      <c r="F9" s="119"/>
      <c r="G9" s="119"/>
      <c r="H9" s="119"/>
      <c r="I9" s="119"/>
      <c r="J9" s="119"/>
      <c r="K9" s="119"/>
      <c r="L9" s="119"/>
      <c r="M9" s="119"/>
      <c r="N9" s="3"/>
      <c r="O9" s="3"/>
      <c r="P9" s="240"/>
      <c r="Q9" s="240"/>
      <c r="R9" s="240"/>
      <c r="S9" s="240"/>
      <c r="T9" s="240"/>
      <c r="U9" s="240"/>
      <c r="V9" s="240"/>
      <c r="W9" s="240"/>
      <c r="X9" s="240"/>
      <c r="Y9" s="240"/>
    </row>
    <row r="10" spans="1:25">
      <c r="A10" s="119" t="str">
        <f>'Aggregated Table'!$A$2</f>
        <v>CECONY</v>
      </c>
      <c r="B10" s="119" t="str">
        <f>'Aggregated Table'!B11</f>
        <v>Buchanan</v>
      </c>
      <c r="C10" s="119">
        <f>'Aggregated Table'!C11</f>
        <v>0</v>
      </c>
      <c r="D10" s="119">
        <f>'Aggregated Table'!D11</f>
        <v>0</v>
      </c>
      <c r="E10" s="119">
        <f t="shared" si="0"/>
        <v>9</v>
      </c>
      <c r="F10" s="119"/>
      <c r="G10" s="119"/>
      <c r="H10" s="119"/>
      <c r="I10" s="119"/>
      <c r="J10" s="119"/>
      <c r="K10" s="119"/>
      <c r="L10" s="119"/>
      <c r="M10" s="119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</row>
    <row r="11" spans="1:25">
      <c r="A11" s="119" t="str">
        <f>'Aggregated Table'!$A$2</f>
        <v>CECONY</v>
      </c>
      <c r="B11" s="119" t="str">
        <f>'Aggregated Table'!B12</f>
        <v>Cedar Street</v>
      </c>
      <c r="C11" s="119">
        <f>'Aggregated Table'!C12</f>
        <v>85</v>
      </c>
      <c r="D11" s="119">
        <f>'Aggregated Table'!D12</f>
        <v>208.43670079928495</v>
      </c>
      <c r="E11" s="119">
        <f t="shared" si="0"/>
        <v>10</v>
      </c>
      <c r="F11" s="119"/>
      <c r="G11" s="119"/>
      <c r="H11" s="119"/>
      <c r="I11" s="119"/>
      <c r="J11" s="119"/>
      <c r="K11" s="119"/>
      <c r="L11" s="119"/>
      <c r="M11" s="119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</row>
    <row r="12" spans="1:25">
      <c r="A12" s="119" t="str">
        <f>'Aggregated Table'!$A$2</f>
        <v>CECONY</v>
      </c>
      <c r="B12" s="119" t="str">
        <f>'Aggregated Table'!B13</f>
        <v>Cherry Street</v>
      </c>
      <c r="C12" s="119">
        <f>'Aggregated Table'!C13</f>
        <v>0</v>
      </c>
      <c r="D12" s="119">
        <f>'Aggregated Table'!D13</f>
        <v>0</v>
      </c>
      <c r="E12" s="119">
        <f t="shared" si="0"/>
        <v>11</v>
      </c>
      <c r="F12" s="119"/>
      <c r="G12" s="119"/>
      <c r="H12" s="119"/>
      <c r="I12" s="119"/>
      <c r="J12" s="119"/>
      <c r="K12" s="119"/>
      <c r="L12" s="119"/>
      <c r="M12" s="119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</row>
    <row r="13" spans="1:25">
      <c r="A13" s="119" t="str">
        <f>'Aggregated Table'!$A$2</f>
        <v>CECONY</v>
      </c>
      <c r="B13" s="119" t="str">
        <f>'Aggregated Table'!B14</f>
        <v>Co-Op City/Radial 27kV</v>
      </c>
      <c r="C13" s="119">
        <f>'Aggregated Table'!C14</f>
        <v>0</v>
      </c>
      <c r="D13" s="119">
        <f>'Aggregated Table'!D14</f>
        <v>0</v>
      </c>
      <c r="E13" s="119">
        <f t="shared" si="0"/>
        <v>12</v>
      </c>
      <c r="F13" s="119"/>
      <c r="G13" s="119"/>
      <c r="H13" s="119"/>
      <c r="I13" s="119"/>
      <c r="J13" s="119"/>
      <c r="K13" s="119"/>
      <c r="L13" s="119"/>
      <c r="M13" s="119"/>
      <c r="N13" s="3"/>
      <c r="O13" s="3"/>
      <c r="P13" s="239"/>
      <c r="Q13" s="239"/>
      <c r="R13" s="239"/>
      <c r="S13" s="239"/>
      <c r="T13" s="239"/>
      <c r="U13" s="239"/>
      <c r="V13" s="239"/>
      <c r="W13" s="239"/>
      <c r="X13" s="239"/>
      <c r="Y13" s="3"/>
    </row>
    <row r="14" spans="1:25">
      <c r="A14" s="119" t="str">
        <f>'Aggregated Table'!$A$2</f>
        <v>CECONY</v>
      </c>
      <c r="B14" s="119" t="str">
        <f>'Aggregated Table'!B15</f>
        <v>Corona No. 1</v>
      </c>
      <c r="C14" s="119">
        <f>'Aggregated Table'!C15</f>
        <v>0</v>
      </c>
      <c r="D14" s="119">
        <f>'Aggregated Table'!D15</f>
        <v>0</v>
      </c>
      <c r="E14" s="119">
        <f t="shared" si="0"/>
        <v>13</v>
      </c>
      <c r="F14" s="119"/>
      <c r="G14" s="119"/>
      <c r="H14" s="119"/>
      <c r="I14" s="119"/>
      <c r="J14" s="119"/>
      <c r="K14" s="119"/>
      <c r="L14" s="119"/>
      <c r="M14" s="119"/>
      <c r="N14" s="3"/>
      <c r="O14" s="3"/>
      <c r="P14" s="240"/>
      <c r="Q14" s="240"/>
      <c r="R14" s="240"/>
      <c r="S14" s="240"/>
      <c r="T14" s="240"/>
      <c r="U14" s="240"/>
      <c r="V14" s="240"/>
      <c r="W14" s="240"/>
      <c r="X14" s="240"/>
      <c r="Y14" s="3"/>
    </row>
    <row r="15" spans="1:25">
      <c r="A15" s="119" t="str">
        <f>'Aggregated Table'!$A$2</f>
        <v>CECONY</v>
      </c>
      <c r="B15" s="119" t="str">
        <f>'Aggregated Table'!B16</f>
        <v>Corona No. 2</v>
      </c>
      <c r="C15" s="119">
        <f>'Aggregated Table'!C16</f>
        <v>1.1772499999999999</v>
      </c>
      <c r="D15" s="119">
        <f>'Aggregated Table'!D16</f>
        <v>97.887337482166032</v>
      </c>
      <c r="E15" s="119">
        <f t="shared" si="0"/>
        <v>14</v>
      </c>
      <c r="F15" s="119"/>
      <c r="G15" s="119"/>
      <c r="H15" s="119"/>
      <c r="I15" s="119"/>
      <c r="J15" s="119"/>
      <c r="K15" s="119"/>
      <c r="L15" s="119"/>
      <c r="M15" s="119"/>
      <c r="N15" s="3"/>
      <c r="O15" s="3"/>
      <c r="P15" s="240"/>
      <c r="Q15" s="240"/>
      <c r="R15" s="240"/>
      <c r="S15" s="240"/>
      <c r="T15" s="240"/>
      <c r="U15" s="240"/>
      <c r="V15" s="240"/>
      <c r="W15" s="240"/>
      <c r="X15" s="240"/>
      <c r="Y15" s="240"/>
    </row>
    <row r="16" spans="1:25">
      <c r="A16" s="119" t="str">
        <f>'Aggregated Table'!$A$2</f>
        <v>CECONY</v>
      </c>
      <c r="B16" s="119" t="str">
        <f>'Aggregated Table'!B17</f>
        <v>East 179th Street</v>
      </c>
      <c r="C16" s="119">
        <f>'Aggregated Table'!C17</f>
        <v>2.577</v>
      </c>
      <c r="D16" s="119">
        <f>'Aggregated Table'!D17</f>
        <v>33.719617257045861</v>
      </c>
      <c r="E16" s="119">
        <f t="shared" si="0"/>
        <v>15</v>
      </c>
      <c r="F16" s="119"/>
      <c r="G16" s="119"/>
      <c r="H16" s="119"/>
      <c r="I16" s="119"/>
      <c r="J16" s="119"/>
      <c r="K16" s="119"/>
      <c r="L16" s="119"/>
      <c r="M16" s="119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</row>
    <row r="17" spans="1:25">
      <c r="A17" s="119" t="str">
        <f>'Aggregated Table'!$A$2</f>
        <v>CECONY</v>
      </c>
      <c r="B17" s="119" t="str">
        <f>'Aggregated Table'!B18</f>
        <v>East 29th Street</v>
      </c>
      <c r="C17" s="119">
        <f>'Aggregated Table'!C18</f>
        <v>0.57399999999999995</v>
      </c>
      <c r="D17" s="119">
        <f>'Aggregated Table'!D18</f>
        <v>40.233115237517076</v>
      </c>
      <c r="E17" s="119">
        <f t="shared" si="0"/>
        <v>16</v>
      </c>
      <c r="F17" s="119"/>
      <c r="G17" s="119"/>
      <c r="H17" s="119"/>
      <c r="I17" s="119"/>
      <c r="J17" s="119"/>
      <c r="K17" s="119"/>
      <c r="L17" s="119"/>
      <c r="M17" s="119"/>
      <c r="N17" s="3"/>
      <c r="O17" s="3"/>
      <c r="P17" s="3"/>
      <c r="Q17" s="3"/>
      <c r="R17" s="3"/>
      <c r="S17" s="3"/>
      <c r="T17" s="3"/>
      <c r="U17" s="3"/>
      <c r="V17" s="3"/>
      <c r="W17" s="3"/>
      <c r="X17" s="241"/>
      <c r="Y17" s="240"/>
    </row>
    <row r="18" spans="1:25">
      <c r="A18" s="119" t="str">
        <f>'Aggregated Table'!$A$2</f>
        <v>CECONY</v>
      </c>
      <c r="B18" s="119" t="str">
        <f>'Aggregated Table'!B19</f>
        <v>East 36th Street</v>
      </c>
      <c r="C18" s="119">
        <f>'Aggregated Table'!C19</f>
        <v>1.1639999999999999</v>
      </c>
      <c r="D18" s="119">
        <f>'Aggregated Table'!D19</f>
        <v>18.359767903321202</v>
      </c>
      <c r="E18" s="119">
        <f t="shared" si="0"/>
        <v>17</v>
      </c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</row>
    <row r="19" spans="1:25">
      <c r="A19" s="119" t="str">
        <f>'Aggregated Table'!$A$2</f>
        <v>CECONY</v>
      </c>
      <c r="B19" s="119" t="str">
        <f>'Aggregated Table'!B20</f>
        <v>East 40th Street No. 1</v>
      </c>
      <c r="C19" s="119">
        <f>'Aggregated Table'!C20</f>
        <v>0</v>
      </c>
      <c r="D19" s="119">
        <f>'Aggregated Table'!D20</f>
        <v>0</v>
      </c>
      <c r="E19" s="119">
        <f t="shared" si="0"/>
        <v>18</v>
      </c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</row>
    <row r="20" spans="1:25">
      <c r="A20" s="119" t="str">
        <f>'Aggregated Table'!$A$2</f>
        <v>CECONY</v>
      </c>
      <c r="B20" s="119" t="str">
        <f>'Aggregated Table'!B21</f>
        <v>East 40th Street No. 2</v>
      </c>
      <c r="C20" s="119">
        <f>'Aggregated Table'!C21</f>
        <v>0</v>
      </c>
      <c r="D20" s="119">
        <f>'Aggregated Table'!D21</f>
        <v>0</v>
      </c>
      <c r="E20" s="119">
        <f t="shared" si="0"/>
        <v>19</v>
      </c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</row>
    <row r="21" spans="1:25">
      <c r="A21" s="119" t="str">
        <f>'Aggregated Table'!$A$2</f>
        <v>CECONY</v>
      </c>
      <c r="B21" s="119" t="str">
        <f>'Aggregated Table'!B22</f>
        <v>East 63rd Street No. 1</v>
      </c>
      <c r="C21" s="119">
        <f>'Aggregated Table'!C22</f>
        <v>0.5</v>
      </c>
      <c r="D21" s="119">
        <f>'Aggregated Table'!D22</f>
        <v>23.483628599520422</v>
      </c>
      <c r="E21" s="119">
        <f t="shared" si="0"/>
        <v>20</v>
      </c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</row>
    <row r="22" spans="1:25">
      <c r="A22" s="119" t="str">
        <f>'Aggregated Table'!$A$2</f>
        <v>CECONY</v>
      </c>
      <c r="B22" s="119" t="str">
        <f>'Aggregated Table'!B23</f>
        <v>East 63rd Street No. 2</v>
      </c>
      <c r="C22" s="119">
        <f>'Aggregated Table'!C23</f>
        <v>2.0910000000000002</v>
      </c>
      <c r="D22" s="119">
        <f>'Aggregated Table'!D23</f>
        <v>32.232160948657857</v>
      </c>
      <c r="E22" s="119">
        <f t="shared" si="0"/>
        <v>21</v>
      </c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</row>
    <row r="23" spans="1:25">
      <c r="A23" s="119" t="str">
        <f>'Aggregated Table'!$A$2</f>
        <v>CECONY</v>
      </c>
      <c r="B23" s="119" t="str">
        <f>'Aggregated Table'!B24</f>
        <v>East 75th Street</v>
      </c>
      <c r="C23" s="119">
        <f>'Aggregated Table'!C24</f>
        <v>0.81</v>
      </c>
      <c r="D23" s="119">
        <f>'Aggregated Table'!D24</f>
        <v>59.195794035960724</v>
      </c>
      <c r="E23" s="119">
        <f t="shared" si="0"/>
        <v>22</v>
      </c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</row>
    <row r="24" spans="1:25">
      <c r="A24" s="119" t="str">
        <f>'Aggregated Table'!$A$2</f>
        <v>CECONY</v>
      </c>
      <c r="B24" s="119" t="str">
        <f>'Aggregated Table'!B25</f>
        <v>Elmsford No. 2</v>
      </c>
      <c r="C24" s="119">
        <f>'Aggregated Table'!C25</f>
        <v>0</v>
      </c>
      <c r="D24" s="119">
        <f>'Aggregated Table'!D25</f>
        <v>0</v>
      </c>
      <c r="E24" s="119">
        <f t="shared" si="0"/>
        <v>23</v>
      </c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</row>
    <row r="25" spans="1:25">
      <c r="A25" s="119" t="str">
        <f>'Aggregated Table'!$A$2</f>
        <v>CECONY</v>
      </c>
      <c r="B25" s="119" t="str">
        <f>'Aggregated Table'!B26</f>
        <v>Fox Hills 33 kV</v>
      </c>
      <c r="C25" s="119">
        <f>'Aggregated Table'!C26</f>
        <v>9.7260000000000009</v>
      </c>
      <c r="D25" s="119">
        <f>'Aggregated Table'!D26</f>
        <v>143.43945748196464</v>
      </c>
      <c r="E25" s="119">
        <f t="shared" si="0"/>
        <v>24</v>
      </c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</row>
    <row r="26" spans="1:25">
      <c r="A26" s="119" t="str">
        <f>'Aggregated Table'!$A$2</f>
        <v>CECONY</v>
      </c>
      <c r="B26" s="119" t="str">
        <f>'Aggregated Table'!B27</f>
        <v>Fresh Kills 33 kV</v>
      </c>
      <c r="C26" s="119">
        <f>'Aggregated Table'!C27</f>
        <v>6.3155000000000001</v>
      </c>
      <c r="D26" s="119">
        <f>'Aggregated Table'!D27</f>
        <v>18.808303705133991</v>
      </c>
      <c r="E26" s="119">
        <f t="shared" si="0"/>
        <v>25</v>
      </c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</row>
    <row r="27" spans="1:25">
      <c r="A27" s="119" t="str">
        <f>'Aggregated Table'!$A$2</f>
        <v>CECONY</v>
      </c>
      <c r="B27" s="119" t="str">
        <f>'Aggregated Table'!B28</f>
        <v>Gateway Park</v>
      </c>
      <c r="C27" s="119">
        <f>'Aggregated Table'!C28</f>
        <v>358</v>
      </c>
      <c r="D27" s="119">
        <f>'Aggregated Table'!D28</f>
        <v>493.18022584767357</v>
      </c>
      <c r="E27" s="119">
        <f t="shared" si="0"/>
        <v>26</v>
      </c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</row>
    <row r="28" spans="1:25">
      <c r="A28" s="119" t="str">
        <f>'Aggregated Table'!$A$2</f>
        <v>CECONY</v>
      </c>
      <c r="B28" s="119" t="str">
        <f>'Aggregated Table'!B29</f>
        <v>Glendale</v>
      </c>
      <c r="C28" s="119">
        <f>'Aggregated Table'!C29</f>
        <v>130.21895000000001</v>
      </c>
      <c r="D28" s="119">
        <f>'Aggregated Table'!D29</f>
        <v>150.68364487658209</v>
      </c>
      <c r="E28" s="119">
        <f t="shared" si="0"/>
        <v>27</v>
      </c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</row>
    <row r="29" spans="1:25">
      <c r="A29" s="119" t="str">
        <f>'Aggregated Table'!$A$2</f>
        <v>CECONY</v>
      </c>
      <c r="B29" s="119" t="str">
        <f>'Aggregated Table'!B30</f>
        <v>Granite Hill</v>
      </c>
      <c r="C29" s="119">
        <f>'Aggregated Table'!C30</f>
        <v>0</v>
      </c>
      <c r="D29" s="119">
        <f>'Aggregated Table'!D30</f>
        <v>0</v>
      </c>
      <c r="E29" s="119">
        <f t="shared" si="0"/>
        <v>28</v>
      </c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</row>
    <row r="30" spans="1:25">
      <c r="A30" s="119" t="str">
        <f>'Aggregated Table'!$A$2</f>
        <v>CECONY</v>
      </c>
      <c r="B30" s="119" t="str">
        <f>'Aggregated Table'!B31</f>
        <v>Grasslands</v>
      </c>
      <c r="C30" s="119">
        <f>'Aggregated Table'!C31</f>
        <v>82</v>
      </c>
      <c r="D30" s="119">
        <f>'Aggregated Table'!D31</f>
        <v>82.966867314449644</v>
      </c>
      <c r="E30" s="119">
        <f t="shared" si="0"/>
        <v>29</v>
      </c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</row>
    <row r="31" spans="1:25">
      <c r="A31" s="119" t="str">
        <f>'Aggregated Table'!$A$2</f>
        <v>CECONY</v>
      </c>
      <c r="B31" s="119" t="str">
        <f>'Aggregated Table'!B32</f>
        <v xml:space="preserve">Greenwood </v>
      </c>
      <c r="C31" s="119">
        <f>'Aggregated Table'!C32</f>
        <v>9.0694999999999997</v>
      </c>
      <c r="D31" s="119">
        <f>'Aggregated Table'!D32</f>
        <v>56.323802447687406</v>
      </c>
      <c r="E31" s="119">
        <f t="shared" si="0"/>
        <v>30</v>
      </c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</row>
    <row r="32" spans="1:25">
      <c r="A32" s="119" t="str">
        <f>'Aggregated Table'!$A$2</f>
        <v>CECONY</v>
      </c>
      <c r="B32" s="119" t="str">
        <f>'Aggregated Table'!B33</f>
        <v>Harrison</v>
      </c>
      <c r="C32" s="119">
        <f>'Aggregated Table'!C33</f>
        <v>0</v>
      </c>
      <c r="D32" s="119">
        <f>'Aggregated Table'!D33</f>
        <v>0</v>
      </c>
      <c r="E32" s="119">
        <f t="shared" si="0"/>
        <v>31</v>
      </c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</row>
    <row r="33" spans="1:5">
      <c r="A33" s="119" t="str">
        <f>'Aggregated Table'!$A$2</f>
        <v>CECONY</v>
      </c>
      <c r="B33" s="119" t="str">
        <f>'Aggregated Table'!B34</f>
        <v>Hell Gate</v>
      </c>
      <c r="C33" s="119">
        <f>'Aggregated Table'!C34</f>
        <v>0</v>
      </c>
      <c r="D33" s="119">
        <f>'Aggregated Table'!D34</f>
        <v>0</v>
      </c>
      <c r="E33" s="119">
        <f t="shared" si="0"/>
        <v>32</v>
      </c>
    </row>
    <row r="34" spans="1:5">
      <c r="A34" s="119" t="str">
        <f>'Aggregated Table'!$A$2</f>
        <v>CECONY</v>
      </c>
      <c r="B34" s="119" t="str">
        <f>'Aggregated Table'!B35</f>
        <v>Hillside</v>
      </c>
      <c r="C34" s="119">
        <f>'Aggregated Table'!C35</f>
        <v>716</v>
      </c>
      <c r="D34" s="119">
        <f>'Aggregated Table'!D35</f>
        <v>248.67979268799635</v>
      </c>
      <c r="E34" s="119">
        <f t="shared" si="0"/>
        <v>33</v>
      </c>
    </row>
    <row r="35" spans="1:5">
      <c r="A35" s="119" t="str">
        <f>'Aggregated Table'!$A$2</f>
        <v>CECONY</v>
      </c>
      <c r="B35" s="119" t="str">
        <f>'Aggregated Table'!B36</f>
        <v>Idlewild</v>
      </c>
      <c r="C35" s="119">
        <f>'Aggregated Table'!C36</f>
        <v>716</v>
      </c>
      <c r="D35" s="119">
        <f>'Aggregated Table'!D36</f>
        <v>213.70910012258565</v>
      </c>
      <c r="E35" s="119">
        <f t="shared" si="0"/>
        <v>34</v>
      </c>
    </row>
    <row r="36" spans="1:5">
      <c r="A36" s="119" t="str">
        <f>'Aggregated Table'!$A$2</f>
        <v>CECONY</v>
      </c>
      <c r="B36" s="119" t="str">
        <f>'Aggregated Table'!B37</f>
        <v>Industry City</v>
      </c>
      <c r="C36" s="119">
        <f>'Aggregated Table'!C37</f>
        <v>269</v>
      </c>
      <c r="D36" s="119">
        <f>'Aggregated Table'!D37</f>
        <v>249.87130599553203</v>
      </c>
      <c r="E36" s="119">
        <f t="shared" si="0"/>
        <v>35</v>
      </c>
    </row>
    <row r="37" spans="1:5">
      <c r="A37" s="119" t="str">
        <f>'Aggregated Table'!$A$2</f>
        <v>CECONY</v>
      </c>
      <c r="B37" s="119" t="str">
        <f>'Aggregated Table'!B38</f>
        <v>Jamaica</v>
      </c>
      <c r="C37" s="119">
        <f>'Aggregated Table'!C38</f>
        <v>0</v>
      </c>
      <c r="D37" s="119">
        <f>'Aggregated Table'!D38</f>
        <v>0</v>
      </c>
      <c r="E37" s="119">
        <f t="shared" si="0"/>
        <v>36</v>
      </c>
    </row>
    <row r="38" spans="1:5">
      <c r="A38" s="119" t="str">
        <f>'Aggregated Table'!$A$2</f>
        <v>CECONY</v>
      </c>
      <c r="B38" s="119" t="str">
        <f>'Aggregated Table'!B39</f>
        <v>Leonard Street No. 1</v>
      </c>
      <c r="C38" s="119">
        <f>'Aggregated Table'!C39</f>
        <v>4.2000000000000003E-2</v>
      </c>
      <c r="D38" s="119">
        <f>'Aggregated Table'!D39</f>
        <v>201.93596448367052</v>
      </c>
      <c r="E38" s="119">
        <f t="shared" si="0"/>
        <v>37</v>
      </c>
    </row>
    <row r="39" spans="1:5">
      <c r="A39" s="119" t="str">
        <f>'Aggregated Table'!$A$2</f>
        <v>CECONY</v>
      </c>
      <c r="B39" s="119" t="str">
        <f>'Aggregated Table'!B40</f>
        <v>Leonard Street No. 2</v>
      </c>
      <c r="C39" s="119">
        <f>'Aggregated Table'!C40</f>
        <v>0</v>
      </c>
      <c r="D39" s="119">
        <f>'Aggregated Table'!D40</f>
        <v>0</v>
      </c>
      <c r="E39" s="119">
        <f t="shared" si="0"/>
        <v>38</v>
      </c>
    </row>
    <row r="40" spans="1:5">
      <c r="A40" s="119" t="str">
        <f>'Aggregated Table'!$A$2</f>
        <v>CECONY</v>
      </c>
      <c r="B40" s="119" t="str">
        <f>'Aggregated Table'!B41</f>
        <v>Millwood West</v>
      </c>
      <c r="C40" s="119">
        <f>'Aggregated Table'!C41</f>
        <v>79</v>
      </c>
      <c r="D40" s="119">
        <f>'Aggregated Table'!D41</f>
        <v>70.327798639962978</v>
      </c>
      <c r="E40" s="119">
        <f t="shared" si="0"/>
        <v>39</v>
      </c>
    </row>
    <row r="41" spans="1:5">
      <c r="A41" s="119" t="str">
        <f>'Aggregated Table'!$A$2</f>
        <v>CECONY</v>
      </c>
      <c r="B41" s="119" t="str">
        <f>'Aggregated Table'!B42</f>
        <v>Mott Haven</v>
      </c>
      <c r="C41" s="119">
        <f>'Aggregated Table'!C42</f>
        <v>86.128500000000003</v>
      </c>
      <c r="D41" s="119">
        <f>'Aggregated Table'!D42</f>
        <v>126.42271982009569</v>
      </c>
      <c r="E41" s="119">
        <f t="shared" si="0"/>
        <v>40</v>
      </c>
    </row>
    <row r="42" spans="1:5">
      <c r="A42" s="119" t="str">
        <f>'Aggregated Table'!$A$2</f>
        <v>CECONY</v>
      </c>
      <c r="B42" s="119" t="str">
        <f>'Aggregated Table'!B43</f>
        <v>Murray Hill</v>
      </c>
      <c r="C42" s="119">
        <f>'Aggregated Table'!C43</f>
        <v>2.23</v>
      </c>
      <c r="D42" s="119">
        <f>'Aggregated Table'!D43</f>
        <v>4.3312806000458099</v>
      </c>
      <c r="E42" s="119">
        <f t="shared" si="0"/>
        <v>41</v>
      </c>
    </row>
    <row r="43" spans="1:5">
      <c r="A43" s="119" t="str">
        <f>'Aggregated Table'!$A$2</f>
        <v>CECONY</v>
      </c>
      <c r="B43" s="119" t="str">
        <f>'Aggregated Table'!B44</f>
        <v>Nevins Street</v>
      </c>
      <c r="C43" s="119">
        <f>'Aggregated Table'!C44</f>
        <v>716</v>
      </c>
      <c r="D43" s="119">
        <f>'Aggregated Table'!D44</f>
        <v>329.98838316101359</v>
      </c>
      <c r="E43" s="119">
        <f t="shared" si="0"/>
        <v>42</v>
      </c>
    </row>
    <row r="44" spans="1:5">
      <c r="A44" s="119" t="str">
        <f>'Aggregated Table'!$A$2</f>
        <v>CECONY</v>
      </c>
      <c r="B44" s="119" t="str">
        <f>'Aggregated Table'!B45</f>
        <v>Newtown</v>
      </c>
      <c r="C44" s="119">
        <f>'Aggregated Table'!C45</f>
        <v>117.2427</v>
      </c>
      <c r="D44" s="119">
        <f>'Aggregated Table'!D45</f>
        <v>222.2840062357408</v>
      </c>
      <c r="E44" s="119">
        <f t="shared" si="0"/>
        <v>43</v>
      </c>
    </row>
    <row r="45" spans="1:5">
      <c r="A45" s="119" t="str">
        <f>'Aggregated Table'!$A$2</f>
        <v>CECONY</v>
      </c>
      <c r="B45" s="119" t="str">
        <f>'Aggregated Table'!B46</f>
        <v xml:space="preserve">North Queens </v>
      </c>
      <c r="C45" s="119">
        <f>'Aggregated Table'!C46</f>
        <v>4.6426999999999996</v>
      </c>
      <c r="D45" s="119">
        <f>'Aggregated Table'!D46</f>
        <v>50.343023075866157</v>
      </c>
      <c r="E45" s="119">
        <f t="shared" si="0"/>
        <v>44</v>
      </c>
    </row>
    <row r="46" spans="1:5">
      <c r="A46" s="119" t="str">
        <f>'Aggregated Table'!$A$2</f>
        <v>CECONY</v>
      </c>
      <c r="B46" s="119" t="str">
        <f>'Aggregated Table'!B47</f>
        <v>Ossining West</v>
      </c>
      <c r="C46" s="119">
        <f>'Aggregated Table'!C47</f>
        <v>0</v>
      </c>
      <c r="D46" s="119">
        <f>'Aggregated Table'!D47</f>
        <v>0</v>
      </c>
      <c r="E46" s="119">
        <f t="shared" si="0"/>
        <v>45</v>
      </c>
    </row>
    <row r="47" spans="1:5">
      <c r="A47" s="119" t="str">
        <f>'Aggregated Table'!$A$2</f>
        <v>CECONY</v>
      </c>
      <c r="B47" s="119" t="str">
        <f>'Aggregated Table'!B48</f>
        <v>Parkchester No. 1</v>
      </c>
      <c r="C47" s="119">
        <f>'Aggregated Table'!C48</f>
        <v>1.41</v>
      </c>
      <c r="D47" s="119">
        <f>'Aggregated Table'!D48</f>
        <v>216.15052913874314</v>
      </c>
      <c r="E47" s="119">
        <f t="shared" si="0"/>
        <v>46</v>
      </c>
    </row>
    <row r="48" spans="1:5">
      <c r="A48" s="119" t="str">
        <f>'Aggregated Table'!$A$2</f>
        <v>CECONY</v>
      </c>
      <c r="B48" s="119" t="str">
        <f>'Aggregated Table'!B49</f>
        <v>Parkchester No. 2</v>
      </c>
      <c r="C48" s="119">
        <f>'Aggregated Table'!C49</f>
        <v>1.968</v>
      </c>
      <c r="D48" s="119">
        <f>'Aggregated Table'!D49</f>
        <v>88.610418714533878</v>
      </c>
      <c r="E48" s="119">
        <f t="shared" si="0"/>
        <v>47</v>
      </c>
    </row>
    <row r="49" spans="1:5">
      <c r="A49" s="119" t="str">
        <f>'Aggregated Table'!$A$2</f>
        <v>CECONY</v>
      </c>
      <c r="B49" s="119" t="str">
        <f>'Aggregated Table'!B50</f>
        <v>Parkview</v>
      </c>
      <c r="C49" s="119">
        <f>'Aggregated Table'!C50</f>
        <v>85</v>
      </c>
      <c r="D49" s="119">
        <f>'Aggregated Table'!D50</f>
        <v>296.25949722554589</v>
      </c>
      <c r="E49" s="119">
        <f t="shared" si="0"/>
        <v>48</v>
      </c>
    </row>
    <row r="50" spans="1:5">
      <c r="A50" s="119" t="str">
        <f>'Aggregated Table'!$A$2</f>
        <v>CECONY</v>
      </c>
      <c r="B50" s="119" t="str">
        <f>'Aggregated Table'!B51</f>
        <v>Pleasantville</v>
      </c>
      <c r="C50" s="119">
        <f>'Aggregated Table'!C51</f>
        <v>0</v>
      </c>
      <c r="D50" s="119">
        <f>'Aggregated Table'!D51</f>
        <v>0</v>
      </c>
      <c r="E50" s="119">
        <f t="shared" si="0"/>
        <v>49</v>
      </c>
    </row>
    <row r="51" spans="1:5">
      <c r="A51" s="119" t="str">
        <f>'Aggregated Table'!$A$2</f>
        <v>CECONY</v>
      </c>
      <c r="B51" s="119" t="str">
        <f>'Aggregated Table'!B52</f>
        <v>Plymouth Street</v>
      </c>
      <c r="C51" s="119">
        <f>'Aggregated Table'!C52</f>
        <v>4.7770000000000001</v>
      </c>
      <c r="D51" s="119">
        <f>'Aggregated Table'!D52</f>
        <v>60.121781917451003</v>
      </c>
      <c r="E51" s="119">
        <f t="shared" si="0"/>
        <v>50</v>
      </c>
    </row>
    <row r="52" spans="1:5">
      <c r="A52" s="119" t="str">
        <f>'Aggregated Table'!$A$2</f>
        <v>CECONY</v>
      </c>
      <c r="B52" s="119" t="str">
        <f>'Aggregated Table'!B53</f>
        <v>Rockview</v>
      </c>
      <c r="C52" s="119">
        <f>'Aggregated Table'!C53</f>
        <v>0</v>
      </c>
      <c r="D52" s="119">
        <f>'Aggregated Table'!D53</f>
        <v>0</v>
      </c>
      <c r="E52" s="119">
        <f t="shared" si="0"/>
        <v>51</v>
      </c>
    </row>
    <row r="53" spans="1:5">
      <c r="A53" s="119" t="str">
        <f>'Aggregated Table'!$A$2</f>
        <v>CECONY</v>
      </c>
      <c r="B53" s="119" t="str">
        <f>'Aggregated Table'!B54</f>
        <v>Seaport No. 1</v>
      </c>
      <c r="C53" s="119">
        <f>'Aggregated Table'!C54</f>
        <v>0</v>
      </c>
      <c r="D53" s="119">
        <f>'Aggregated Table'!D54</f>
        <v>0</v>
      </c>
      <c r="E53" s="119">
        <f t="shared" si="0"/>
        <v>52</v>
      </c>
    </row>
    <row r="54" spans="1:5">
      <c r="A54" s="119" t="str">
        <f>'Aggregated Table'!$A$2</f>
        <v>CECONY</v>
      </c>
      <c r="B54" s="119" t="str">
        <f>'Aggregated Table'!B55</f>
        <v>Seaport No. 2</v>
      </c>
      <c r="C54" s="119">
        <f>'Aggregated Table'!C55</f>
        <v>0</v>
      </c>
      <c r="D54" s="119">
        <f>'Aggregated Table'!D55</f>
        <v>0</v>
      </c>
      <c r="E54" s="119">
        <f t="shared" si="0"/>
        <v>53</v>
      </c>
    </row>
    <row r="55" spans="1:5">
      <c r="A55" s="119" t="str">
        <f>'Aggregated Table'!$A$2</f>
        <v>CECONY</v>
      </c>
      <c r="B55" s="119" t="str">
        <f>'Aggregated Table'!B56</f>
        <v>Sherman Creek</v>
      </c>
      <c r="C55" s="119">
        <f>'Aggregated Table'!C56</f>
        <v>3.048</v>
      </c>
      <c r="D55" s="119">
        <f>'Aggregated Table'!D56</f>
        <v>103.23809009937526</v>
      </c>
      <c r="E55" s="119">
        <f t="shared" si="0"/>
        <v>54</v>
      </c>
    </row>
    <row r="56" spans="1:5">
      <c r="A56" s="119" t="str">
        <f>'Aggregated Table'!$A$2</f>
        <v>CECONY</v>
      </c>
      <c r="B56" s="119" t="str">
        <f>'Aggregated Table'!B57</f>
        <v>Trade Center No. 1</v>
      </c>
      <c r="C56" s="119">
        <f>'Aggregated Table'!C57</f>
        <v>0</v>
      </c>
      <c r="D56" s="119">
        <f>'Aggregated Table'!D57</f>
        <v>0</v>
      </c>
      <c r="E56" s="119">
        <f t="shared" si="0"/>
        <v>55</v>
      </c>
    </row>
    <row r="57" spans="1:5">
      <c r="A57" s="119" t="str">
        <f>'Aggregated Table'!$A$2</f>
        <v>CECONY</v>
      </c>
      <c r="B57" s="119" t="str">
        <f>'Aggregated Table'!B58</f>
        <v>Wainwright</v>
      </c>
      <c r="C57" s="119">
        <f>'Aggregated Table'!C58</f>
        <v>0.29664999999999997</v>
      </c>
      <c r="D57" s="119">
        <f>'Aggregated Table'!D58</f>
        <v>6.5556326993431897</v>
      </c>
      <c r="E57" s="119">
        <f t="shared" si="0"/>
        <v>56</v>
      </c>
    </row>
    <row r="58" spans="1:5">
      <c r="A58" s="119" t="str">
        <f>'Aggregated Table'!$A$2</f>
        <v>CECONY</v>
      </c>
      <c r="B58" s="119" t="str">
        <f>'Aggregated Table'!B59</f>
        <v>Washington Street</v>
      </c>
      <c r="C58" s="119">
        <f>'Aggregated Table'!C59</f>
        <v>0.26400000000000001</v>
      </c>
      <c r="D58" s="119">
        <f>'Aggregated Table'!D59</f>
        <v>16.438570741433765</v>
      </c>
      <c r="E58" s="119">
        <f t="shared" si="0"/>
        <v>57</v>
      </c>
    </row>
    <row r="59" spans="1:5">
      <c r="A59" s="119" t="str">
        <f>'Aggregated Table'!$A$2</f>
        <v>CECONY</v>
      </c>
      <c r="B59" s="119" t="str">
        <f>'Aggregated Table'!B60</f>
        <v>Water Street</v>
      </c>
      <c r="C59" s="119">
        <f>'Aggregated Table'!C60</f>
        <v>4.1675499999999994</v>
      </c>
      <c r="D59" s="119">
        <f>'Aggregated Table'!D60</f>
        <v>63.391895830716443</v>
      </c>
      <c r="E59" s="119">
        <f t="shared" si="0"/>
        <v>58</v>
      </c>
    </row>
    <row r="60" spans="1:5">
      <c r="A60" s="119" t="str">
        <f>'Aggregated Table'!$A$2</f>
        <v>CECONY</v>
      </c>
      <c r="B60" s="119" t="str">
        <f>'Aggregated Table'!B61</f>
        <v>West 110th Street No. 1</v>
      </c>
      <c r="C60" s="119">
        <f>'Aggregated Table'!C61</f>
        <v>2.44</v>
      </c>
      <c r="D60" s="119">
        <f>'Aggregated Table'!D61</f>
        <v>34.126866570942042</v>
      </c>
      <c r="E60" s="119">
        <f t="shared" si="0"/>
        <v>59</v>
      </c>
    </row>
    <row r="61" spans="1:5">
      <c r="A61" s="119" t="str">
        <f>'Aggregated Table'!$A$2</f>
        <v>CECONY</v>
      </c>
      <c r="B61" s="119" t="str">
        <f>'Aggregated Table'!B62</f>
        <v>West 110th Street No. 2</v>
      </c>
      <c r="C61" s="119">
        <f>'Aggregated Table'!C62</f>
        <v>0</v>
      </c>
      <c r="D61" s="119">
        <f>'Aggregated Table'!D62</f>
        <v>0</v>
      </c>
      <c r="E61" s="119">
        <f t="shared" si="0"/>
        <v>60</v>
      </c>
    </row>
    <row r="62" spans="1:5">
      <c r="A62" s="119" t="str">
        <f>'Aggregated Table'!$A$2</f>
        <v>CECONY</v>
      </c>
      <c r="B62" s="119" t="str">
        <f>'Aggregated Table'!B63</f>
        <v>West 19th Street</v>
      </c>
      <c r="C62" s="119">
        <f>'Aggregated Table'!C63</f>
        <v>0</v>
      </c>
      <c r="D62" s="119">
        <f>'Aggregated Table'!D63</f>
        <v>0</v>
      </c>
      <c r="E62" s="119">
        <f t="shared" si="0"/>
        <v>61</v>
      </c>
    </row>
    <row r="63" spans="1:5">
      <c r="A63" s="119" t="str">
        <f>'Aggregated Table'!$A$2</f>
        <v>CECONY</v>
      </c>
      <c r="B63" s="119" t="str">
        <f>'Aggregated Table'!B64</f>
        <v>West 42nd Street No. 1</v>
      </c>
      <c r="C63" s="119">
        <f>'Aggregated Table'!C64</f>
        <v>0</v>
      </c>
      <c r="D63" s="119">
        <f>'Aggregated Table'!D64</f>
        <v>0</v>
      </c>
      <c r="E63" s="119">
        <f t="shared" si="0"/>
        <v>62</v>
      </c>
    </row>
    <row r="64" spans="1:5">
      <c r="A64" s="119" t="str">
        <f>'Aggregated Table'!$A$2</f>
        <v>CECONY</v>
      </c>
      <c r="B64" s="119" t="str">
        <f>'Aggregated Table'!B65</f>
        <v>West 42nd Street No. 2</v>
      </c>
      <c r="C64" s="119">
        <f>'Aggregated Table'!C65</f>
        <v>2.7519999999999998</v>
      </c>
      <c r="D64" s="119">
        <f>'Aggregated Table'!D65</f>
        <v>32.745326025569781</v>
      </c>
      <c r="E64" s="119">
        <f t="shared" si="0"/>
        <v>63</v>
      </c>
    </row>
    <row r="65" spans="1:16">
      <c r="A65" s="119" t="str">
        <f>'Aggregated Table'!$A$2</f>
        <v>CECONY</v>
      </c>
      <c r="B65" s="119" t="str">
        <f>'Aggregated Table'!B66</f>
        <v>West 50th Street</v>
      </c>
      <c r="C65" s="119">
        <f>'Aggregated Table'!C66</f>
        <v>2.4249999999999998</v>
      </c>
      <c r="D65" s="119">
        <f>'Aggregated Table'!D66</f>
        <v>62.082431113594964</v>
      </c>
      <c r="E65" s="119">
        <f t="shared" si="0"/>
        <v>64</v>
      </c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</row>
    <row r="66" spans="1:16">
      <c r="A66" s="119" t="str">
        <f>'Aggregated Table'!$A$2</f>
        <v>CECONY</v>
      </c>
      <c r="B66" s="119" t="str">
        <f>'Aggregated Table'!B67</f>
        <v>West 65th Street No. 1</v>
      </c>
      <c r="C66" s="119">
        <f>'Aggregated Table'!C67</f>
        <v>1.748</v>
      </c>
      <c r="D66" s="119">
        <f>'Aggregated Table'!D67</f>
        <v>58.130546130387529</v>
      </c>
      <c r="E66" s="119">
        <f t="shared" si="0"/>
        <v>65</v>
      </c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</row>
    <row r="67" spans="1:16">
      <c r="A67" s="119" t="str">
        <f>'Aggregated Table'!$A$2</f>
        <v>CECONY</v>
      </c>
      <c r="B67" s="119" t="str">
        <f>'Aggregated Table'!B68</f>
        <v>West 65th Street No. 2</v>
      </c>
      <c r="C67" s="119">
        <f>'Aggregated Table'!C68</f>
        <v>1.167</v>
      </c>
      <c r="D67" s="119">
        <f>'Aggregated Table'!D68</f>
        <v>20.964767046435458</v>
      </c>
      <c r="E67" s="119">
        <f t="shared" si="0"/>
        <v>66</v>
      </c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</row>
    <row r="68" spans="1:16">
      <c r="A68" s="119" t="str">
        <f>'Aggregated Table'!$A$2</f>
        <v>CECONY</v>
      </c>
      <c r="B68" s="119" t="str">
        <f>'Aggregated Table'!B69</f>
        <v>White Plains</v>
      </c>
      <c r="C68" s="119">
        <f>'Aggregated Table'!C69</f>
        <v>0.80800000000000005</v>
      </c>
      <c r="D68" s="119">
        <f>'Aggregated Table'!D69</f>
        <v>103.35866281743959</v>
      </c>
      <c r="E68" s="119">
        <f t="shared" ref="E68:E131" si="1">E67+1</f>
        <v>67</v>
      </c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</row>
    <row r="69" spans="1:16">
      <c r="A69" s="119" t="str">
        <f>'Aggregated Table'!$A$2</f>
        <v>CECONY</v>
      </c>
      <c r="B69" s="119" t="str">
        <f>'Aggregated Table'!B70</f>
        <v>Willowbrook</v>
      </c>
      <c r="C69" s="119">
        <f>'Aggregated Table'!C70</f>
        <v>0</v>
      </c>
      <c r="D69" s="119">
        <f>'Aggregated Table'!D70</f>
        <v>0</v>
      </c>
      <c r="E69" s="119">
        <f t="shared" si="1"/>
        <v>68</v>
      </c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</row>
    <row r="70" spans="1:16">
      <c r="A70" s="119" t="str">
        <f>'Aggregated Table'!$A$2</f>
        <v>CECONY</v>
      </c>
      <c r="B70" s="119" t="str">
        <f>'Aggregated Table'!B71</f>
        <v>Woodrow</v>
      </c>
      <c r="C70" s="119">
        <f>'Aggregated Table'!C71</f>
        <v>1.1628000000000001</v>
      </c>
      <c r="D70" s="119">
        <f>'Aggregated Table'!D71</f>
        <v>54.560309629071988</v>
      </c>
      <c r="E70" s="119">
        <f t="shared" si="1"/>
        <v>69</v>
      </c>
      <c r="F70" s="119"/>
      <c r="G70" s="119"/>
      <c r="H70" s="119"/>
      <c r="I70" s="119"/>
      <c r="J70" s="119" t="s">
        <v>608</v>
      </c>
      <c r="K70" s="119"/>
      <c r="L70" s="119"/>
      <c r="M70" s="119"/>
      <c r="N70" s="119"/>
      <c r="O70" s="119"/>
      <c r="P70" s="140" t="s">
        <v>744</v>
      </c>
    </row>
    <row r="71" spans="1:16">
      <c r="A71" s="119" t="str">
        <f>'Aggregated Table'!$A$72</f>
        <v>Central Hudson</v>
      </c>
      <c r="B71" s="119" t="str">
        <f>'Aggregated Table'!B73</f>
        <v>Clinton ave</v>
      </c>
      <c r="C71" s="140">
        <f>'Aggregated Table'!$A$492+'Aggregated Table'!C73</f>
        <v>5.1739523809523806</v>
      </c>
      <c r="D71" s="119">
        <f>'Aggregated Table'!D73</f>
        <v>9.14</v>
      </c>
      <c r="E71" s="119">
        <v>1</v>
      </c>
      <c r="F71" s="119"/>
      <c r="G71" s="119"/>
      <c r="H71" s="119">
        <f>'Aggregated Table'!C73</f>
        <v>0</v>
      </c>
      <c r="I71" s="119"/>
      <c r="J71" s="119">
        <f>'Aggregated Table'!$A$493</f>
        <v>2.73</v>
      </c>
      <c r="K71" s="119"/>
      <c r="L71" s="119">
        <f>'Aggregated Table'!D73</f>
        <v>9.14</v>
      </c>
      <c r="M71" s="119"/>
      <c r="N71" s="119"/>
      <c r="O71" s="119"/>
      <c r="P71" s="119" t="s">
        <v>1660</v>
      </c>
    </row>
    <row r="72" spans="1:16">
      <c r="A72" s="119" t="str">
        <f>'Aggregated Table'!$A$72</f>
        <v>Central Hudson</v>
      </c>
      <c r="B72" s="119" t="str">
        <f>'Aggregated Table'!B74</f>
        <v>Galeville</v>
      </c>
      <c r="C72" s="140">
        <f>'Aggregated Table'!$A$492+'Aggregated Table'!C74</f>
        <v>5.1739523809523806</v>
      </c>
      <c r="D72" s="119">
        <f>'Aggregated Table'!D74</f>
        <v>9.16</v>
      </c>
      <c r="E72" s="119">
        <f t="shared" si="1"/>
        <v>2</v>
      </c>
      <c r="F72" s="119"/>
      <c r="G72" s="119"/>
      <c r="H72" s="119">
        <f>'Aggregated Table'!C74</f>
        <v>0</v>
      </c>
      <c r="I72" s="119"/>
      <c r="J72" s="119">
        <f>'Aggregated Table'!$A$493</f>
        <v>2.73</v>
      </c>
      <c r="K72" s="119"/>
      <c r="L72" s="119">
        <f>'Aggregated Table'!D74</f>
        <v>9.16</v>
      </c>
      <c r="M72" s="119"/>
      <c r="N72" s="119"/>
      <c r="O72" s="119"/>
      <c r="P72" s="140" t="s">
        <v>745</v>
      </c>
    </row>
    <row r="73" spans="1:16">
      <c r="A73" s="119" t="str">
        <f>'Aggregated Table'!$A$72</f>
        <v>Central Hudson</v>
      </c>
      <c r="B73" s="119" t="str">
        <f>'Aggregated Table'!B75</f>
        <v>Greenfield rd</v>
      </c>
      <c r="C73" s="140">
        <f>'Aggregated Table'!$A$492+'Aggregated Table'!C75</f>
        <v>5.1739523809523806</v>
      </c>
      <c r="D73" s="119">
        <f>'Aggregated Table'!D75</f>
        <v>9.3699999999999992</v>
      </c>
      <c r="E73" s="119">
        <f t="shared" si="1"/>
        <v>3</v>
      </c>
      <c r="F73" s="119"/>
      <c r="G73" s="119"/>
      <c r="H73" s="119">
        <f>'Aggregated Table'!C75</f>
        <v>0</v>
      </c>
      <c r="I73" s="119"/>
      <c r="J73" s="119">
        <f>'Aggregated Table'!$A$493</f>
        <v>2.73</v>
      </c>
      <c r="K73" s="119"/>
      <c r="L73" s="119">
        <f>'Aggregated Table'!D75</f>
        <v>9.3699999999999992</v>
      </c>
      <c r="M73" s="119"/>
      <c r="N73" s="119"/>
      <c r="O73" s="119"/>
      <c r="P73" s="119"/>
    </row>
    <row r="74" spans="1:16">
      <c r="A74" s="119" t="str">
        <f>'Aggregated Table'!$A$72</f>
        <v>Central Hudson</v>
      </c>
      <c r="B74" s="119" t="str">
        <f>'Aggregated Table'!B76</f>
        <v>Grimley rd x1</v>
      </c>
      <c r="C74" s="140">
        <f>'Aggregated Table'!$A$492+'Aggregated Table'!C76</f>
        <v>5.1739523809523806</v>
      </c>
      <c r="D74" s="119">
        <f>'Aggregated Table'!D76</f>
        <v>9.129999999999999</v>
      </c>
      <c r="E74" s="119">
        <f t="shared" si="1"/>
        <v>4</v>
      </c>
      <c r="F74" s="119"/>
      <c r="G74" s="119"/>
      <c r="H74" s="119">
        <f>'Aggregated Table'!C76</f>
        <v>0</v>
      </c>
      <c r="I74" s="119"/>
      <c r="J74" s="119">
        <f>'Aggregated Table'!$A$493</f>
        <v>2.73</v>
      </c>
      <c r="K74" s="119"/>
      <c r="L74" s="119">
        <f>'Aggregated Table'!D76</f>
        <v>9.129999999999999</v>
      </c>
      <c r="M74" s="119"/>
      <c r="N74" s="119"/>
      <c r="O74" s="119"/>
      <c r="P74" s="119"/>
    </row>
    <row r="75" spans="1:16">
      <c r="A75" s="119" t="str">
        <f>'Aggregated Table'!$A$72</f>
        <v>Central Hudson</v>
      </c>
      <c r="B75" s="119" t="str">
        <f>'Aggregated Table'!B77</f>
        <v>Grimley rd x2</v>
      </c>
      <c r="C75" s="140">
        <f>'Aggregated Table'!$A$492+'Aggregated Table'!C77</f>
        <v>5.1739523809523806</v>
      </c>
      <c r="D75" s="119">
        <f>'Aggregated Table'!D77</f>
        <v>7.8699999999999992</v>
      </c>
      <c r="E75" s="119">
        <f t="shared" si="1"/>
        <v>5</v>
      </c>
      <c r="F75" s="119"/>
      <c r="G75" s="119"/>
      <c r="H75" s="119">
        <f>'Aggregated Table'!C77</f>
        <v>0</v>
      </c>
      <c r="I75" s="119"/>
      <c r="J75" s="119">
        <f>'Aggregated Table'!$A$493</f>
        <v>2.73</v>
      </c>
      <c r="K75" s="119"/>
      <c r="L75" s="119">
        <f>'Aggregated Table'!D77</f>
        <v>7.8699999999999992</v>
      </c>
      <c r="M75" s="119"/>
      <c r="N75" s="119"/>
      <c r="O75" s="119"/>
      <c r="P75" s="119"/>
    </row>
    <row r="76" spans="1:16">
      <c r="A76" s="119" t="str">
        <f>'Aggregated Table'!$A$72</f>
        <v>Central Hudson</v>
      </c>
      <c r="B76" s="119" t="str">
        <f>'Aggregated Table'!B78</f>
        <v>High falls</v>
      </c>
      <c r="C76" s="140">
        <f>'Aggregated Table'!$A$492+'Aggregated Table'!C78</f>
        <v>5.1739523809523806</v>
      </c>
      <c r="D76" s="119">
        <f>'Aggregated Table'!D78</f>
        <v>9.17</v>
      </c>
      <c r="E76" s="119">
        <f t="shared" si="1"/>
        <v>6</v>
      </c>
      <c r="F76" s="119"/>
      <c r="G76" s="119"/>
      <c r="H76" s="119">
        <f>'Aggregated Table'!C78</f>
        <v>0</v>
      </c>
      <c r="I76" s="119"/>
      <c r="J76" s="119">
        <f>'Aggregated Table'!$A$493</f>
        <v>2.73</v>
      </c>
      <c r="K76" s="119"/>
      <c r="L76" s="119">
        <f>'Aggregated Table'!D78</f>
        <v>9.17</v>
      </c>
      <c r="M76" s="119"/>
      <c r="N76" s="119"/>
      <c r="O76" s="119"/>
      <c r="P76" s="119"/>
    </row>
    <row r="77" spans="1:16">
      <c r="A77" s="119" t="str">
        <f>'Aggregated Table'!$A$72</f>
        <v>Central Hudson</v>
      </c>
      <c r="B77" s="119" t="str">
        <f>'Aggregated Table'!B79</f>
        <v>Honk falls</v>
      </c>
      <c r="C77" s="140">
        <f>'Aggregated Table'!$A$492+'Aggregated Table'!C79</f>
        <v>5.1739523809523806</v>
      </c>
      <c r="D77" s="119">
        <f>'Aggregated Table'!D79</f>
        <v>9.129999999999999</v>
      </c>
      <c r="E77" s="119">
        <f t="shared" si="1"/>
        <v>7</v>
      </c>
      <c r="F77" s="119"/>
      <c r="G77" s="119"/>
      <c r="H77" s="119">
        <f>'Aggregated Table'!C79</f>
        <v>0</v>
      </c>
      <c r="I77" s="119"/>
      <c r="J77" s="119">
        <f>'Aggregated Table'!$A$493</f>
        <v>2.73</v>
      </c>
      <c r="K77" s="119"/>
      <c r="L77" s="119">
        <f>'Aggregated Table'!D79</f>
        <v>9.129999999999999</v>
      </c>
      <c r="M77" s="119"/>
      <c r="N77" s="119"/>
      <c r="O77" s="119"/>
      <c r="P77" s="119"/>
    </row>
    <row r="78" spans="1:16">
      <c r="A78" s="119" t="str">
        <f>'Aggregated Table'!$A$72</f>
        <v>Central Hudson</v>
      </c>
      <c r="B78" s="119" t="str">
        <f>'Aggregated Table'!B80</f>
        <v>Kerhonkson</v>
      </c>
      <c r="C78" s="140">
        <f>'Aggregated Table'!$A$492+'Aggregated Table'!C80</f>
        <v>5.1739523809523806</v>
      </c>
      <c r="D78" s="119">
        <f>'Aggregated Table'!D80</f>
        <v>9.1999999999999993</v>
      </c>
      <c r="E78" s="119">
        <f t="shared" si="1"/>
        <v>8</v>
      </c>
      <c r="F78" s="119"/>
      <c r="G78" s="119"/>
      <c r="H78" s="119">
        <f>'Aggregated Table'!C80</f>
        <v>0</v>
      </c>
      <c r="I78" s="119"/>
      <c r="J78" s="119">
        <f>'Aggregated Table'!$A$493</f>
        <v>2.73</v>
      </c>
      <c r="K78" s="119"/>
      <c r="L78" s="119">
        <f>'Aggregated Table'!D80</f>
        <v>9.1999999999999993</v>
      </c>
      <c r="M78" s="119"/>
      <c r="N78" s="119"/>
      <c r="O78" s="119"/>
      <c r="P78" s="119"/>
    </row>
    <row r="79" spans="1:16">
      <c r="A79" s="119" t="str">
        <f>'Aggregated Table'!$A$72</f>
        <v>Central Hudson</v>
      </c>
      <c r="B79" s="119" t="str">
        <f>'Aggregated Table'!B81</f>
        <v>Neversink</v>
      </c>
      <c r="C79" s="140">
        <f>'Aggregated Table'!$A$492+'Aggregated Table'!C81</f>
        <v>5.1739523809523806</v>
      </c>
      <c r="D79" s="119">
        <f>'Aggregated Table'!D81</f>
        <v>9.1499999999999986</v>
      </c>
      <c r="E79" s="119">
        <f t="shared" si="1"/>
        <v>9</v>
      </c>
      <c r="F79" s="119"/>
      <c r="G79" s="119"/>
      <c r="H79" s="119">
        <f>'Aggregated Table'!C81</f>
        <v>0</v>
      </c>
      <c r="I79" s="119"/>
      <c r="J79" s="119">
        <f>'Aggregated Table'!$A$493</f>
        <v>2.73</v>
      </c>
      <c r="K79" s="119"/>
      <c r="L79" s="119">
        <f>'Aggregated Table'!D81</f>
        <v>9.1499999999999986</v>
      </c>
      <c r="M79" s="119"/>
      <c r="N79" s="119"/>
      <c r="O79" s="119"/>
      <c r="P79" s="119"/>
    </row>
    <row r="80" spans="1:16">
      <c r="A80" s="119" t="str">
        <f>'Aggregated Table'!$A$72</f>
        <v>Central Hudson</v>
      </c>
      <c r="B80" s="119" t="str">
        <f>'Aggregated Table'!B82</f>
        <v>East Kingston</v>
      </c>
      <c r="C80" s="140">
        <f>'Aggregated Table'!$A$492+'Aggregated Table'!C82</f>
        <v>5.1739523809523806</v>
      </c>
      <c r="D80" s="119">
        <f>'Aggregated Table'!D82</f>
        <v>9.129999999999999</v>
      </c>
      <c r="E80" s="119">
        <f t="shared" si="1"/>
        <v>10</v>
      </c>
      <c r="F80" s="119"/>
      <c r="G80" s="119"/>
      <c r="H80" s="119">
        <f>'Aggregated Table'!C82</f>
        <v>0</v>
      </c>
      <c r="I80" s="119"/>
      <c r="J80" s="119">
        <f>'Aggregated Table'!$A$493</f>
        <v>2.73</v>
      </c>
      <c r="K80" s="119"/>
      <c r="L80" s="119">
        <f>'Aggregated Table'!D82</f>
        <v>9.129999999999999</v>
      </c>
      <c r="M80" s="119"/>
      <c r="N80" s="119"/>
      <c r="O80" s="119"/>
      <c r="P80" s="119"/>
    </row>
    <row r="81" spans="1:12">
      <c r="A81" s="119" t="str">
        <f>'Aggregated Table'!$A$72</f>
        <v>Central Hudson</v>
      </c>
      <c r="B81" s="119" t="str">
        <f>'Aggregated Table'!B83</f>
        <v>Lincoln Park</v>
      </c>
      <c r="C81" s="140">
        <f>'Aggregated Table'!$A$492+'Aggregated Table'!C83</f>
        <v>5.1739523809523806</v>
      </c>
      <c r="D81" s="119">
        <f>'Aggregated Table'!D83</f>
        <v>9.1999999999999993</v>
      </c>
      <c r="E81" s="119">
        <f t="shared" si="1"/>
        <v>11</v>
      </c>
      <c r="F81" s="119"/>
      <c r="G81" s="119"/>
      <c r="H81" s="119">
        <f>'Aggregated Table'!C83</f>
        <v>0</v>
      </c>
      <c r="I81" s="119"/>
      <c r="J81" s="119">
        <f>'Aggregated Table'!$A$493</f>
        <v>2.73</v>
      </c>
      <c r="K81" s="119"/>
      <c r="L81" s="119">
        <f>'Aggregated Table'!D83</f>
        <v>9.1999999999999993</v>
      </c>
    </row>
    <row r="82" spans="1:12">
      <c r="A82" s="119" t="str">
        <f>'Aggregated Table'!$A$72</f>
        <v>Central Hudson</v>
      </c>
      <c r="B82" s="119" t="str">
        <f>'Aggregated Table'!B84</f>
        <v>Rhinebeck</v>
      </c>
      <c r="C82" s="140">
        <f>'Aggregated Table'!$A$492+'Aggregated Table'!C84</f>
        <v>5.1739523809523806</v>
      </c>
      <c r="D82" s="119">
        <f>'Aggregated Table'!D84</f>
        <v>9.32</v>
      </c>
      <c r="E82" s="119">
        <f t="shared" si="1"/>
        <v>12</v>
      </c>
      <c r="F82" s="119"/>
      <c r="G82" s="119"/>
      <c r="H82" s="119">
        <f>'Aggregated Table'!C84</f>
        <v>0</v>
      </c>
      <c r="I82" s="119"/>
      <c r="J82" s="119">
        <f>'Aggregated Table'!$A$493</f>
        <v>2.73</v>
      </c>
      <c r="K82" s="119"/>
      <c r="L82" s="119">
        <f>'Aggregated Table'!D84</f>
        <v>9.32</v>
      </c>
    </row>
    <row r="83" spans="1:12">
      <c r="A83" s="119" t="str">
        <f>'Aggregated Table'!$A$72</f>
        <v>Central Hudson</v>
      </c>
      <c r="B83" s="119" t="str">
        <f>'Aggregated Table'!B85</f>
        <v>Knapps corners</v>
      </c>
      <c r="C83" s="140">
        <f>'Aggregated Table'!$A$492+'Aggregated Table'!C85</f>
        <v>5.1739523809523806</v>
      </c>
      <c r="D83" s="119">
        <f>'Aggregated Table'!D85</f>
        <v>9.33</v>
      </c>
      <c r="E83" s="119">
        <f t="shared" si="1"/>
        <v>13</v>
      </c>
      <c r="F83" s="119"/>
      <c r="G83" s="119"/>
      <c r="H83" s="119">
        <f>'Aggregated Table'!C85</f>
        <v>0</v>
      </c>
      <c r="I83" s="119"/>
      <c r="J83" s="119">
        <f>'Aggregated Table'!$A$493</f>
        <v>2.73</v>
      </c>
      <c r="K83" s="119"/>
      <c r="L83" s="119">
        <f>'Aggregated Table'!D85</f>
        <v>9.33</v>
      </c>
    </row>
    <row r="84" spans="1:12">
      <c r="A84" s="119" t="str">
        <f>'Aggregated Table'!$A$72</f>
        <v>Central Hudson</v>
      </c>
      <c r="B84" s="119" t="str">
        <f>'Aggregated Table'!B86</f>
        <v>Manchester</v>
      </c>
      <c r="C84" s="140">
        <f>'Aggregated Table'!$A$492+'Aggregated Table'!C86</f>
        <v>5.1739523809523806</v>
      </c>
      <c r="D84" s="119">
        <f>'Aggregated Table'!D86</f>
        <v>9.129999999999999</v>
      </c>
      <c r="E84" s="119">
        <f t="shared" si="1"/>
        <v>14</v>
      </c>
      <c r="F84" s="119"/>
      <c r="G84" s="119"/>
      <c r="H84" s="119">
        <f>'Aggregated Table'!C86</f>
        <v>0</v>
      </c>
      <c r="I84" s="119"/>
      <c r="J84" s="119">
        <f>'Aggregated Table'!$A$493</f>
        <v>2.73</v>
      </c>
      <c r="K84" s="119"/>
      <c r="L84" s="119">
        <f>'Aggregated Table'!D86</f>
        <v>9.129999999999999</v>
      </c>
    </row>
    <row r="85" spans="1:12">
      <c r="A85" s="119" t="str">
        <f>'Aggregated Table'!$A$72</f>
        <v>Central Hudson</v>
      </c>
      <c r="B85" s="119" t="str">
        <f>'Aggregated Table'!B87</f>
        <v>Sand Dock-distribution</v>
      </c>
      <c r="C85" s="140">
        <f>'Aggregated Table'!$A$492+'Aggregated Table'!C87</f>
        <v>5.1739523809523806</v>
      </c>
      <c r="D85" s="119">
        <f>'Aggregated Table'!D87</f>
        <v>9.129999999999999</v>
      </c>
      <c r="E85" s="119">
        <f t="shared" si="1"/>
        <v>15</v>
      </c>
      <c r="F85" s="119"/>
      <c r="G85" s="119"/>
      <c r="H85" s="119">
        <f>'Aggregated Table'!C87</f>
        <v>0</v>
      </c>
      <c r="I85" s="119"/>
      <c r="J85" s="119">
        <f>'Aggregated Table'!$A$493</f>
        <v>2.73</v>
      </c>
      <c r="K85" s="119"/>
      <c r="L85" s="119">
        <f>'Aggregated Table'!D87</f>
        <v>9.129999999999999</v>
      </c>
    </row>
    <row r="86" spans="1:12">
      <c r="A86" s="119" t="str">
        <f>'Aggregated Table'!$A$72</f>
        <v>Central Hudson</v>
      </c>
      <c r="B86" s="119" t="str">
        <f>'Aggregated Table'!B88</f>
        <v>Sand Dock-Industrial</v>
      </c>
      <c r="C86" s="140">
        <f>'Aggregated Table'!$A$492+'Aggregated Table'!C88</f>
        <v>5.1739523809523806</v>
      </c>
      <c r="D86" s="119">
        <f>'Aggregated Table'!D88</f>
        <v>9.129999999999999</v>
      </c>
      <c r="E86" s="119">
        <f t="shared" si="1"/>
        <v>16</v>
      </c>
      <c r="F86" s="119"/>
      <c r="G86" s="119"/>
      <c r="H86" s="119">
        <f>'Aggregated Table'!C88</f>
        <v>0</v>
      </c>
      <c r="I86" s="119"/>
      <c r="J86" s="119">
        <f>'Aggregated Table'!$A$493</f>
        <v>2.73</v>
      </c>
      <c r="K86" s="119"/>
      <c r="L86" s="119">
        <f>'Aggregated Table'!D88</f>
        <v>9.129999999999999</v>
      </c>
    </row>
    <row r="87" spans="1:12">
      <c r="A87" s="119" t="str">
        <f>'Aggregated Table'!$A$72</f>
        <v>Central Hudson</v>
      </c>
      <c r="B87" s="119" t="str">
        <f>'Aggregated Table'!B89</f>
        <v>Spackenkill</v>
      </c>
      <c r="C87" s="140">
        <f>'Aggregated Table'!$A$492+'Aggregated Table'!C89</f>
        <v>5.1739523809523806</v>
      </c>
      <c r="D87" s="119">
        <f>'Aggregated Table'!D89</f>
        <v>9.129999999999999</v>
      </c>
      <c r="E87" s="119">
        <f t="shared" si="1"/>
        <v>17</v>
      </c>
      <c r="F87" s="119"/>
      <c r="G87" s="119"/>
      <c r="H87" s="119">
        <f>'Aggregated Table'!C89</f>
        <v>0</v>
      </c>
      <c r="I87" s="119"/>
      <c r="J87" s="119">
        <f>'Aggregated Table'!$A$493</f>
        <v>2.73</v>
      </c>
      <c r="K87" s="119"/>
      <c r="L87" s="119">
        <f>'Aggregated Table'!D89</f>
        <v>9.129999999999999</v>
      </c>
    </row>
    <row r="88" spans="1:12">
      <c r="A88" s="119" t="str">
        <f>'Aggregated Table'!$A$72</f>
        <v>Central Hudson</v>
      </c>
      <c r="B88" s="119" t="str">
        <f>'Aggregated Table'!B90</f>
        <v>North Catskill</v>
      </c>
      <c r="C88" s="140">
        <f>'Aggregated Table'!$A$492+'Aggregated Table'!C90</f>
        <v>5.1739523809523806</v>
      </c>
      <c r="D88" s="119">
        <f>'Aggregated Table'!D90</f>
        <v>6.49</v>
      </c>
      <c r="E88" s="119">
        <f t="shared" si="1"/>
        <v>18</v>
      </c>
      <c r="F88" s="119"/>
      <c r="G88" s="119"/>
      <c r="H88" s="119">
        <f>'Aggregated Table'!C90</f>
        <v>0</v>
      </c>
      <c r="I88" s="119"/>
      <c r="J88" s="119">
        <f>'Aggregated Table'!$A$493</f>
        <v>2.73</v>
      </c>
      <c r="K88" s="119"/>
      <c r="L88" s="119">
        <f>'Aggregated Table'!D90</f>
        <v>6.49</v>
      </c>
    </row>
    <row r="89" spans="1:12">
      <c r="A89" s="119" t="str">
        <f>'Aggregated Table'!$A$72</f>
        <v>Central Hudson</v>
      </c>
      <c r="B89" s="119" t="str">
        <f>'Aggregated Table'!B91</f>
        <v>Woodstock</v>
      </c>
      <c r="C89" s="140">
        <f>'Aggregated Table'!$A$492+'Aggregated Table'!C91</f>
        <v>11.97395238095238</v>
      </c>
      <c r="D89" s="119">
        <f>'Aggregated Table'!D91</f>
        <v>145.99</v>
      </c>
      <c r="E89" s="119">
        <f t="shared" si="1"/>
        <v>19</v>
      </c>
      <c r="F89" s="119"/>
      <c r="G89" s="119"/>
      <c r="H89" s="119">
        <f>'Aggregated Table'!C91</f>
        <v>6.8</v>
      </c>
      <c r="I89" s="119"/>
      <c r="J89" s="119">
        <f>'Aggregated Table'!$A$493</f>
        <v>2.73</v>
      </c>
      <c r="K89" s="119"/>
      <c r="L89" s="119">
        <f>'Aggregated Table'!D91</f>
        <v>145.99</v>
      </c>
    </row>
    <row r="90" spans="1:12">
      <c r="A90" s="119" t="str">
        <f>'Aggregated Table'!$A$72</f>
        <v>Central Hudson</v>
      </c>
      <c r="B90" s="119" t="str">
        <f>'Aggregated Table'!B92</f>
        <v>Saugerties</v>
      </c>
      <c r="C90" s="140">
        <f>'Aggregated Table'!$A$492+'Aggregated Table'!C92</f>
        <v>5.1739523809523806</v>
      </c>
      <c r="D90" s="119">
        <f>'Aggregated Table'!D92</f>
        <v>9.24</v>
      </c>
      <c r="E90" s="119">
        <f t="shared" si="1"/>
        <v>20</v>
      </c>
      <c r="F90" s="119"/>
      <c r="G90" s="119"/>
      <c r="H90" s="119">
        <f>'Aggregated Table'!C92</f>
        <v>0</v>
      </c>
      <c r="I90" s="119"/>
      <c r="J90" s="119">
        <f>'Aggregated Table'!$A$493</f>
        <v>2.73</v>
      </c>
      <c r="K90" s="119"/>
      <c r="L90" s="119">
        <f>'Aggregated Table'!D92</f>
        <v>9.24</v>
      </c>
    </row>
    <row r="91" spans="1:12">
      <c r="A91" s="119" t="str">
        <f>'Aggregated Table'!$A$72</f>
        <v>Central Hudson</v>
      </c>
      <c r="B91" s="119" t="str">
        <f>'Aggregated Table'!B93</f>
        <v>Ancram</v>
      </c>
      <c r="C91" s="140">
        <f>'Aggregated Table'!$A$492+'Aggregated Table'!C93</f>
        <v>5.1739523809523806</v>
      </c>
      <c r="D91" s="119">
        <f>'Aggregated Table'!D93</f>
        <v>9.129999999999999</v>
      </c>
      <c r="E91" s="119">
        <f t="shared" si="1"/>
        <v>21</v>
      </c>
      <c r="F91" s="119"/>
      <c r="G91" s="119"/>
      <c r="H91" s="119">
        <f>'Aggregated Table'!C93</f>
        <v>0</v>
      </c>
      <c r="I91" s="119"/>
      <c r="J91" s="119">
        <f>'Aggregated Table'!$A$493</f>
        <v>2.73</v>
      </c>
      <c r="K91" s="119"/>
      <c r="L91" s="119">
        <f>'Aggregated Table'!D93</f>
        <v>9.129999999999999</v>
      </c>
    </row>
    <row r="92" spans="1:12">
      <c r="A92" s="119" t="str">
        <f>'Aggregated Table'!$A$72</f>
        <v>Central Hudson</v>
      </c>
      <c r="B92" s="119" t="str">
        <f>'Aggregated Table'!B94</f>
        <v>East park</v>
      </c>
      <c r="C92" s="140">
        <f>'Aggregated Table'!$A$492+'Aggregated Table'!C94</f>
        <v>5.1739523809523806</v>
      </c>
      <c r="D92" s="119">
        <f>'Aggregated Table'!D94</f>
        <v>9.129999999999999</v>
      </c>
      <c r="E92" s="119">
        <f t="shared" si="1"/>
        <v>22</v>
      </c>
      <c r="F92" s="119"/>
      <c r="G92" s="119"/>
      <c r="H92" s="119">
        <f>'Aggregated Table'!C94</f>
        <v>0</v>
      </c>
      <c r="I92" s="119"/>
      <c r="J92" s="119">
        <f>'Aggregated Table'!$A$493</f>
        <v>2.73</v>
      </c>
      <c r="K92" s="119"/>
      <c r="L92" s="119">
        <f>'Aggregated Table'!D94</f>
        <v>9.129999999999999</v>
      </c>
    </row>
    <row r="93" spans="1:12">
      <c r="A93" s="119" t="str">
        <f>'Aggregated Table'!$A$72</f>
        <v>Central Hudson</v>
      </c>
      <c r="B93" s="119" t="str">
        <f>'Aggregated Table'!B95</f>
        <v>Hibernia</v>
      </c>
      <c r="C93" s="140">
        <f>'Aggregated Table'!$A$492+'Aggregated Table'!C95</f>
        <v>5.1739523809523806</v>
      </c>
      <c r="D93" s="119">
        <f>'Aggregated Table'!D95</f>
        <v>9.2099999999999991</v>
      </c>
      <c r="E93" s="119">
        <f t="shared" si="1"/>
        <v>23</v>
      </c>
      <c r="F93" s="119"/>
      <c r="G93" s="119"/>
      <c r="H93" s="119">
        <f>'Aggregated Table'!C95</f>
        <v>0</v>
      </c>
      <c r="I93" s="119"/>
      <c r="J93" s="119">
        <f>'Aggregated Table'!$A$493</f>
        <v>2.73</v>
      </c>
      <c r="K93" s="119"/>
      <c r="L93" s="119">
        <f>'Aggregated Table'!D95</f>
        <v>9.2099999999999991</v>
      </c>
    </row>
    <row r="94" spans="1:12">
      <c r="A94" s="119" t="str">
        <f>'Aggregated Table'!$A$72</f>
        <v>Central Hudson</v>
      </c>
      <c r="B94" s="119" t="str">
        <f>'Aggregated Table'!B96</f>
        <v>Millerton</v>
      </c>
      <c r="C94" s="140">
        <f>'Aggregated Table'!$A$492+'Aggregated Table'!C96</f>
        <v>5.1739523809523806</v>
      </c>
      <c r="D94" s="119">
        <f>'Aggregated Table'!D96</f>
        <v>9.129999999999999</v>
      </c>
      <c r="E94" s="119">
        <f t="shared" si="1"/>
        <v>24</v>
      </c>
      <c r="F94" s="119"/>
      <c r="G94" s="119"/>
      <c r="H94" s="119">
        <f>'Aggregated Table'!C96</f>
        <v>0</v>
      </c>
      <c r="I94" s="119"/>
      <c r="J94" s="119">
        <f>'Aggregated Table'!$A$493</f>
        <v>2.73</v>
      </c>
      <c r="K94" s="119"/>
      <c r="L94" s="119">
        <f>'Aggregated Table'!D96</f>
        <v>9.129999999999999</v>
      </c>
    </row>
    <row r="95" spans="1:12">
      <c r="A95" s="119" t="str">
        <f>'Aggregated Table'!$A$72</f>
        <v>Central Hudson</v>
      </c>
      <c r="B95" s="119" t="str">
        <f>'Aggregated Table'!B97</f>
        <v>pulvers 13kv</v>
      </c>
      <c r="C95" s="140">
        <f>'Aggregated Table'!$A$492+'Aggregated Table'!C97</f>
        <v>12.423952380952381</v>
      </c>
      <c r="D95" s="119">
        <f>'Aggregated Table'!D97</f>
        <v>87.550000000000011</v>
      </c>
      <c r="E95" s="119">
        <f t="shared" si="1"/>
        <v>25</v>
      </c>
      <c r="F95" s="119"/>
      <c r="G95" s="119"/>
      <c r="H95" s="119">
        <f>'Aggregated Table'!C97</f>
        <v>7.25</v>
      </c>
      <c r="I95" s="119"/>
      <c r="J95" s="119">
        <f>'Aggregated Table'!$A$493</f>
        <v>2.73</v>
      </c>
      <c r="K95" s="119"/>
      <c r="L95" s="119">
        <f>'Aggregated Table'!D97</f>
        <v>87.550000000000011</v>
      </c>
    </row>
    <row r="96" spans="1:12">
      <c r="A96" s="119" t="str">
        <f>'Aggregated Table'!$A$72</f>
        <v>Central Hudson</v>
      </c>
      <c r="B96" s="119" t="str">
        <f>'Aggregated Table'!B98</f>
        <v>Pulvers 34kv</v>
      </c>
      <c r="C96" s="140">
        <f>'Aggregated Table'!$A$492+'Aggregated Table'!C98</f>
        <v>5.1739523809523806</v>
      </c>
      <c r="D96" s="119">
        <f>'Aggregated Table'!D98</f>
        <v>9.129999999999999</v>
      </c>
      <c r="E96" s="119">
        <f t="shared" si="1"/>
        <v>26</v>
      </c>
      <c r="F96" s="119"/>
      <c r="G96" s="119"/>
      <c r="H96" s="119">
        <f>'Aggregated Table'!C98</f>
        <v>0</v>
      </c>
      <c r="I96" s="119"/>
      <c r="J96" s="119">
        <f>'Aggregated Table'!$A$493</f>
        <v>2.73</v>
      </c>
      <c r="K96" s="119"/>
      <c r="L96" s="119">
        <f>'Aggregated Table'!D98</f>
        <v>9.129999999999999</v>
      </c>
    </row>
    <row r="97" spans="1:12">
      <c r="A97" s="119" t="str">
        <f>'Aggregated Table'!$A$72</f>
        <v>Central Hudson</v>
      </c>
      <c r="B97" s="119" t="str">
        <f>'Aggregated Table'!B99</f>
        <v>Smithfield</v>
      </c>
      <c r="C97" s="140">
        <f>'Aggregated Table'!$A$492+'Aggregated Table'!C99</f>
        <v>5.1739523809523806</v>
      </c>
      <c r="D97" s="119">
        <f>'Aggregated Table'!D99</f>
        <v>9.129999999999999</v>
      </c>
      <c r="E97" s="119">
        <f t="shared" si="1"/>
        <v>27</v>
      </c>
      <c r="F97" s="119"/>
      <c r="G97" s="119"/>
      <c r="H97" s="119">
        <f>'Aggregated Table'!C99</f>
        <v>0</v>
      </c>
      <c r="I97" s="119"/>
      <c r="J97" s="119">
        <f>'Aggregated Table'!$A$493</f>
        <v>2.73</v>
      </c>
      <c r="K97" s="119"/>
      <c r="L97" s="119">
        <f>'Aggregated Table'!D99</f>
        <v>9.129999999999999</v>
      </c>
    </row>
    <row r="98" spans="1:12">
      <c r="A98" s="119" t="str">
        <f>'Aggregated Table'!$A$72</f>
        <v>Central Hudson</v>
      </c>
      <c r="B98" s="119" t="str">
        <f>'Aggregated Table'!B100</f>
        <v>Staatsburg</v>
      </c>
      <c r="C98" s="140">
        <f>'Aggregated Table'!$A$492+'Aggregated Table'!C100</f>
        <v>5.1739523809523806</v>
      </c>
      <c r="D98" s="119">
        <f>'Aggregated Table'!D100</f>
        <v>9.14</v>
      </c>
      <c r="E98" s="119">
        <f t="shared" si="1"/>
        <v>28</v>
      </c>
      <c r="F98" s="119"/>
      <c r="G98" s="119"/>
      <c r="H98" s="119">
        <f>'Aggregated Table'!C100</f>
        <v>0</v>
      </c>
      <c r="I98" s="119"/>
      <c r="J98" s="119">
        <f>'Aggregated Table'!$A$493</f>
        <v>2.73</v>
      </c>
      <c r="K98" s="119"/>
      <c r="L98" s="119">
        <f>'Aggregated Table'!D100</f>
        <v>9.14</v>
      </c>
    </row>
    <row r="99" spans="1:12">
      <c r="A99" s="119" t="str">
        <f>'Aggregated Table'!$A$72</f>
        <v>Central Hudson</v>
      </c>
      <c r="B99" s="119" t="str">
        <f>'Aggregated Table'!B101</f>
        <v>Stanfordville</v>
      </c>
      <c r="C99" s="140">
        <f>'Aggregated Table'!$A$492+'Aggregated Table'!C101</f>
        <v>5.1739523809523806</v>
      </c>
      <c r="D99" s="119">
        <f>'Aggregated Table'!D101</f>
        <v>9.64</v>
      </c>
      <c r="E99" s="119">
        <f t="shared" si="1"/>
        <v>29</v>
      </c>
      <c r="F99" s="119"/>
      <c r="G99" s="119"/>
      <c r="H99" s="119">
        <f>'Aggregated Table'!C101</f>
        <v>0</v>
      </c>
      <c r="I99" s="119"/>
      <c r="J99" s="119">
        <f>'Aggregated Table'!$A$493</f>
        <v>2.73</v>
      </c>
      <c r="K99" s="119"/>
      <c r="L99" s="119">
        <f>'Aggregated Table'!D101</f>
        <v>9.64</v>
      </c>
    </row>
    <row r="100" spans="1:12">
      <c r="A100" s="119" t="str">
        <f>'Aggregated Table'!$A$72</f>
        <v>Central Hudson</v>
      </c>
      <c r="B100" s="119" t="str">
        <f>'Aggregated Table'!B102</f>
        <v>Tinkertown</v>
      </c>
      <c r="C100" s="140">
        <f>'Aggregated Table'!$A$492+'Aggregated Table'!C102</f>
        <v>5.1739523809523806</v>
      </c>
      <c r="D100" s="119">
        <f>'Aggregated Table'!D102</f>
        <v>9.1499999999999986</v>
      </c>
      <c r="E100" s="119">
        <f t="shared" si="1"/>
        <v>30</v>
      </c>
      <c r="F100" s="119"/>
      <c r="G100" s="119"/>
      <c r="H100" s="119">
        <f>'Aggregated Table'!C102</f>
        <v>0</v>
      </c>
      <c r="I100" s="119"/>
      <c r="J100" s="119">
        <f>'Aggregated Table'!$A$493</f>
        <v>2.73</v>
      </c>
      <c r="K100" s="119"/>
      <c r="L100" s="119">
        <f>'Aggregated Table'!D102</f>
        <v>9.1499999999999986</v>
      </c>
    </row>
    <row r="101" spans="1:12">
      <c r="A101" s="119" t="str">
        <f>'Aggregated Table'!$A$72</f>
        <v>Central Hudson</v>
      </c>
      <c r="B101" s="119" t="str">
        <f>'Aggregated Table'!B103</f>
        <v>Bethlehem Rd</v>
      </c>
      <c r="C101" s="140">
        <f>'Aggregated Table'!$A$492+'Aggregated Table'!C103</f>
        <v>5.1739523809523806</v>
      </c>
      <c r="D101" s="119">
        <f>'Aggregated Table'!D103</f>
        <v>6.62</v>
      </c>
      <c r="E101" s="119">
        <f t="shared" si="1"/>
        <v>31</v>
      </c>
      <c r="F101" s="119"/>
      <c r="G101" s="119"/>
      <c r="H101" s="119">
        <f>'Aggregated Table'!C103</f>
        <v>0</v>
      </c>
      <c r="I101" s="119"/>
      <c r="J101" s="119">
        <f>'Aggregated Table'!$A$493</f>
        <v>2.73</v>
      </c>
      <c r="K101" s="119"/>
      <c r="L101" s="119">
        <f>'Aggregated Table'!D103</f>
        <v>6.62</v>
      </c>
    </row>
    <row r="102" spans="1:12">
      <c r="A102" s="119" t="str">
        <f>'Aggregated Table'!$A$72</f>
        <v>Central Hudson</v>
      </c>
      <c r="B102" s="119" t="str">
        <f>'Aggregated Table'!B104</f>
        <v>Union Ave</v>
      </c>
      <c r="C102" s="140">
        <f>'Aggregated Table'!$A$492+'Aggregated Table'!C104</f>
        <v>5.1739523809523806</v>
      </c>
      <c r="D102" s="119">
        <f>'Aggregated Table'!D104</f>
        <v>6.6</v>
      </c>
      <c r="E102" s="119">
        <f t="shared" si="1"/>
        <v>32</v>
      </c>
      <c r="F102" s="119"/>
      <c r="G102" s="119"/>
      <c r="H102" s="119">
        <f>'Aggregated Table'!C104</f>
        <v>0</v>
      </c>
      <c r="I102" s="119"/>
      <c r="J102" s="119">
        <f>'Aggregated Table'!$A$493</f>
        <v>2.73</v>
      </c>
      <c r="K102" s="119"/>
      <c r="L102" s="119">
        <f>'Aggregated Table'!D104</f>
        <v>6.6</v>
      </c>
    </row>
    <row r="103" spans="1:12">
      <c r="A103" s="119" t="str">
        <f>'Aggregated Table'!$A$72</f>
        <v>Central Hudson</v>
      </c>
      <c r="B103" s="119" t="str">
        <f>'Aggregated Table'!B105</f>
        <v>Forgebrook</v>
      </c>
      <c r="C103" s="140">
        <f>'Aggregated Table'!$A$492+'Aggregated Table'!C105</f>
        <v>5.1739523809523806</v>
      </c>
      <c r="D103" s="119">
        <f>'Aggregated Table'!D105</f>
        <v>9.6499999999999986</v>
      </c>
      <c r="E103" s="119">
        <f t="shared" si="1"/>
        <v>33</v>
      </c>
      <c r="F103" s="119"/>
      <c r="G103" s="119"/>
      <c r="H103" s="119">
        <f>'Aggregated Table'!C105</f>
        <v>0</v>
      </c>
      <c r="I103" s="119"/>
      <c r="J103" s="119">
        <f>'Aggregated Table'!$A$493</f>
        <v>2.73</v>
      </c>
      <c r="K103" s="119"/>
      <c r="L103" s="119">
        <f>'Aggregated Table'!D105</f>
        <v>9.6499999999999986</v>
      </c>
    </row>
    <row r="104" spans="1:12">
      <c r="A104" s="119" t="str">
        <f>'Aggregated Table'!$A$72</f>
        <v>Central Hudson</v>
      </c>
      <c r="B104" s="119" t="str">
        <f>'Aggregated Table'!B106</f>
        <v>Merritt Park</v>
      </c>
      <c r="C104" s="140">
        <f>'Aggregated Table'!$A$492+'Aggregated Table'!C106</f>
        <v>5.1739523809523806</v>
      </c>
      <c r="D104" s="119">
        <f>'Aggregated Table'!D106</f>
        <v>9.3000000000000007</v>
      </c>
      <c r="E104" s="119">
        <f t="shared" si="1"/>
        <v>34</v>
      </c>
      <c r="F104" s="119"/>
      <c r="G104" s="119"/>
      <c r="H104" s="119">
        <f>'Aggregated Table'!C106</f>
        <v>0</v>
      </c>
      <c r="I104" s="119"/>
      <c r="J104" s="119">
        <f>'Aggregated Table'!$A$493</f>
        <v>2.73</v>
      </c>
      <c r="K104" s="119"/>
      <c r="L104" s="119">
        <f>'Aggregated Table'!D106</f>
        <v>9.3000000000000007</v>
      </c>
    </row>
    <row r="105" spans="1:12">
      <c r="A105" s="119" t="str">
        <f>'Aggregated Table'!$A$72</f>
        <v>Central Hudson</v>
      </c>
      <c r="B105" s="119" t="str">
        <f>'Aggregated Table'!B107</f>
        <v>Shenandoah Distribution</v>
      </c>
      <c r="C105" s="140">
        <f>'Aggregated Table'!$A$492+'Aggregated Table'!C107</f>
        <v>5.1739523809523806</v>
      </c>
      <c r="D105" s="119">
        <f>'Aggregated Table'!D107</f>
        <v>9.129999999999999</v>
      </c>
      <c r="E105" s="119">
        <f t="shared" si="1"/>
        <v>35</v>
      </c>
      <c r="F105" s="119"/>
      <c r="G105" s="119"/>
      <c r="H105" s="119">
        <f>'Aggregated Table'!C107</f>
        <v>0</v>
      </c>
      <c r="I105" s="119"/>
      <c r="J105" s="119">
        <f>'Aggregated Table'!$A$493</f>
        <v>2.73</v>
      </c>
      <c r="K105" s="119"/>
      <c r="L105" s="119">
        <f>'Aggregated Table'!D107</f>
        <v>9.129999999999999</v>
      </c>
    </row>
    <row r="106" spans="1:12">
      <c r="A106" s="119" t="str">
        <f>'Aggregated Table'!$A$72</f>
        <v>Central Hudson</v>
      </c>
      <c r="B106" s="119" t="str">
        <f>'Aggregated Table'!B108</f>
        <v>Tioronda</v>
      </c>
      <c r="C106" s="140">
        <f>'Aggregated Table'!$A$492+'Aggregated Table'!C108</f>
        <v>5.1739523809523806</v>
      </c>
      <c r="D106" s="119">
        <f>'Aggregated Table'!D108</f>
        <v>9.35</v>
      </c>
      <c r="E106" s="119">
        <f t="shared" si="1"/>
        <v>36</v>
      </c>
      <c r="F106" s="119"/>
      <c r="G106" s="119"/>
      <c r="H106" s="119">
        <f>'Aggregated Table'!C108</f>
        <v>0</v>
      </c>
      <c r="I106" s="119"/>
      <c r="J106" s="119">
        <f>'Aggregated Table'!$A$493</f>
        <v>2.73</v>
      </c>
      <c r="K106" s="119"/>
      <c r="L106" s="119">
        <f>'Aggregated Table'!D108</f>
        <v>9.35</v>
      </c>
    </row>
    <row r="107" spans="1:12">
      <c r="A107" s="119" t="str">
        <f>'Aggregated Table'!$A$72</f>
        <v>Central Hudson</v>
      </c>
      <c r="B107" s="119" t="str">
        <f>'Aggregated Table'!B109</f>
        <v>Wiccopee</v>
      </c>
      <c r="C107" s="140">
        <f>'Aggregated Table'!$A$492+'Aggregated Table'!C109</f>
        <v>5.1739523809523806</v>
      </c>
      <c r="D107" s="119">
        <f>'Aggregated Table'!D109</f>
        <v>14.76</v>
      </c>
      <c r="E107" s="119">
        <f t="shared" si="1"/>
        <v>37</v>
      </c>
      <c r="F107" s="119"/>
      <c r="G107" s="119"/>
      <c r="H107" s="119">
        <f>'Aggregated Table'!C109</f>
        <v>0</v>
      </c>
      <c r="I107" s="119"/>
      <c r="J107" s="119">
        <f>'Aggregated Table'!$A$493</f>
        <v>2.73</v>
      </c>
      <c r="K107" s="119"/>
      <c r="L107" s="119">
        <f>'Aggregated Table'!D109</f>
        <v>14.76</v>
      </c>
    </row>
    <row r="108" spans="1:12">
      <c r="A108" s="119" t="str">
        <f>'Aggregated Table'!$A$72</f>
        <v>Central Hudson</v>
      </c>
      <c r="B108" s="119" t="str">
        <f>'Aggregated Table'!B110</f>
        <v>Boulevard</v>
      </c>
      <c r="C108" s="140">
        <f>'Aggregated Table'!$A$492+'Aggregated Table'!C110</f>
        <v>5.1739523809523806</v>
      </c>
      <c r="D108" s="119">
        <f>'Aggregated Table'!D110</f>
        <v>9.18</v>
      </c>
      <c r="E108" s="119">
        <f t="shared" si="1"/>
        <v>38</v>
      </c>
      <c r="F108" s="119"/>
      <c r="G108" s="119"/>
      <c r="H108" s="119">
        <f>'Aggregated Table'!C110</f>
        <v>0</v>
      </c>
      <c r="I108" s="119"/>
      <c r="J108" s="119">
        <f>'Aggregated Table'!$A$493</f>
        <v>2.73</v>
      </c>
      <c r="K108" s="119"/>
      <c r="L108" s="119">
        <f>'Aggregated Table'!D110</f>
        <v>9.18</v>
      </c>
    </row>
    <row r="109" spans="1:12">
      <c r="A109" s="119" t="str">
        <f>'Aggregated Table'!$A$72</f>
        <v>Central Hudson</v>
      </c>
      <c r="B109" s="119" t="str">
        <f>'Aggregated Table'!B111</f>
        <v>Coldenham</v>
      </c>
      <c r="C109" s="140">
        <f>'Aggregated Table'!$A$492+'Aggregated Table'!C111</f>
        <v>5.1739523809523806</v>
      </c>
      <c r="D109" s="119">
        <f>'Aggregated Table'!D111</f>
        <v>9.16</v>
      </c>
      <c r="E109" s="119">
        <f t="shared" si="1"/>
        <v>39</v>
      </c>
      <c r="F109" s="119"/>
      <c r="G109" s="119"/>
      <c r="H109" s="119">
        <f>'Aggregated Table'!C111</f>
        <v>0</v>
      </c>
      <c r="I109" s="119"/>
      <c r="J109" s="119">
        <f>'Aggregated Table'!$A$493</f>
        <v>2.73</v>
      </c>
      <c r="K109" s="119"/>
      <c r="L109" s="119">
        <f>'Aggregated Table'!D111</f>
        <v>9.16</v>
      </c>
    </row>
    <row r="110" spans="1:12">
      <c r="A110" s="119" t="str">
        <f>'Aggregated Table'!$A$72</f>
        <v>Central Hudson</v>
      </c>
      <c r="B110" s="119" t="str">
        <f>'Aggregated Table'!B112</f>
        <v>East walden</v>
      </c>
      <c r="C110" s="140">
        <f>'Aggregated Table'!$A$492+'Aggregated Table'!C112</f>
        <v>5.1739523809523806</v>
      </c>
      <c r="D110" s="119">
        <f>'Aggregated Table'!D112</f>
        <v>9.129999999999999</v>
      </c>
      <c r="E110" s="119">
        <f t="shared" si="1"/>
        <v>40</v>
      </c>
      <c r="F110" s="119"/>
      <c r="G110" s="119"/>
      <c r="H110" s="119">
        <f>'Aggregated Table'!C112</f>
        <v>0</v>
      </c>
      <c r="I110" s="119"/>
      <c r="J110" s="119">
        <f>'Aggregated Table'!$A$493</f>
        <v>2.73</v>
      </c>
      <c r="K110" s="119"/>
      <c r="L110" s="119">
        <f>'Aggregated Table'!D112</f>
        <v>9.129999999999999</v>
      </c>
    </row>
    <row r="111" spans="1:12">
      <c r="A111" s="119" t="str">
        <f>'Aggregated Table'!$A$72</f>
        <v>Central Hudson</v>
      </c>
      <c r="B111" s="119" t="str">
        <f>'Aggregated Table'!B113</f>
        <v>Fishkill Plains</v>
      </c>
      <c r="C111" s="140">
        <f>'Aggregated Table'!$A$492+'Aggregated Table'!C113</f>
        <v>5.1739523809523806</v>
      </c>
      <c r="D111" s="119">
        <f>'Aggregated Table'!D113</f>
        <v>9.129999999999999</v>
      </c>
      <c r="E111" s="119">
        <f t="shared" si="1"/>
        <v>41</v>
      </c>
      <c r="F111" s="119"/>
      <c r="G111" s="119"/>
      <c r="H111" s="119">
        <f>'Aggregated Table'!C113</f>
        <v>0</v>
      </c>
      <c r="I111" s="119"/>
      <c r="J111" s="119">
        <f>'Aggregated Table'!$A$493</f>
        <v>2.73</v>
      </c>
      <c r="K111" s="119"/>
      <c r="L111" s="119">
        <f>'Aggregated Table'!D113</f>
        <v>9.129999999999999</v>
      </c>
    </row>
    <row r="112" spans="1:12">
      <c r="A112" s="119" t="str">
        <f>'Aggregated Table'!$A$72</f>
        <v>Central Hudson</v>
      </c>
      <c r="B112" s="119" t="str">
        <f>'Aggregated Table'!B114</f>
        <v>Highland</v>
      </c>
      <c r="C112" s="140">
        <f>'Aggregated Table'!$A$492+'Aggregated Table'!C114</f>
        <v>5.1739523809523806</v>
      </c>
      <c r="D112" s="119">
        <f>'Aggregated Table'!D114</f>
        <v>9.16</v>
      </c>
      <c r="E112" s="119">
        <f t="shared" si="1"/>
        <v>42</v>
      </c>
      <c r="F112" s="119"/>
      <c r="G112" s="119"/>
      <c r="H112" s="119">
        <f>'Aggregated Table'!C114</f>
        <v>0</v>
      </c>
      <c r="I112" s="119"/>
      <c r="J112" s="119">
        <f>'Aggregated Table'!$A$493</f>
        <v>2.73</v>
      </c>
      <c r="K112" s="119"/>
      <c r="L112" s="119">
        <f>'Aggregated Table'!D114</f>
        <v>9.16</v>
      </c>
    </row>
    <row r="113" spans="1:12">
      <c r="A113" s="119" t="str">
        <f>'Aggregated Table'!$A$72</f>
        <v>Central Hudson</v>
      </c>
      <c r="B113" s="119" t="str">
        <f>'Aggregated Table'!B115</f>
        <v>Hurley Ave</v>
      </c>
      <c r="C113" s="140">
        <f>'Aggregated Table'!$A$492+'Aggregated Table'!C115</f>
        <v>15.573952380952381</v>
      </c>
      <c r="D113" s="119">
        <f>'Aggregated Table'!D115</f>
        <v>63.6</v>
      </c>
      <c r="E113" s="119">
        <f t="shared" si="1"/>
        <v>43</v>
      </c>
      <c r="F113" s="119"/>
      <c r="G113" s="119"/>
      <c r="H113" s="119">
        <f>'Aggregated Table'!C115</f>
        <v>10.4</v>
      </c>
      <c r="I113" s="119"/>
      <c r="J113" s="119">
        <f>'Aggregated Table'!$A$493</f>
        <v>2.73</v>
      </c>
      <c r="K113" s="119"/>
      <c r="L113" s="119">
        <f>'Aggregated Table'!D115</f>
        <v>63.6</v>
      </c>
    </row>
    <row r="114" spans="1:12">
      <c r="A114" s="119" t="str">
        <f>'Aggregated Table'!$A$72</f>
        <v>Central Hudson</v>
      </c>
      <c r="B114" s="119" t="str">
        <f>'Aggregated Table'!B116</f>
        <v>Inwood Ave</v>
      </c>
      <c r="C114" s="140">
        <f>'Aggregated Table'!$A$492+'Aggregated Table'!C116</f>
        <v>5.1739523809523806</v>
      </c>
      <c r="D114" s="119">
        <f>'Aggregated Table'!D116</f>
        <v>9.2099999999999991</v>
      </c>
      <c r="E114" s="119">
        <f t="shared" si="1"/>
        <v>44</v>
      </c>
      <c r="F114" s="119"/>
      <c r="G114" s="119"/>
      <c r="H114" s="119">
        <f>'Aggregated Table'!C116</f>
        <v>0</v>
      </c>
      <c r="I114" s="119"/>
      <c r="J114" s="119">
        <f>'Aggregated Table'!$A$493</f>
        <v>2.73</v>
      </c>
      <c r="K114" s="119"/>
      <c r="L114" s="119">
        <f>'Aggregated Table'!D116</f>
        <v>9.2099999999999991</v>
      </c>
    </row>
    <row r="115" spans="1:12">
      <c r="A115" s="119" t="str">
        <f>'Aggregated Table'!$A$72</f>
        <v>Central Hudson</v>
      </c>
      <c r="B115" s="119" t="str">
        <f>'Aggregated Table'!B117</f>
        <v>Marlboro</v>
      </c>
      <c r="C115" s="140">
        <f>'Aggregated Table'!$A$492+'Aggregated Table'!C117</f>
        <v>5.1739523809523806</v>
      </c>
      <c r="D115" s="119">
        <f>'Aggregated Table'!D117</f>
        <v>9.1999999999999993</v>
      </c>
      <c r="E115" s="119">
        <f t="shared" si="1"/>
        <v>45</v>
      </c>
      <c r="F115" s="119"/>
      <c r="G115" s="119"/>
      <c r="H115" s="119">
        <f>'Aggregated Table'!C117</f>
        <v>0</v>
      </c>
      <c r="I115" s="119"/>
      <c r="J115" s="119">
        <f>'Aggregated Table'!$A$493</f>
        <v>2.73</v>
      </c>
      <c r="K115" s="119"/>
      <c r="L115" s="119">
        <f>'Aggregated Table'!D117</f>
        <v>9.1999999999999993</v>
      </c>
    </row>
    <row r="116" spans="1:12">
      <c r="A116" s="119" t="str">
        <f>'Aggregated Table'!$A$72</f>
        <v>Central Hudson</v>
      </c>
      <c r="B116" s="119" t="str">
        <f>'Aggregated Table'!B118</f>
        <v>Milan</v>
      </c>
      <c r="C116" s="140">
        <f>'Aggregated Table'!$A$492+'Aggregated Table'!C118</f>
        <v>5.1739523809523806</v>
      </c>
      <c r="D116" s="119">
        <f>'Aggregated Table'!D118</f>
        <v>9.14</v>
      </c>
      <c r="E116" s="119">
        <f t="shared" si="1"/>
        <v>46</v>
      </c>
      <c r="F116" s="119"/>
      <c r="G116" s="119"/>
      <c r="H116" s="119">
        <f>'Aggregated Table'!C118</f>
        <v>0</v>
      </c>
      <c r="I116" s="119"/>
      <c r="J116" s="119">
        <f>'Aggregated Table'!$A$493</f>
        <v>2.73</v>
      </c>
      <c r="K116" s="119"/>
      <c r="L116" s="119">
        <f>'Aggregated Table'!D118</f>
        <v>9.14</v>
      </c>
    </row>
    <row r="117" spans="1:12">
      <c r="A117" s="119" t="str">
        <f>'Aggregated Table'!$A$72</f>
        <v>Central Hudson</v>
      </c>
      <c r="B117" s="119" t="str">
        <f>'Aggregated Table'!B119</f>
        <v>Modena</v>
      </c>
      <c r="C117" s="140">
        <f>'Aggregated Table'!$A$492+'Aggregated Table'!C119</f>
        <v>5.1739523809523806</v>
      </c>
      <c r="D117" s="119">
        <f>'Aggregated Table'!D119</f>
        <v>9.51</v>
      </c>
      <c r="E117" s="119">
        <f t="shared" si="1"/>
        <v>47</v>
      </c>
      <c r="F117" s="119"/>
      <c r="G117" s="119"/>
      <c r="H117" s="119">
        <f>'Aggregated Table'!C119</f>
        <v>0</v>
      </c>
      <c r="I117" s="119"/>
      <c r="J117" s="119">
        <f>'Aggregated Table'!$A$493</f>
        <v>2.73</v>
      </c>
      <c r="K117" s="119"/>
      <c r="L117" s="119">
        <f>'Aggregated Table'!D119</f>
        <v>9.51</v>
      </c>
    </row>
    <row r="118" spans="1:12">
      <c r="A118" s="119" t="str">
        <f>'Aggregated Table'!$A$72</f>
        <v>Central Hudson</v>
      </c>
      <c r="B118" s="119" t="str">
        <f>'Aggregated Table'!B120</f>
        <v>Myers</v>
      </c>
      <c r="C118" s="140">
        <f>'Aggregated Table'!$A$492+'Aggregated Table'!C120</f>
        <v>5.1739523809523806</v>
      </c>
      <c r="D118" s="119">
        <f>'Aggregated Table'!D120</f>
        <v>9.14</v>
      </c>
      <c r="E118" s="119">
        <f t="shared" si="1"/>
        <v>48</v>
      </c>
      <c r="F118" s="119"/>
      <c r="G118" s="119"/>
      <c r="H118" s="119">
        <f>'Aggregated Table'!C120</f>
        <v>0</v>
      </c>
      <c r="I118" s="119"/>
      <c r="J118" s="119">
        <f>'Aggregated Table'!$A$493</f>
        <v>2.73</v>
      </c>
      <c r="K118" s="119"/>
      <c r="L118" s="119">
        <f>'Aggregated Table'!D120</f>
        <v>9.14</v>
      </c>
    </row>
    <row r="119" spans="1:12">
      <c r="A119" s="119" t="str">
        <f>'Aggregated Table'!$A$72</f>
        <v>Central Hudson</v>
      </c>
      <c r="B119" s="119" t="str">
        <f>'Aggregated Table'!B121</f>
        <v>North Chelsea</v>
      </c>
      <c r="C119" s="140">
        <f>'Aggregated Table'!$A$492+'Aggregated Table'!C121</f>
        <v>5.1739523809523806</v>
      </c>
      <c r="D119" s="119">
        <f>'Aggregated Table'!D121</f>
        <v>9.3999999999999986</v>
      </c>
      <c r="E119" s="119">
        <f t="shared" si="1"/>
        <v>49</v>
      </c>
      <c r="F119" s="119"/>
      <c r="G119" s="119"/>
      <c r="H119" s="119">
        <f>'Aggregated Table'!C121</f>
        <v>0</v>
      </c>
      <c r="I119" s="119"/>
      <c r="J119" s="119">
        <f>'Aggregated Table'!$A$493</f>
        <v>2.73</v>
      </c>
      <c r="K119" s="119"/>
      <c r="L119" s="119">
        <f>'Aggregated Table'!D121</f>
        <v>9.3999999999999986</v>
      </c>
    </row>
    <row r="120" spans="1:12">
      <c r="A120" s="119" t="str">
        <f>'Aggregated Table'!$A$72</f>
        <v>Central Hudson</v>
      </c>
      <c r="B120" s="119" t="str">
        <f>'Aggregated Table'!B122</f>
        <v>Ohioville</v>
      </c>
      <c r="C120" s="140">
        <f>'Aggregated Table'!$A$492+'Aggregated Table'!C122</f>
        <v>5.1739523809523806</v>
      </c>
      <c r="D120" s="119">
        <f>'Aggregated Table'!D122</f>
        <v>9.1499999999999986</v>
      </c>
      <c r="E120" s="119">
        <f t="shared" si="1"/>
        <v>50</v>
      </c>
      <c r="F120" s="119"/>
      <c r="G120" s="119"/>
      <c r="H120" s="119">
        <f>'Aggregated Table'!C122</f>
        <v>0</v>
      </c>
      <c r="I120" s="119"/>
      <c r="J120" s="119">
        <f>'Aggregated Table'!$A$493</f>
        <v>2.73</v>
      </c>
      <c r="K120" s="119"/>
      <c r="L120" s="119">
        <f>'Aggregated Table'!D122</f>
        <v>9.1499999999999986</v>
      </c>
    </row>
    <row r="121" spans="1:12">
      <c r="A121" s="119" t="str">
        <f>'Aggregated Table'!$A$72</f>
        <v>Central Hudson</v>
      </c>
      <c r="B121" s="119" t="str">
        <f>'Aggregated Table'!B123</f>
        <v>Reynolds Hill</v>
      </c>
      <c r="C121" s="140">
        <f>'Aggregated Table'!$A$492+'Aggregated Table'!C123</f>
        <v>5.1739523809523806</v>
      </c>
      <c r="D121" s="119">
        <f>'Aggregated Table'!D123</f>
        <v>9.19</v>
      </c>
      <c r="E121" s="119">
        <f t="shared" si="1"/>
        <v>51</v>
      </c>
      <c r="F121" s="119"/>
      <c r="G121" s="119"/>
      <c r="H121" s="119">
        <f>'Aggregated Table'!C123</f>
        <v>0</v>
      </c>
      <c r="I121" s="119"/>
      <c r="J121" s="119">
        <f>'Aggregated Table'!$A$493</f>
        <v>2.73</v>
      </c>
      <c r="K121" s="119"/>
      <c r="L121" s="119">
        <f>'Aggregated Table'!D123</f>
        <v>9.19</v>
      </c>
    </row>
    <row r="122" spans="1:12">
      <c r="A122" s="119" t="str">
        <f>'Aggregated Table'!$A$72</f>
        <v>Central Hudson</v>
      </c>
      <c r="B122" s="119" t="str">
        <f>'Aggregated Table'!B124</f>
        <v>Sturgeon Pool</v>
      </c>
      <c r="C122" s="140">
        <f>'Aggregated Table'!$A$492+'Aggregated Table'!C124</f>
        <v>5.1739523809523806</v>
      </c>
      <c r="D122" s="119">
        <f>'Aggregated Table'!D124</f>
        <v>9.129999999999999</v>
      </c>
      <c r="E122" s="119">
        <f t="shared" si="1"/>
        <v>52</v>
      </c>
      <c r="F122" s="119"/>
      <c r="G122" s="119"/>
      <c r="H122" s="119">
        <f>'Aggregated Table'!C124</f>
        <v>0</v>
      </c>
      <c r="I122" s="119"/>
      <c r="J122" s="119">
        <f>'Aggregated Table'!$A$493</f>
        <v>2.73</v>
      </c>
      <c r="K122" s="119"/>
      <c r="L122" s="119">
        <f>'Aggregated Table'!D124</f>
        <v>9.129999999999999</v>
      </c>
    </row>
    <row r="123" spans="1:12">
      <c r="A123" s="119" t="str">
        <f>'Aggregated Table'!$A$72</f>
        <v>Central Hudson</v>
      </c>
      <c r="B123" s="119" t="str">
        <f>'Aggregated Table'!B125</f>
        <v>Todd hill</v>
      </c>
      <c r="C123" s="140">
        <f>'Aggregated Table'!$A$492+'Aggregated Table'!C125</f>
        <v>5.1739523809523806</v>
      </c>
      <c r="D123" s="119">
        <f>'Aggregated Table'!D125</f>
        <v>9.48</v>
      </c>
      <c r="E123" s="119">
        <f t="shared" si="1"/>
        <v>53</v>
      </c>
      <c r="F123" s="119"/>
      <c r="G123" s="119"/>
      <c r="H123" s="119">
        <f>'Aggregated Table'!C125</f>
        <v>0</v>
      </c>
      <c r="I123" s="119"/>
      <c r="J123" s="119">
        <f>'Aggregated Table'!$A$493</f>
        <v>2.73</v>
      </c>
      <c r="K123" s="119"/>
      <c r="L123" s="119">
        <f>'Aggregated Table'!D125</f>
        <v>9.48</v>
      </c>
    </row>
    <row r="124" spans="1:12">
      <c r="A124" s="119" t="str">
        <f>'Aggregated Table'!$A$72</f>
        <v>Central Hudson</v>
      </c>
      <c r="B124" s="119" t="str">
        <f>'Aggregated Table'!B126</f>
        <v>West Balmville</v>
      </c>
      <c r="C124" s="140">
        <f>'Aggregated Table'!$A$492+'Aggregated Table'!C126</f>
        <v>5.1739523809523806</v>
      </c>
      <c r="D124" s="119">
        <f>'Aggregated Table'!D126</f>
        <v>9.2099999999999991</v>
      </c>
      <c r="E124" s="119">
        <f t="shared" si="1"/>
        <v>54</v>
      </c>
      <c r="F124" s="119"/>
      <c r="G124" s="119"/>
      <c r="H124" s="119">
        <f>'Aggregated Table'!C126</f>
        <v>0</v>
      </c>
      <c r="I124" s="119"/>
      <c r="J124" s="119">
        <f>'Aggregated Table'!$A$493</f>
        <v>2.73</v>
      </c>
      <c r="K124" s="119"/>
      <c r="L124" s="119">
        <f>'Aggregated Table'!D126</f>
        <v>9.2099999999999991</v>
      </c>
    </row>
    <row r="125" spans="1:12">
      <c r="A125" s="119" t="str">
        <f>'Aggregated Table'!$A$72</f>
        <v>Central Hudson</v>
      </c>
      <c r="B125" s="119" t="str">
        <f>'Aggregated Table'!B127</f>
        <v>Maybrook</v>
      </c>
      <c r="C125" s="140">
        <f>'Aggregated Table'!$A$492+'Aggregated Table'!C127</f>
        <v>29.173952380952379</v>
      </c>
      <c r="D125" s="119">
        <f>'Aggregated Table'!D127</f>
        <v>58.04</v>
      </c>
      <c r="E125" s="119">
        <f t="shared" si="1"/>
        <v>55</v>
      </c>
      <c r="F125" s="119"/>
      <c r="G125" s="119"/>
      <c r="H125" s="119">
        <f>'Aggregated Table'!C127</f>
        <v>24</v>
      </c>
      <c r="I125" s="119"/>
      <c r="J125" s="119">
        <f>'Aggregated Table'!$A$493</f>
        <v>2.73</v>
      </c>
      <c r="K125" s="119"/>
      <c r="L125" s="119">
        <f>'Aggregated Table'!D127</f>
        <v>58.04</v>
      </c>
    </row>
    <row r="126" spans="1:12">
      <c r="A126" s="119" t="str">
        <f>'Aggregated Table'!$A$72</f>
        <v>Central Hudson</v>
      </c>
      <c r="B126" s="119" t="str">
        <f>'Aggregated Table'!B128</f>
        <v>Montgomery</v>
      </c>
      <c r="C126" s="140">
        <f>'Aggregated Table'!$A$492+'Aggregated Table'!C128</f>
        <v>5.1739523809523806</v>
      </c>
      <c r="D126" s="119">
        <f>'Aggregated Table'!D128</f>
        <v>9.2899999999999991</v>
      </c>
      <c r="E126" s="119">
        <f t="shared" si="1"/>
        <v>56</v>
      </c>
      <c r="F126" s="119"/>
      <c r="G126" s="119"/>
      <c r="H126" s="119">
        <f>'Aggregated Table'!C128</f>
        <v>0</v>
      </c>
      <c r="I126" s="119"/>
      <c r="J126" s="119">
        <f>'Aggregated Table'!$A$493</f>
        <v>2.73</v>
      </c>
      <c r="K126" s="119"/>
      <c r="L126" s="119">
        <f>'Aggregated Table'!D128</f>
        <v>9.2899999999999991</v>
      </c>
    </row>
    <row r="127" spans="1:12">
      <c r="A127" s="119" t="str">
        <f>'Aggregated Table'!$A$72</f>
        <v>Central Hudson</v>
      </c>
      <c r="B127" s="119" t="str">
        <f>'Aggregated Table'!B129</f>
        <v>Coxsackie</v>
      </c>
      <c r="C127" s="140">
        <f>'Aggregated Table'!$A$492+'Aggregated Table'!C129</f>
        <v>5.1739523809523806</v>
      </c>
      <c r="D127" s="119">
        <f>'Aggregated Table'!D129</f>
        <v>9.26</v>
      </c>
      <c r="E127" s="119">
        <f t="shared" si="1"/>
        <v>57</v>
      </c>
      <c r="F127" s="119"/>
      <c r="G127" s="119"/>
      <c r="H127" s="119">
        <f>'Aggregated Table'!C129</f>
        <v>0</v>
      </c>
      <c r="I127" s="119"/>
      <c r="J127" s="119">
        <f>'Aggregated Table'!$A$493</f>
        <v>2.73</v>
      </c>
      <c r="K127" s="119"/>
      <c r="L127" s="119">
        <f>'Aggregated Table'!D129</f>
        <v>9.26</v>
      </c>
    </row>
    <row r="128" spans="1:12">
      <c r="A128" s="119" t="str">
        <f>'Aggregated Table'!$A$72</f>
        <v>Central Hudson</v>
      </c>
      <c r="B128" s="119" t="str">
        <f>'Aggregated Table'!B130</f>
        <v>Freehold</v>
      </c>
      <c r="C128" s="140">
        <f>'Aggregated Table'!$A$492+'Aggregated Table'!C130</f>
        <v>5.1739523809523806</v>
      </c>
      <c r="D128" s="119">
        <f>'Aggregated Table'!D130</f>
        <v>9.3099999999999987</v>
      </c>
      <c r="E128" s="119">
        <f t="shared" si="1"/>
        <v>58</v>
      </c>
      <c r="F128" s="119"/>
      <c r="G128" s="119"/>
      <c r="H128" s="119">
        <f>'Aggregated Table'!C130</f>
        <v>0</v>
      </c>
      <c r="I128" s="119"/>
      <c r="J128" s="119">
        <f>'Aggregated Table'!$A$493</f>
        <v>2.73</v>
      </c>
      <c r="K128" s="119"/>
      <c r="L128" s="119">
        <f>'Aggregated Table'!D130</f>
        <v>9.3099999999999987</v>
      </c>
    </row>
    <row r="129" spans="1:18">
      <c r="A129" s="119" t="str">
        <f>'Aggregated Table'!$A$72</f>
        <v>Central Hudson</v>
      </c>
      <c r="B129" s="119" t="str">
        <f>'Aggregated Table'!B131</f>
        <v>Hunter</v>
      </c>
      <c r="C129" s="140">
        <f>'Aggregated Table'!$A$492+'Aggregated Table'!C131</f>
        <v>5.1739523809523806</v>
      </c>
      <c r="D129" s="119">
        <f>'Aggregated Table'!D131</f>
        <v>9.129999999999999</v>
      </c>
      <c r="E129" s="119">
        <f t="shared" si="1"/>
        <v>59</v>
      </c>
      <c r="F129" s="119"/>
      <c r="G129" s="119"/>
      <c r="H129" s="119">
        <f>'Aggregated Table'!C131</f>
        <v>0</v>
      </c>
      <c r="I129" s="119"/>
      <c r="J129" s="119">
        <f>'Aggregated Table'!$A$493</f>
        <v>2.73</v>
      </c>
      <c r="K129" s="119"/>
      <c r="L129" s="119">
        <f>'Aggregated Table'!D131</f>
        <v>9.129999999999999</v>
      </c>
      <c r="M129" s="119"/>
      <c r="N129" s="119"/>
      <c r="O129" s="119"/>
      <c r="P129" s="119"/>
      <c r="Q129" s="119"/>
      <c r="R129" s="119"/>
    </row>
    <row r="130" spans="1:18">
      <c r="A130" s="119" t="str">
        <f>'Aggregated Table'!$A$72</f>
        <v>Central Hudson</v>
      </c>
      <c r="B130" s="119" t="str">
        <f>'Aggregated Table'!B132</f>
        <v>Lawrenceville</v>
      </c>
      <c r="C130" s="140">
        <f>'Aggregated Table'!$A$492+'Aggregated Table'!C132</f>
        <v>5.1739523809523806</v>
      </c>
      <c r="D130" s="119">
        <f>'Aggregated Table'!D132</f>
        <v>9.129999999999999</v>
      </c>
      <c r="E130" s="119">
        <f t="shared" si="1"/>
        <v>60</v>
      </c>
      <c r="F130" s="119"/>
      <c r="G130" s="119"/>
      <c r="H130" s="119">
        <f>'Aggregated Table'!C132</f>
        <v>0</v>
      </c>
      <c r="I130" s="119"/>
      <c r="J130" s="119">
        <f>'Aggregated Table'!$A$493</f>
        <v>2.73</v>
      </c>
      <c r="K130" s="119"/>
      <c r="L130" s="119">
        <f>'Aggregated Table'!D132</f>
        <v>9.129999999999999</v>
      </c>
      <c r="M130" s="119"/>
      <c r="N130" s="119"/>
      <c r="O130" s="119"/>
      <c r="P130" s="119"/>
      <c r="Q130" s="119"/>
      <c r="R130" s="119"/>
    </row>
    <row r="131" spans="1:18">
      <c r="A131" s="119" t="str">
        <f>'Aggregated Table'!$A$72</f>
        <v>Central Hudson</v>
      </c>
      <c r="B131" s="119" t="str">
        <f>'Aggregated Table'!B133</f>
        <v>New Baltimore</v>
      </c>
      <c r="C131" s="140">
        <f>'Aggregated Table'!$A$492+'Aggregated Table'!C133</f>
        <v>18.573952380952381</v>
      </c>
      <c r="D131" s="119">
        <f>'Aggregated Table'!D133</f>
        <v>10.220000000000001</v>
      </c>
      <c r="E131" s="119">
        <f t="shared" si="1"/>
        <v>61</v>
      </c>
      <c r="F131" s="119"/>
      <c r="G131" s="119"/>
      <c r="H131" s="119">
        <f>'Aggregated Table'!C133</f>
        <v>13.4</v>
      </c>
      <c r="I131" s="119"/>
      <c r="J131" s="119">
        <f>'Aggregated Table'!$A$493</f>
        <v>2.73</v>
      </c>
      <c r="K131" s="119"/>
      <c r="L131" s="119">
        <f>'Aggregated Table'!D133</f>
        <v>10.220000000000001</v>
      </c>
      <c r="M131" s="119"/>
      <c r="N131" s="119"/>
      <c r="O131" s="119"/>
      <c r="P131" s="119"/>
      <c r="Q131" s="119"/>
      <c r="R131" s="119"/>
    </row>
    <row r="132" spans="1:18">
      <c r="A132" s="119" t="str">
        <f>'Aggregated Table'!$A$72</f>
        <v>Central Hudson</v>
      </c>
      <c r="B132" s="119" t="str">
        <f>'Aggregated Table'!B134</f>
        <v>South Cairo</v>
      </c>
      <c r="C132" s="140">
        <f>'Aggregated Table'!$A$492+'Aggregated Table'!C134</f>
        <v>5.1739523809523806</v>
      </c>
      <c r="D132" s="119">
        <f>'Aggregated Table'!D134</f>
        <v>9.2899999999999991</v>
      </c>
      <c r="E132" s="119">
        <f t="shared" ref="E132:E195" si="2">E131+1</f>
        <v>62</v>
      </c>
      <c r="F132" s="119"/>
      <c r="G132" s="119"/>
      <c r="H132" s="119">
        <f>'Aggregated Table'!C134</f>
        <v>0</v>
      </c>
      <c r="I132" s="119"/>
      <c r="J132" s="119">
        <f>'Aggregated Table'!$A$493</f>
        <v>2.73</v>
      </c>
      <c r="K132" s="119"/>
      <c r="L132" s="119">
        <f>'Aggregated Table'!D134</f>
        <v>9.2899999999999991</v>
      </c>
      <c r="M132" s="119"/>
      <c r="N132" s="119"/>
      <c r="O132" s="119"/>
      <c r="P132" s="119"/>
      <c r="Q132" s="119"/>
      <c r="R132" s="119"/>
    </row>
    <row r="133" spans="1:18">
      <c r="A133" s="119" t="str">
        <f>'Aggregated Table'!$A$72</f>
        <v>Central Hudson</v>
      </c>
      <c r="B133" s="119" t="str">
        <f>'Aggregated Table'!B135</f>
        <v>Vinegar Hill</v>
      </c>
      <c r="C133" s="140">
        <f>'Aggregated Table'!$A$492+'Aggregated Table'!C135</f>
        <v>5.1739523809523806</v>
      </c>
      <c r="D133" s="119">
        <f>'Aggregated Table'!D135</f>
        <v>9.129999999999999</v>
      </c>
      <c r="E133" s="119">
        <f t="shared" si="2"/>
        <v>63</v>
      </c>
      <c r="F133" s="119"/>
      <c r="G133" s="119"/>
      <c r="H133" s="119">
        <f>'Aggregated Table'!C135</f>
        <v>0</v>
      </c>
      <c r="I133" s="119"/>
      <c r="J133" s="119">
        <f>'Aggregated Table'!$A$493</f>
        <v>2.73</v>
      </c>
      <c r="K133" s="119"/>
      <c r="L133" s="119">
        <f>'Aggregated Table'!D135</f>
        <v>9.129999999999999</v>
      </c>
      <c r="M133" s="119"/>
      <c r="N133" s="119"/>
      <c r="O133" s="119"/>
      <c r="P133" s="119"/>
      <c r="Q133" s="119"/>
      <c r="R133" s="119"/>
    </row>
    <row r="134" spans="1:18">
      <c r="A134" s="119" t="str">
        <f>'Aggregated Table'!$A$72</f>
        <v>Central Hudson</v>
      </c>
      <c r="B134" s="119" t="str">
        <f>'Aggregated Table'!B136</f>
        <v>Westerlo</v>
      </c>
      <c r="C134" s="140">
        <f>'Aggregated Table'!$A$492+'Aggregated Table'!C136</f>
        <v>5.1739523809523806</v>
      </c>
      <c r="D134" s="119">
        <f>'Aggregated Table'!D136</f>
        <v>9.14</v>
      </c>
      <c r="E134" s="119">
        <f t="shared" si="2"/>
        <v>64</v>
      </c>
      <c r="F134" s="119"/>
      <c r="G134" s="119"/>
      <c r="H134" s="119">
        <f>'Aggregated Table'!C136</f>
        <v>0</v>
      </c>
      <c r="I134" s="119"/>
      <c r="J134" s="119">
        <f>'Aggregated Table'!$A$493</f>
        <v>2.73</v>
      </c>
      <c r="K134" s="119"/>
      <c r="L134" s="119">
        <f>'Aggregated Table'!D136</f>
        <v>9.14</v>
      </c>
      <c r="M134" s="119"/>
      <c r="N134" s="119"/>
      <c r="O134" s="119"/>
      <c r="P134" s="119"/>
      <c r="Q134" s="119"/>
      <c r="R134" s="119"/>
    </row>
    <row r="135" spans="1:18">
      <c r="A135" s="119" t="str">
        <f>'Aggregated Table'!$A$137</f>
        <v>National Grid</v>
      </c>
      <c r="B135" s="119" t="str">
        <f>'Aggregated Table'!B138</f>
        <v>HAGUE</v>
      </c>
      <c r="C135" s="95">
        <f>($K$286/$E$285)+K135</f>
        <v>32.341059602649011</v>
      </c>
      <c r="D135" s="95">
        <f>$L$286+L135</f>
        <v>188.73172532108725</v>
      </c>
      <c r="E135" s="119">
        <v>1</v>
      </c>
      <c r="G135" s="119" t="s">
        <v>1739</v>
      </c>
      <c r="H135" s="119"/>
      <c r="I135" s="119"/>
      <c r="J135" s="119"/>
      <c r="K135" s="119">
        <f>'Aggregated Table'!C138</f>
        <v>5.5</v>
      </c>
      <c r="L135" s="119">
        <f>'Aggregated Table'!D138</f>
        <v>122.91380856601297</v>
      </c>
      <c r="M135" s="119"/>
      <c r="N135" s="119"/>
      <c r="O135" s="119"/>
      <c r="P135" s="119"/>
      <c r="Q135" s="119">
        <f t="shared" ref="Q135:Q166" si="3">K135/SUM(K$135:K$285)</f>
        <v>2.8420077057870917E-3</v>
      </c>
      <c r="R135" s="119">
        <f t="shared" ref="R135:R166" si="4">Q135*L135</f>
        <v>0.34932199109224832</v>
      </c>
    </row>
    <row r="136" spans="1:18">
      <c r="A136" s="119" t="str">
        <f>'Aggregated Table'!$A$137</f>
        <v>National Grid</v>
      </c>
      <c r="B136" s="119" t="str">
        <f>'Aggregated Table'!B139</f>
        <v>GREENBUSH</v>
      </c>
      <c r="C136" s="95">
        <f t="shared" ref="C136:C199" si="5">($K$286/$E$285)+K136</f>
        <v>41.541059602649007</v>
      </c>
      <c r="D136" s="95">
        <f t="shared" ref="D136:D199" si="6">$L$286+L136</f>
        <v>90.951576847302505</v>
      </c>
      <c r="E136" s="119">
        <f t="shared" si="2"/>
        <v>2</v>
      </c>
      <c r="F136" s="119"/>
      <c r="G136" s="9">
        <f>SUMPRODUCT(D135:D285,C135:C285)/SUM(C135:C285)</f>
        <v>146.59043157784325</v>
      </c>
      <c r="H136" s="119"/>
      <c r="I136" s="119"/>
      <c r="J136" s="119"/>
      <c r="K136" s="119">
        <f>'Aggregated Table'!C139</f>
        <v>14.7</v>
      </c>
      <c r="L136" s="119">
        <f>'Aggregated Table'!D139</f>
        <v>25.133660092228212</v>
      </c>
      <c r="M136" s="119"/>
      <c r="N136" s="119"/>
      <c r="O136" s="119"/>
      <c r="P136" s="119"/>
      <c r="Q136" s="119">
        <f t="shared" si="3"/>
        <v>7.5959115045582263E-3</v>
      </c>
      <c r="R136" s="119">
        <f t="shared" si="4"/>
        <v>0.19091305784621224</v>
      </c>
    </row>
    <row r="137" spans="1:18">
      <c r="A137" s="119" t="str">
        <f>'Aggregated Table'!$A$137</f>
        <v>National Grid</v>
      </c>
      <c r="B137" s="119" t="str">
        <f>'Aggregated Table'!B140</f>
        <v>Sawyer Ave</v>
      </c>
      <c r="C137" s="95">
        <f t="shared" si="5"/>
        <v>58.841059602649011</v>
      </c>
      <c r="D137" s="95">
        <f t="shared" si="6"/>
        <v>93.183626459270172</v>
      </c>
      <c r="E137" s="119">
        <f t="shared" si="2"/>
        <v>3</v>
      </c>
      <c r="F137" s="119"/>
      <c r="G137" s="119"/>
      <c r="H137" s="119"/>
      <c r="I137" s="119"/>
      <c r="J137" s="119"/>
      <c r="K137" s="119">
        <f>'Aggregated Table'!C140</f>
        <v>32</v>
      </c>
      <c r="L137" s="119">
        <f>'Aggregated Table'!D140</f>
        <v>27.365709704195883</v>
      </c>
      <c r="M137" s="119"/>
      <c r="N137" s="119"/>
      <c r="O137" s="119"/>
      <c r="P137" s="119"/>
      <c r="Q137" s="119">
        <f t="shared" si="3"/>
        <v>1.6535317560943077E-2</v>
      </c>
      <c r="R137" s="119">
        <f t="shared" si="4"/>
        <v>0.4525007002394606</v>
      </c>
    </row>
    <row r="138" spans="1:18">
      <c r="A138" s="119" t="str">
        <f>'Aggregated Table'!$A$137</f>
        <v>National Grid</v>
      </c>
      <c r="B138" s="119" t="str">
        <f>'Aggregated Table'!B141</f>
        <v>BRUNSWICK</v>
      </c>
      <c r="C138" s="95">
        <f t="shared" si="5"/>
        <v>41.541059602649007</v>
      </c>
      <c r="D138" s="95">
        <f t="shared" si="6"/>
        <v>116.61898264993816</v>
      </c>
      <c r="E138" s="119">
        <f t="shared" si="2"/>
        <v>4</v>
      </c>
      <c r="F138" s="119"/>
      <c r="G138" s="119"/>
      <c r="H138" s="119"/>
      <c r="I138" s="119"/>
      <c r="J138" s="119"/>
      <c r="K138" s="119">
        <f>'Aggregated Table'!C141</f>
        <v>14.7</v>
      </c>
      <c r="L138" s="119">
        <f>'Aggregated Table'!D141</f>
        <v>50.801065894863868</v>
      </c>
      <c r="M138" s="119"/>
      <c r="N138" s="119"/>
      <c r="O138" s="119"/>
      <c r="P138" s="119"/>
      <c r="Q138" s="119">
        <f t="shared" si="3"/>
        <v>7.5959115045582263E-3</v>
      </c>
      <c r="R138" s="119">
        <f t="shared" si="4"/>
        <v>0.385880400874617</v>
      </c>
    </row>
    <row r="139" spans="1:18">
      <c r="A139" s="119" t="str">
        <f>'Aggregated Table'!$A$137</f>
        <v>National Grid</v>
      </c>
      <c r="B139" s="119" t="str">
        <f>'Aggregated Table'!B142</f>
        <v>STARR RD.</v>
      </c>
      <c r="C139" s="95">
        <f t="shared" si="5"/>
        <v>29.441059602649009</v>
      </c>
      <c r="D139" s="95">
        <f t="shared" si="6"/>
        <v>129.24642842279178</v>
      </c>
      <c r="E139" s="119">
        <f t="shared" si="2"/>
        <v>5</v>
      </c>
      <c r="F139" s="119"/>
      <c r="G139" s="119"/>
      <c r="H139" s="119"/>
      <c r="I139" s="119"/>
      <c r="J139" s="119"/>
      <c r="K139" s="119">
        <f>'Aggregated Table'!C142</f>
        <v>2.6</v>
      </c>
      <c r="L139" s="119">
        <f>'Aggregated Table'!D142</f>
        <v>63.42851166771748</v>
      </c>
      <c r="M139" s="119"/>
      <c r="N139" s="119"/>
      <c r="O139" s="119"/>
      <c r="P139" s="119"/>
      <c r="Q139" s="119">
        <f t="shared" si="3"/>
        <v>1.3434945518266252E-3</v>
      </c>
      <c r="R139" s="119">
        <f t="shared" si="4"/>
        <v>8.5215859856049958E-2</v>
      </c>
    </row>
    <row r="140" spans="1:18">
      <c r="A140" s="119" t="str">
        <f>'Aggregated Table'!$A$137</f>
        <v>National Grid</v>
      </c>
      <c r="B140" s="119" t="str">
        <f>'Aggregated Table'!B143</f>
        <v>New 3rd Ave Substation</v>
      </c>
      <c r="C140" s="95">
        <f t="shared" si="5"/>
        <v>66.841059602649011</v>
      </c>
      <c r="D140" s="95">
        <f t="shared" si="6"/>
        <v>103.02145609296738</v>
      </c>
      <c r="E140" s="119">
        <f t="shared" si="2"/>
        <v>6</v>
      </c>
      <c r="F140" s="119"/>
      <c r="G140" s="119"/>
      <c r="H140" s="119"/>
      <c r="I140" s="119"/>
      <c r="J140" s="119"/>
      <c r="K140" s="119">
        <f>'Aggregated Table'!C143</f>
        <v>40</v>
      </c>
      <c r="L140" s="119">
        <f>'Aggregated Table'!D143</f>
        <v>37.203539337893083</v>
      </c>
      <c r="M140" s="119"/>
      <c r="N140" s="119"/>
      <c r="O140" s="119"/>
      <c r="P140" s="119"/>
      <c r="Q140" s="119">
        <f t="shared" si="3"/>
        <v>2.0669146951178847E-2</v>
      </c>
      <c r="R140" s="119">
        <f t="shared" si="4"/>
        <v>0.76896542167887516</v>
      </c>
    </row>
    <row r="141" spans="1:18">
      <c r="A141" s="119" t="str">
        <f>'Aggregated Table'!$A$137</f>
        <v>National Grid</v>
      </c>
      <c r="B141" s="119" t="str">
        <f>'Aggregated Table'!B144</f>
        <v>THOUSAND ISLANDS</v>
      </c>
      <c r="C141" s="95">
        <f t="shared" si="5"/>
        <v>27.171059602649006</v>
      </c>
      <c r="D141" s="95">
        <f t="shared" si="6"/>
        <v>228.95724999225513</v>
      </c>
      <c r="E141" s="119">
        <f t="shared" si="2"/>
        <v>7</v>
      </c>
      <c r="F141" s="119"/>
      <c r="G141" s="119"/>
      <c r="H141" s="119"/>
      <c r="I141" s="119"/>
      <c r="J141" s="119"/>
      <c r="K141" s="119">
        <f>'Aggregated Table'!C144</f>
        <v>0.33</v>
      </c>
      <c r="L141" s="119">
        <f>'Aggregated Table'!D144</f>
        <v>163.13933323718084</v>
      </c>
      <c r="M141" s="119"/>
      <c r="N141" s="119"/>
      <c r="O141" s="119"/>
      <c r="P141" s="119"/>
      <c r="Q141" s="119">
        <f t="shared" si="3"/>
        <v>1.7052046234722551E-4</v>
      </c>
      <c r="R141" s="119">
        <f t="shared" si="4"/>
        <v>2.781859453062217E-2</v>
      </c>
    </row>
    <row r="142" spans="1:18">
      <c r="A142" s="119" t="str">
        <f>'Aggregated Table'!$A$137</f>
        <v>National Grid</v>
      </c>
      <c r="B142" s="119" t="str">
        <f>'Aggregated Table'!B145</f>
        <v>ALTAMONT</v>
      </c>
      <c r="C142" s="95">
        <f t="shared" si="5"/>
        <v>53.341059602649011</v>
      </c>
      <c r="D142" s="95">
        <f t="shared" si="6"/>
        <v>79.565221274896899</v>
      </c>
      <c r="E142" s="119">
        <f t="shared" si="2"/>
        <v>8</v>
      </c>
      <c r="F142" s="119"/>
      <c r="G142" s="119"/>
      <c r="H142" s="119"/>
      <c r="I142" s="119"/>
      <c r="J142" s="119"/>
      <c r="K142" s="119">
        <f>'Aggregated Table'!C145</f>
        <v>26.5</v>
      </c>
      <c r="L142" s="119">
        <f>'Aggregated Table'!D145</f>
        <v>13.747304519822606</v>
      </c>
      <c r="M142" s="119"/>
      <c r="N142" s="119"/>
      <c r="O142" s="119"/>
      <c r="P142" s="119"/>
      <c r="Q142" s="119">
        <f t="shared" si="3"/>
        <v>1.3693309855155987E-2</v>
      </c>
      <c r="R142" s="119">
        <f t="shared" si="4"/>
        <v>0.18824610046311732</v>
      </c>
    </row>
    <row r="143" spans="1:18">
      <c r="A143" s="119" t="str">
        <f>'Aggregated Table'!$A$137</f>
        <v>National Grid</v>
      </c>
      <c r="B143" s="119" t="str">
        <f>'Aggregated Table'!B146</f>
        <v>Avenue A</v>
      </c>
      <c r="C143" s="95">
        <f t="shared" si="5"/>
        <v>33.24105960264901</v>
      </c>
      <c r="D143" s="95">
        <f t="shared" si="6"/>
        <v>256.44518224462445</v>
      </c>
      <c r="E143" s="119">
        <f t="shared" si="2"/>
        <v>9</v>
      </c>
      <c r="F143" s="119"/>
      <c r="G143" s="119"/>
      <c r="H143" s="119"/>
      <c r="I143" s="119"/>
      <c r="J143" s="119"/>
      <c r="K143" s="119">
        <f>'Aggregated Table'!C146</f>
        <v>6.4</v>
      </c>
      <c r="L143" s="119">
        <f>'Aggregated Table'!D146</f>
        <v>190.62726548955015</v>
      </c>
      <c r="M143" s="119"/>
      <c r="N143" s="119"/>
      <c r="O143" s="119"/>
      <c r="P143" s="119"/>
      <c r="Q143" s="119">
        <f t="shared" si="3"/>
        <v>3.307063512188616E-3</v>
      </c>
      <c r="R143" s="119">
        <f t="shared" si="4"/>
        <v>0.63041647412878354</v>
      </c>
    </row>
    <row r="144" spans="1:18">
      <c r="A144" s="119" t="str">
        <f>'Aggregated Table'!$A$137</f>
        <v>National Grid</v>
      </c>
      <c r="B144" s="119" t="str">
        <f>'Aggregated Table'!B147</f>
        <v>BAKER STREET</v>
      </c>
      <c r="C144" s="95">
        <f t="shared" si="5"/>
        <v>36.841059602649011</v>
      </c>
      <c r="D144" s="95">
        <f t="shared" si="6"/>
        <v>120.84435994440867</v>
      </c>
      <c r="E144" s="119">
        <f t="shared" si="2"/>
        <v>10</v>
      </c>
      <c r="F144" s="119"/>
      <c r="G144" s="119"/>
      <c r="H144" s="119"/>
      <c r="I144" s="119"/>
      <c r="J144" s="119"/>
      <c r="K144" s="119">
        <f>'Aggregated Table'!C147</f>
        <v>10</v>
      </c>
      <c r="L144" s="119">
        <f>'Aggregated Table'!D147</f>
        <v>55.02644318933438</v>
      </c>
      <c r="M144" s="119"/>
      <c r="N144" s="119"/>
      <c r="O144" s="119"/>
      <c r="P144" s="119"/>
      <c r="Q144" s="119">
        <f t="shared" si="3"/>
        <v>5.1672867377947117E-3</v>
      </c>
      <c r="R144" s="119">
        <f t="shared" si="4"/>
        <v>0.2843374101202617</v>
      </c>
    </row>
    <row r="145" spans="1:18">
      <c r="A145" s="119" t="str">
        <f>'Aggregated Table'!$A$137</f>
        <v>National Grid</v>
      </c>
      <c r="B145" s="119" t="str">
        <f>'Aggregated Table'!B148</f>
        <v>BALLSTON</v>
      </c>
      <c r="C145" s="95">
        <f t="shared" si="5"/>
        <v>26.841059602649008</v>
      </c>
      <c r="D145" s="95">
        <f t="shared" si="6"/>
        <v>65.817916755074293</v>
      </c>
      <c r="E145" s="119">
        <f t="shared" si="2"/>
        <v>11</v>
      </c>
      <c r="F145" s="119"/>
      <c r="G145" s="119"/>
      <c r="H145" s="119"/>
      <c r="I145" s="119"/>
      <c r="J145" s="119"/>
      <c r="K145" s="119">
        <f>'Aggregated Table'!C148</f>
        <v>0</v>
      </c>
      <c r="L145" s="119">
        <f>'Aggregated Table'!D148</f>
        <v>0</v>
      </c>
      <c r="M145" s="119"/>
      <c r="N145" s="119"/>
      <c r="O145" s="119"/>
      <c r="P145" s="119"/>
      <c r="Q145" s="119">
        <f t="shared" si="3"/>
        <v>0</v>
      </c>
      <c r="R145" s="119">
        <f t="shared" si="4"/>
        <v>0</v>
      </c>
    </row>
    <row r="146" spans="1:18">
      <c r="A146" s="119" t="str">
        <f>'Aggregated Table'!$A$137</f>
        <v>National Grid</v>
      </c>
      <c r="B146" s="119" t="str">
        <f>'Aggregated Table'!B149</f>
        <v>Beech</v>
      </c>
      <c r="C146" s="95">
        <f t="shared" si="5"/>
        <v>66.841059602649011</v>
      </c>
      <c r="D146" s="95">
        <f t="shared" si="6"/>
        <v>124.92228103343817</v>
      </c>
      <c r="E146" s="119">
        <f t="shared" si="2"/>
        <v>12</v>
      </c>
      <c r="F146" s="119"/>
      <c r="G146" s="119"/>
      <c r="H146" s="119"/>
      <c r="I146" s="119"/>
      <c r="J146" s="119"/>
      <c r="K146" s="119">
        <f>'Aggregated Table'!C149</f>
        <v>40</v>
      </c>
      <c r="L146" s="119">
        <f>'Aggregated Table'!D149</f>
        <v>59.104364278363875</v>
      </c>
      <c r="M146" s="119"/>
      <c r="N146" s="119"/>
      <c r="O146" s="119"/>
      <c r="P146" s="119"/>
      <c r="Q146" s="119">
        <f t="shared" si="3"/>
        <v>2.0669146951178847E-2</v>
      </c>
      <c r="R146" s="119">
        <f t="shared" si="4"/>
        <v>1.2216367907255086</v>
      </c>
    </row>
    <row r="147" spans="1:18">
      <c r="A147" s="119" t="str">
        <f>'Aggregated Table'!$A$137</f>
        <v>National Grid</v>
      </c>
      <c r="B147" s="119" t="str">
        <f>'Aggregated Table'!B150</f>
        <v>Belmont</v>
      </c>
      <c r="C147" s="95">
        <f t="shared" si="5"/>
        <v>36.841059602649011</v>
      </c>
      <c r="D147" s="95">
        <f t="shared" si="6"/>
        <v>76.92563249467652</v>
      </c>
      <c r="E147" s="119">
        <f t="shared" si="2"/>
        <v>13</v>
      </c>
      <c r="F147" s="119"/>
      <c r="G147" s="119"/>
      <c r="H147" s="119"/>
      <c r="I147" s="119"/>
      <c r="J147" s="119"/>
      <c r="K147" s="119">
        <f>'Aggregated Table'!C150</f>
        <v>10</v>
      </c>
      <c r="L147" s="119">
        <f>'Aggregated Table'!D150</f>
        <v>11.107715739602224</v>
      </c>
      <c r="M147" s="119"/>
      <c r="N147" s="119"/>
      <c r="O147" s="119"/>
      <c r="P147" s="119"/>
      <c r="Q147" s="119">
        <f t="shared" si="3"/>
        <v>5.1672867377947117E-3</v>
      </c>
      <c r="R147" s="119">
        <f t="shared" si="4"/>
        <v>5.7396752228440151E-2</v>
      </c>
    </row>
    <row r="148" spans="1:18">
      <c r="A148" s="119" t="str">
        <f>'Aggregated Table'!$A$137</f>
        <v>National Grid</v>
      </c>
      <c r="B148" s="119" t="str">
        <f>'Aggregated Table'!B151</f>
        <v>BETHLEHEM</v>
      </c>
      <c r="C148" s="95">
        <f t="shared" si="5"/>
        <v>28.341059602649008</v>
      </c>
      <c r="D148" s="95">
        <f t="shared" si="6"/>
        <v>201.56300902768987</v>
      </c>
      <c r="E148" s="119">
        <f t="shared" si="2"/>
        <v>14</v>
      </c>
      <c r="F148" s="119"/>
      <c r="G148" s="119"/>
      <c r="H148" s="119"/>
      <c r="I148" s="119"/>
      <c r="J148" s="119"/>
      <c r="K148" s="119">
        <f>'Aggregated Table'!C151</f>
        <v>1.5</v>
      </c>
      <c r="L148" s="119">
        <f>'Aggregated Table'!D151</f>
        <v>135.74509227261558</v>
      </c>
      <c r="M148" s="119"/>
      <c r="N148" s="119"/>
      <c r="O148" s="119"/>
      <c r="P148" s="119"/>
      <c r="Q148" s="119">
        <f t="shared" si="3"/>
        <v>7.7509301066920676E-4</v>
      </c>
      <c r="R148" s="119">
        <f t="shared" si="4"/>
        <v>0.10521507225315088</v>
      </c>
    </row>
    <row r="149" spans="1:18">
      <c r="A149" s="119" t="str">
        <f>'Aggregated Table'!$A$137</f>
        <v>National Grid</v>
      </c>
      <c r="B149" s="119" t="str">
        <f>'Aggregated Table'!B152</f>
        <v>Birch Avenue</v>
      </c>
      <c r="C149" s="95">
        <f t="shared" si="5"/>
        <v>52.941059602649005</v>
      </c>
      <c r="D149" s="95">
        <f t="shared" si="6"/>
        <v>274.9768383029658</v>
      </c>
      <c r="E149" s="119">
        <f t="shared" si="2"/>
        <v>15</v>
      </c>
      <c r="F149" s="119"/>
      <c r="G149" s="119"/>
      <c r="H149" s="119"/>
      <c r="I149" s="119"/>
      <c r="J149" s="119"/>
      <c r="K149" s="119">
        <f>'Aggregated Table'!C152</f>
        <v>26.1</v>
      </c>
      <c r="L149" s="119">
        <f>'Aggregated Table'!D152</f>
        <v>209.15892154789148</v>
      </c>
      <c r="M149" s="119"/>
      <c r="N149" s="119"/>
      <c r="O149" s="119"/>
      <c r="P149" s="119"/>
      <c r="Q149" s="119">
        <f t="shared" si="3"/>
        <v>1.3486618385644199E-2</v>
      </c>
      <c r="R149" s="119">
        <f t="shared" si="4"/>
        <v>2.8208465568693057</v>
      </c>
    </row>
    <row r="150" spans="1:18">
      <c r="A150" s="119" t="str">
        <f>'Aggregated Table'!$A$137</f>
        <v>National Grid</v>
      </c>
      <c r="B150" s="119" t="str">
        <f>'Aggregated Table'!B153</f>
        <v>Gabriels Station</v>
      </c>
      <c r="C150" s="95">
        <f t="shared" si="5"/>
        <v>30.841059602649008</v>
      </c>
      <c r="D150" s="95">
        <f t="shared" si="6"/>
        <v>155.83115980987907</v>
      </c>
      <c r="E150" s="119">
        <f t="shared" si="2"/>
        <v>16</v>
      </c>
      <c r="F150" s="119"/>
      <c r="G150" s="119"/>
      <c r="H150" s="119"/>
      <c r="I150" s="119"/>
      <c r="J150" s="119"/>
      <c r="K150" s="119">
        <f>'Aggregated Table'!C153</f>
        <v>4</v>
      </c>
      <c r="L150" s="119">
        <f>'Aggregated Table'!D153</f>
        <v>90.013243054804789</v>
      </c>
      <c r="M150" s="119"/>
      <c r="N150" s="119"/>
      <c r="O150" s="119"/>
      <c r="P150" s="119"/>
      <c r="Q150" s="119">
        <f t="shared" si="3"/>
        <v>2.0669146951178847E-3</v>
      </c>
      <c r="R150" s="119">
        <f t="shared" si="4"/>
        <v>0.1860496948251939</v>
      </c>
    </row>
    <row r="151" spans="1:18">
      <c r="A151" s="119" t="str">
        <f>'Aggregated Table'!$A$137</f>
        <v>National Grid</v>
      </c>
      <c r="B151" s="119" t="str">
        <f>'Aggregated Table'!B154</f>
        <v>Boyntonville</v>
      </c>
      <c r="C151" s="95">
        <f t="shared" si="5"/>
        <v>59.341059602649011</v>
      </c>
      <c r="D151" s="95">
        <f t="shared" si="6"/>
        <v>93.304740865745273</v>
      </c>
      <c r="E151" s="119">
        <f t="shared" si="2"/>
        <v>17</v>
      </c>
      <c r="F151" s="119"/>
      <c r="G151" s="119"/>
      <c r="H151" s="119"/>
      <c r="I151" s="119"/>
      <c r="J151" s="119"/>
      <c r="K151" s="119">
        <f>'Aggregated Table'!C154</f>
        <v>32.5</v>
      </c>
      <c r="L151" s="119">
        <f>'Aggregated Table'!D154</f>
        <v>27.486824110670984</v>
      </c>
      <c r="M151" s="119"/>
      <c r="N151" s="119"/>
      <c r="O151" s="119"/>
      <c r="P151" s="119"/>
      <c r="Q151" s="119">
        <f t="shared" si="3"/>
        <v>1.6793681897832813E-2</v>
      </c>
      <c r="R151" s="119">
        <f t="shared" si="4"/>
        <v>0.46160498049628979</v>
      </c>
    </row>
    <row r="152" spans="1:18">
      <c r="A152" s="119" t="str">
        <f>'Aggregated Table'!$A$137</f>
        <v>National Grid</v>
      </c>
      <c r="B152" s="119" t="str">
        <f>'Aggregated Table'!B155</f>
        <v>Bridgeport</v>
      </c>
      <c r="C152" s="95">
        <f t="shared" si="5"/>
        <v>103.84105960264901</v>
      </c>
      <c r="D152" s="95">
        <f t="shared" si="6"/>
        <v>139.30063637350119</v>
      </c>
      <c r="E152" s="119">
        <f t="shared" si="2"/>
        <v>18</v>
      </c>
      <c r="F152" s="119"/>
      <c r="G152" s="119"/>
      <c r="H152" s="119"/>
      <c r="I152" s="119"/>
      <c r="J152" s="119"/>
      <c r="K152" s="119">
        <f>'Aggregated Table'!C155</f>
        <v>77</v>
      </c>
      <c r="L152" s="119">
        <f>'Aggregated Table'!D155</f>
        <v>73.482719618426898</v>
      </c>
      <c r="M152" s="119"/>
      <c r="N152" s="119"/>
      <c r="O152" s="119"/>
      <c r="P152" s="119"/>
      <c r="Q152" s="119">
        <f t="shared" si="3"/>
        <v>3.9788107881019281E-2</v>
      </c>
      <c r="R152" s="119">
        <f t="shared" si="4"/>
        <v>2.9237383755686612</v>
      </c>
    </row>
    <row r="153" spans="1:18">
      <c r="A153" s="119" t="str">
        <f>'Aggregated Table'!$A$137</f>
        <v>National Grid</v>
      </c>
      <c r="B153" s="119" t="str">
        <f>'Aggregated Table'!B156</f>
        <v>Brook Road</v>
      </c>
      <c r="C153" s="95">
        <f t="shared" si="5"/>
        <v>26.841059602649008</v>
      </c>
      <c r="D153" s="95">
        <f t="shared" si="6"/>
        <v>65.817916755074293</v>
      </c>
      <c r="E153" s="119">
        <f t="shared" si="2"/>
        <v>19</v>
      </c>
      <c r="F153" s="119"/>
      <c r="G153" s="119"/>
      <c r="H153" s="119"/>
      <c r="I153" s="119"/>
      <c r="J153" s="119"/>
      <c r="K153" s="119">
        <f>'Aggregated Table'!C156</f>
        <v>0</v>
      </c>
      <c r="L153" s="119">
        <f>'Aggregated Table'!D156</f>
        <v>0</v>
      </c>
      <c r="M153" s="119"/>
      <c r="N153" s="119"/>
      <c r="O153" s="119"/>
      <c r="P153" s="119"/>
      <c r="Q153" s="119">
        <f t="shared" si="3"/>
        <v>0</v>
      </c>
      <c r="R153" s="119">
        <f t="shared" si="4"/>
        <v>0</v>
      </c>
    </row>
    <row r="154" spans="1:18">
      <c r="A154" s="119" t="str">
        <f>'Aggregated Table'!$A$137</f>
        <v>National Grid</v>
      </c>
      <c r="B154" s="119" t="str">
        <f>'Aggregated Table'!B157</f>
        <v>Buckley</v>
      </c>
      <c r="C154" s="95">
        <f t="shared" si="5"/>
        <v>26.841059602649008</v>
      </c>
      <c r="D154" s="95">
        <f t="shared" si="6"/>
        <v>65.817916755074293</v>
      </c>
      <c r="E154" s="119">
        <f t="shared" si="2"/>
        <v>20</v>
      </c>
      <c r="F154" s="119"/>
      <c r="G154" s="119"/>
      <c r="H154" s="119"/>
      <c r="I154" s="119"/>
      <c r="J154" s="119"/>
      <c r="K154" s="119">
        <f>'Aggregated Table'!C157</f>
        <v>0</v>
      </c>
      <c r="L154" s="119">
        <f>'Aggregated Table'!D157</f>
        <v>0</v>
      </c>
      <c r="M154" s="119"/>
      <c r="N154" s="119"/>
      <c r="O154" s="119"/>
      <c r="P154" s="119"/>
      <c r="Q154" s="119">
        <f t="shared" si="3"/>
        <v>0</v>
      </c>
      <c r="R154" s="119">
        <f t="shared" si="4"/>
        <v>0</v>
      </c>
    </row>
    <row r="155" spans="1:18">
      <c r="A155" s="119" t="str">
        <f>'Aggregated Table'!$A$137</f>
        <v>National Grid</v>
      </c>
      <c r="B155" s="119" t="str">
        <f>'Aggregated Table'!B158</f>
        <v>Buffalo Station 63</v>
      </c>
      <c r="C155" s="95">
        <f t="shared" si="5"/>
        <v>26.841059602649008</v>
      </c>
      <c r="D155" s="95">
        <f t="shared" si="6"/>
        <v>65.817916755074293</v>
      </c>
      <c r="E155" s="119">
        <f t="shared" si="2"/>
        <v>21</v>
      </c>
      <c r="F155" s="119"/>
      <c r="G155" s="119"/>
      <c r="H155" s="119"/>
      <c r="I155" s="119"/>
      <c r="J155" s="119"/>
      <c r="K155" s="119">
        <f>'Aggregated Table'!C158</f>
        <v>0</v>
      </c>
      <c r="L155" s="119">
        <f>'Aggregated Table'!D158</f>
        <v>0</v>
      </c>
      <c r="M155" s="119"/>
      <c r="N155" s="119"/>
      <c r="O155" s="119"/>
      <c r="P155" s="119"/>
      <c r="Q155" s="119">
        <f t="shared" si="3"/>
        <v>0</v>
      </c>
      <c r="R155" s="119">
        <f t="shared" si="4"/>
        <v>0</v>
      </c>
    </row>
    <row r="156" spans="1:18">
      <c r="A156" s="119" t="str">
        <f>'Aggregated Table'!$A$137</f>
        <v>National Grid</v>
      </c>
      <c r="B156" s="119" t="str">
        <f>'Aggregated Table'!B159</f>
        <v>54 MAIN</v>
      </c>
      <c r="C156" s="95">
        <f t="shared" si="5"/>
        <v>26.841059602649008</v>
      </c>
      <c r="D156" s="95">
        <f t="shared" si="6"/>
        <v>65.817916755074293</v>
      </c>
      <c r="E156" s="119">
        <f t="shared" si="2"/>
        <v>22</v>
      </c>
      <c r="F156" s="119"/>
      <c r="G156" s="119"/>
      <c r="H156" s="119"/>
      <c r="I156" s="119"/>
      <c r="J156" s="119"/>
      <c r="K156" s="119">
        <f>'Aggregated Table'!C159</f>
        <v>0</v>
      </c>
      <c r="L156" s="119">
        <f>'Aggregated Table'!D159</f>
        <v>0</v>
      </c>
      <c r="M156" s="119"/>
      <c r="N156" s="119"/>
      <c r="O156" s="119"/>
      <c r="P156" s="119"/>
      <c r="Q156" s="119">
        <f t="shared" si="3"/>
        <v>0</v>
      </c>
      <c r="R156" s="119">
        <f t="shared" si="4"/>
        <v>0</v>
      </c>
    </row>
    <row r="157" spans="1:18">
      <c r="A157" s="119" t="str">
        <f>'Aggregated Table'!$A$137</f>
        <v>National Grid</v>
      </c>
      <c r="B157" s="119" t="str">
        <f>'Aggregated Table'!B160</f>
        <v>Buffalo Station 54</v>
      </c>
      <c r="C157" s="95">
        <f t="shared" si="5"/>
        <v>26.841059602649008</v>
      </c>
      <c r="D157" s="95">
        <f t="shared" si="6"/>
        <v>65.817916755074293</v>
      </c>
      <c r="E157" s="119">
        <f t="shared" si="2"/>
        <v>23</v>
      </c>
      <c r="F157" s="119"/>
      <c r="G157" s="119"/>
      <c r="H157" s="119"/>
      <c r="I157" s="119"/>
      <c r="J157" s="119"/>
      <c r="K157" s="119">
        <f>'Aggregated Table'!C160</f>
        <v>0</v>
      </c>
      <c r="L157" s="119">
        <f>'Aggregated Table'!D160</f>
        <v>0</v>
      </c>
      <c r="M157" s="119"/>
      <c r="N157" s="119"/>
      <c r="O157" s="119"/>
      <c r="P157" s="119"/>
      <c r="Q157" s="119">
        <f t="shared" si="3"/>
        <v>0</v>
      </c>
      <c r="R157" s="119">
        <f t="shared" si="4"/>
        <v>0</v>
      </c>
    </row>
    <row r="158" spans="1:18">
      <c r="A158" s="119" t="str">
        <f>'Aggregated Table'!$A$137</f>
        <v>National Grid</v>
      </c>
      <c r="B158" s="119" t="str">
        <f>'Aggregated Table'!B161</f>
        <v>61 STATION 61</v>
      </c>
      <c r="C158" s="95">
        <f t="shared" si="5"/>
        <v>26.841059602649008</v>
      </c>
      <c r="D158" s="95">
        <f t="shared" si="6"/>
        <v>65.817916755074293</v>
      </c>
      <c r="E158" s="119">
        <f t="shared" si="2"/>
        <v>24</v>
      </c>
      <c r="F158" s="119"/>
      <c r="G158" s="119"/>
      <c r="H158" s="119"/>
      <c r="I158" s="119"/>
      <c r="J158" s="119"/>
      <c r="K158" s="119">
        <f>'Aggregated Table'!C161</f>
        <v>0</v>
      </c>
      <c r="L158" s="119">
        <f>'Aggregated Table'!D161</f>
        <v>0</v>
      </c>
      <c r="M158" s="119"/>
      <c r="N158" s="119"/>
      <c r="O158" s="119"/>
      <c r="P158" s="119"/>
      <c r="Q158" s="119">
        <f t="shared" si="3"/>
        <v>0</v>
      </c>
      <c r="R158" s="119">
        <f t="shared" si="4"/>
        <v>0</v>
      </c>
    </row>
    <row r="159" spans="1:18">
      <c r="A159" s="119" t="str">
        <f>'Aggregated Table'!$A$137</f>
        <v>National Grid</v>
      </c>
      <c r="B159" s="119" t="str">
        <f>'Aggregated Table'!B162</f>
        <v>Buffalo Station 122</v>
      </c>
      <c r="C159" s="95">
        <f t="shared" si="5"/>
        <v>32.841059602649011</v>
      </c>
      <c r="D159" s="95">
        <f t="shared" si="6"/>
        <v>450.6105054856676</v>
      </c>
      <c r="E159" s="119">
        <f t="shared" si="2"/>
        <v>25</v>
      </c>
      <c r="F159" s="119"/>
      <c r="G159" s="119"/>
      <c r="H159" s="119"/>
      <c r="I159" s="119"/>
      <c r="J159" s="119"/>
      <c r="K159" s="119">
        <f>'Aggregated Table'!C162</f>
        <v>6</v>
      </c>
      <c r="L159" s="119">
        <f>'Aggregated Table'!D162</f>
        <v>384.79258873059331</v>
      </c>
      <c r="M159" s="119"/>
      <c r="N159" s="119"/>
      <c r="O159" s="119"/>
      <c r="P159" s="119"/>
      <c r="Q159" s="119">
        <f t="shared" si="3"/>
        <v>3.100372042676827E-3</v>
      </c>
      <c r="R159" s="119">
        <f t="shared" si="4"/>
        <v>1.1930001843295739</v>
      </c>
    </row>
    <row r="160" spans="1:18">
      <c r="A160" s="119" t="str">
        <f>'Aggregated Table'!$A$137</f>
        <v>National Grid</v>
      </c>
      <c r="B160" s="119" t="str">
        <f>'Aggregated Table'!B163</f>
        <v>Buffalo Station 25</v>
      </c>
      <c r="C160" s="95">
        <f t="shared" si="5"/>
        <v>35.841059602649011</v>
      </c>
      <c r="D160" s="95">
        <f t="shared" si="6"/>
        <v>140.94859149136892</v>
      </c>
      <c r="E160" s="119">
        <f t="shared" si="2"/>
        <v>26</v>
      </c>
      <c r="F160" s="119"/>
      <c r="G160" s="119"/>
      <c r="H160" s="119"/>
      <c r="I160" s="119"/>
      <c r="J160" s="119"/>
      <c r="K160" s="119">
        <f>'Aggregated Table'!C163</f>
        <v>9</v>
      </c>
      <c r="L160" s="119">
        <f>'Aggregated Table'!D163</f>
        <v>75.130674736294623</v>
      </c>
      <c r="M160" s="119"/>
      <c r="N160" s="119"/>
      <c r="O160" s="119"/>
      <c r="P160" s="119"/>
      <c r="Q160" s="119">
        <f t="shared" si="3"/>
        <v>4.650558064015241E-3</v>
      </c>
      <c r="R160" s="119">
        <f t="shared" si="4"/>
        <v>0.34939956524978111</v>
      </c>
    </row>
    <row r="161" spans="1:18">
      <c r="A161" s="119" t="str">
        <f>'Aggregated Table'!$A$137</f>
        <v>National Grid</v>
      </c>
      <c r="B161" s="119" t="str">
        <f>'Aggregated Table'!B164</f>
        <v>30 SPILLMAN</v>
      </c>
      <c r="C161" s="95">
        <f t="shared" si="5"/>
        <v>35.841059602649011</v>
      </c>
      <c r="D161" s="95">
        <f t="shared" si="6"/>
        <v>276.52610839088197</v>
      </c>
      <c r="E161" s="119">
        <f t="shared" si="2"/>
        <v>27</v>
      </c>
      <c r="F161" s="119"/>
      <c r="G161" s="119"/>
      <c r="H161" s="119"/>
      <c r="I161" s="119"/>
      <c r="J161" s="119"/>
      <c r="K161" s="119">
        <f>'Aggregated Table'!C164</f>
        <v>9</v>
      </c>
      <c r="L161" s="119">
        <f>'Aggregated Table'!D164</f>
        <v>210.70819163580771</v>
      </c>
      <c r="M161" s="119"/>
      <c r="N161" s="119"/>
      <c r="O161" s="119"/>
      <c r="P161" s="119"/>
      <c r="Q161" s="119">
        <f t="shared" si="3"/>
        <v>4.650558064015241E-3</v>
      </c>
      <c r="R161" s="119">
        <f t="shared" si="4"/>
        <v>0.97991067976597424</v>
      </c>
    </row>
    <row r="162" spans="1:18">
      <c r="A162" s="119" t="str">
        <f>'Aggregated Table'!$A$137</f>
        <v>National Grid</v>
      </c>
      <c r="B162" s="119" t="str">
        <f>'Aggregated Table'!B165</f>
        <v>31 STATION</v>
      </c>
      <c r="C162" s="95">
        <f t="shared" si="5"/>
        <v>35.841059602649011</v>
      </c>
      <c r="D162" s="95">
        <f t="shared" si="6"/>
        <v>350.21387166989757</v>
      </c>
      <c r="E162" s="119">
        <f t="shared" si="2"/>
        <v>28</v>
      </c>
      <c r="F162" s="119"/>
      <c r="G162" s="119"/>
      <c r="H162" s="119"/>
      <c r="I162" s="119"/>
      <c r="J162" s="119"/>
      <c r="K162" s="119">
        <f>'Aggregated Table'!C165</f>
        <v>9</v>
      </c>
      <c r="L162" s="119">
        <f>'Aggregated Table'!D165</f>
        <v>284.39595491482328</v>
      </c>
      <c r="M162" s="119"/>
      <c r="N162" s="119"/>
      <c r="O162" s="119"/>
      <c r="P162" s="119"/>
      <c r="Q162" s="119">
        <f t="shared" si="3"/>
        <v>4.650558064015241E-3</v>
      </c>
      <c r="R162" s="119">
        <f t="shared" si="4"/>
        <v>1.3225999015024463</v>
      </c>
    </row>
    <row r="163" spans="1:18">
      <c r="A163" s="119" t="str">
        <f>'Aggregated Table'!$A$137</f>
        <v>National Grid</v>
      </c>
      <c r="B163" s="119" t="str">
        <f>'Aggregated Table'!B166</f>
        <v>32 BAILEY</v>
      </c>
      <c r="C163" s="95">
        <f t="shared" si="5"/>
        <v>35.841059602649011</v>
      </c>
      <c r="D163" s="95">
        <f t="shared" si="6"/>
        <v>522.54297874135409</v>
      </c>
      <c r="E163" s="119">
        <f t="shared" si="2"/>
        <v>29</v>
      </c>
      <c r="F163" s="119"/>
      <c r="G163" s="119"/>
      <c r="H163" s="119"/>
      <c r="I163" s="119"/>
      <c r="J163" s="119"/>
      <c r="K163" s="119">
        <f>'Aggregated Table'!C166</f>
        <v>9</v>
      </c>
      <c r="L163" s="119">
        <f>'Aggregated Table'!D166</f>
        <v>456.7250619862798</v>
      </c>
      <c r="M163" s="119"/>
      <c r="N163" s="119"/>
      <c r="O163" s="119"/>
      <c r="P163" s="119"/>
      <c r="Q163" s="119">
        <f t="shared" si="3"/>
        <v>4.650558064015241E-3</v>
      </c>
      <c r="R163" s="119">
        <f t="shared" si="4"/>
        <v>2.1240264200581542</v>
      </c>
    </row>
    <row r="164" spans="1:18">
      <c r="A164" s="119" t="str">
        <f>'Aggregated Table'!$A$137</f>
        <v>National Grid</v>
      </c>
      <c r="B164" s="119" t="str">
        <f>'Aggregated Table'!B167</f>
        <v>34 BEST ST.</v>
      </c>
      <c r="C164" s="95">
        <f t="shared" si="5"/>
        <v>35.841059602649011</v>
      </c>
      <c r="D164" s="95">
        <f t="shared" si="6"/>
        <v>131.87203035424579</v>
      </c>
      <c r="E164" s="119">
        <f t="shared" si="2"/>
        <v>30</v>
      </c>
      <c r="F164" s="119"/>
      <c r="G164" s="119"/>
      <c r="H164" s="119"/>
      <c r="I164" s="119"/>
      <c r="J164" s="119"/>
      <c r="K164" s="119">
        <f>'Aggregated Table'!C167</f>
        <v>9</v>
      </c>
      <c r="L164" s="119">
        <f>'Aggregated Table'!D167</f>
        <v>66.054113599171501</v>
      </c>
      <c r="M164" s="119"/>
      <c r="N164" s="119"/>
      <c r="O164" s="119"/>
      <c r="P164" s="119"/>
      <c r="Q164" s="119">
        <f t="shared" si="3"/>
        <v>4.650558064015241E-3</v>
      </c>
      <c r="R164" s="119">
        <f t="shared" si="4"/>
        <v>0.30718849066000581</v>
      </c>
    </row>
    <row r="165" spans="1:18">
      <c r="A165" s="119" t="str">
        <f>'Aggregated Table'!$A$137</f>
        <v>National Grid</v>
      </c>
      <c r="B165" s="119" t="str">
        <f>'Aggregated Table'!B168</f>
        <v>35 WALDEN</v>
      </c>
      <c r="C165" s="95">
        <f t="shared" si="5"/>
        <v>35.841059602649011</v>
      </c>
      <c r="D165" s="95">
        <f t="shared" si="6"/>
        <v>183.3519980282191</v>
      </c>
      <c r="E165" s="119">
        <f t="shared" si="2"/>
        <v>31</v>
      </c>
      <c r="F165" s="119"/>
      <c r="G165" s="119"/>
      <c r="H165" s="119"/>
      <c r="I165" s="119"/>
      <c r="J165" s="119"/>
      <c r="K165" s="119">
        <f>'Aggregated Table'!C168</f>
        <v>9</v>
      </c>
      <c r="L165" s="119">
        <f>'Aggregated Table'!D168</f>
        <v>117.53408127314479</v>
      </c>
      <c r="M165" s="119"/>
      <c r="N165" s="119"/>
      <c r="O165" s="119"/>
      <c r="P165" s="119"/>
      <c r="Q165" s="119">
        <f t="shared" si="3"/>
        <v>4.650558064015241E-3</v>
      </c>
      <c r="R165" s="119">
        <f t="shared" si="4"/>
        <v>0.54659906946144621</v>
      </c>
    </row>
    <row r="166" spans="1:18">
      <c r="A166" s="119" t="str">
        <f>'Aggregated Table'!$A$137</f>
        <v>National Grid</v>
      </c>
      <c r="B166" s="119" t="str">
        <f>'Aggregated Table'!B169</f>
        <v>38 SPRING</v>
      </c>
      <c r="C166" s="95">
        <f t="shared" si="5"/>
        <v>35.841059602649011</v>
      </c>
      <c r="D166" s="95">
        <f t="shared" si="6"/>
        <v>572.34496180923918</v>
      </c>
      <c r="E166" s="119">
        <f t="shared" si="2"/>
        <v>32</v>
      </c>
      <c r="F166" s="119"/>
      <c r="G166" s="119"/>
      <c r="H166" s="119"/>
      <c r="I166" s="119"/>
      <c r="J166" s="119"/>
      <c r="K166" s="119">
        <f>'Aggregated Table'!C169</f>
        <v>9</v>
      </c>
      <c r="L166" s="119">
        <f>'Aggregated Table'!D169</f>
        <v>506.52704505416489</v>
      </c>
      <c r="M166" s="119"/>
      <c r="N166" s="119"/>
      <c r="O166" s="119"/>
      <c r="P166" s="119"/>
      <c r="Q166" s="119">
        <f t="shared" si="3"/>
        <v>4.650558064015241E-3</v>
      </c>
      <c r="R166" s="119">
        <f t="shared" si="4"/>
        <v>2.3556334340184577</v>
      </c>
    </row>
    <row r="167" spans="1:18">
      <c r="A167" s="119" t="str">
        <f>'Aggregated Table'!$A$137</f>
        <v>National Grid</v>
      </c>
      <c r="B167" s="119" t="str">
        <f>'Aggregated Table'!B170</f>
        <v>41 STATION 41</v>
      </c>
      <c r="C167" s="95">
        <f t="shared" si="5"/>
        <v>35.841059602649011</v>
      </c>
      <c r="D167" s="95">
        <f t="shared" si="6"/>
        <v>131.87203035424579</v>
      </c>
      <c r="E167" s="119">
        <f t="shared" si="2"/>
        <v>33</v>
      </c>
      <c r="F167" s="119"/>
      <c r="G167" s="119"/>
      <c r="H167" s="119"/>
      <c r="I167" s="119"/>
      <c r="J167" s="119"/>
      <c r="K167" s="119">
        <f>'Aggregated Table'!C170</f>
        <v>9</v>
      </c>
      <c r="L167" s="119">
        <f>'Aggregated Table'!D170</f>
        <v>66.054113599171501</v>
      </c>
      <c r="M167" s="119"/>
      <c r="N167" s="119"/>
      <c r="O167" s="119"/>
      <c r="P167" s="119"/>
      <c r="Q167" s="119">
        <f t="shared" ref="Q167:Q198" si="7">K167/SUM(K$135:K$285)</f>
        <v>4.650558064015241E-3</v>
      </c>
      <c r="R167" s="119">
        <f t="shared" ref="R167:R198" si="8">Q167*L167</f>
        <v>0.30718849066000581</v>
      </c>
    </row>
    <row r="168" spans="1:18">
      <c r="A168" s="119" t="str">
        <f>'Aggregated Table'!$A$137</f>
        <v>National Grid</v>
      </c>
      <c r="B168" s="119" t="str">
        <f>'Aggregated Table'!B171</f>
        <v>Buffalo Station 45</v>
      </c>
      <c r="C168" s="95">
        <f t="shared" si="5"/>
        <v>35.841059602649011</v>
      </c>
      <c r="D168" s="95">
        <f t="shared" si="6"/>
        <v>311.96617651454852</v>
      </c>
      <c r="E168" s="119">
        <f t="shared" si="2"/>
        <v>34</v>
      </c>
      <c r="F168" s="119"/>
      <c r="G168" s="119"/>
      <c r="H168" s="119"/>
      <c r="I168" s="119"/>
      <c r="J168" s="119"/>
      <c r="K168" s="119">
        <f>'Aggregated Table'!C171</f>
        <v>9</v>
      </c>
      <c r="L168" s="119">
        <f>'Aggregated Table'!D171</f>
        <v>246.14825975947423</v>
      </c>
      <c r="M168" s="119"/>
      <c r="N168" s="119"/>
      <c r="O168" s="119"/>
      <c r="P168" s="119"/>
      <c r="Q168" s="119">
        <f t="shared" si="7"/>
        <v>4.650558064015241E-3</v>
      </c>
      <c r="R168" s="119">
        <f t="shared" si="8"/>
        <v>1.1447267743677412</v>
      </c>
    </row>
    <row r="169" spans="1:18">
      <c r="A169" s="119" t="str">
        <f>'Aggregated Table'!$A$137</f>
        <v>National Grid</v>
      </c>
      <c r="B169" s="119" t="str">
        <f>'Aggregated Table'!B172</f>
        <v>51 ELK ST</v>
      </c>
      <c r="C169" s="95">
        <f t="shared" si="5"/>
        <v>35.841059602649011</v>
      </c>
      <c r="D169" s="95">
        <f t="shared" si="6"/>
        <v>282.66302051406819</v>
      </c>
      <c r="E169" s="119">
        <f t="shared" si="2"/>
        <v>35</v>
      </c>
      <c r="F169" s="119"/>
      <c r="G169" s="119"/>
      <c r="H169" s="119"/>
      <c r="I169" s="119"/>
      <c r="J169" s="119"/>
      <c r="K169" s="119">
        <f>'Aggregated Table'!C172</f>
        <v>9</v>
      </c>
      <c r="L169" s="119">
        <f>'Aggregated Table'!D172</f>
        <v>216.84510375899393</v>
      </c>
      <c r="M169" s="119"/>
      <c r="N169" s="119"/>
      <c r="O169" s="119"/>
      <c r="P169" s="119"/>
      <c r="Q169" s="119">
        <f t="shared" si="7"/>
        <v>4.650558064015241E-3</v>
      </c>
      <c r="R169" s="119">
        <f t="shared" si="8"/>
        <v>1.0084507459286109</v>
      </c>
    </row>
    <row r="170" spans="1:18">
      <c r="A170" s="119" t="str">
        <f>'Aggregated Table'!$A$137</f>
        <v>National Grid</v>
      </c>
      <c r="B170" s="119" t="str">
        <f>'Aggregated Table'!B173</f>
        <v>68 ELMWOOD</v>
      </c>
      <c r="C170" s="95">
        <f t="shared" si="5"/>
        <v>38.041059602649007</v>
      </c>
      <c r="D170" s="95">
        <f t="shared" si="6"/>
        <v>133.85906888888763</v>
      </c>
      <c r="E170" s="119">
        <f t="shared" si="2"/>
        <v>36</v>
      </c>
      <c r="F170" s="119"/>
      <c r="G170" s="119"/>
      <c r="H170" s="119"/>
      <c r="I170" s="119"/>
      <c r="J170" s="119"/>
      <c r="K170" s="119">
        <f>'Aggregated Table'!C173</f>
        <v>11.2</v>
      </c>
      <c r="L170" s="119">
        <f>'Aggregated Table'!D173</f>
        <v>68.041152133813355</v>
      </c>
      <c r="M170" s="119"/>
      <c r="N170" s="119"/>
      <c r="O170" s="119"/>
      <c r="P170" s="119"/>
      <c r="Q170" s="119">
        <f t="shared" si="7"/>
        <v>5.7873611463300769E-3</v>
      </c>
      <c r="R170" s="119">
        <f t="shared" si="8"/>
        <v>0.39377872021076521</v>
      </c>
    </row>
    <row r="171" spans="1:18">
      <c r="A171" s="119" t="str">
        <f>'Aggregated Table'!$A$137</f>
        <v>National Grid</v>
      </c>
      <c r="B171" s="119" t="str">
        <f>'Aggregated Table'!B174</f>
        <v>New Buffalo Station 97</v>
      </c>
      <c r="C171" s="95">
        <f t="shared" si="5"/>
        <v>41.841059602649011</v>
      </c>
      <c r="D171" s="95">
        <f t="shared" si="6"/>
        <v>69.864634172721182</v>
      </c>
      <c r="E171" s="119">
        <f t="shared" si="2"/>
        <v>37</v>
      </c>
      <c r="F171" s="119"/>
      <c r="G171" s="119"/>
      <c r="H171" s="119"/>
      <c r="I171" s="119"/>
      <c r="J171" s="119"/>
      <c r="K171" s="119">
        <f>'Aggregated Table'!C174</f>
        <v>15</v>
      </c>
      <c r="L171" s="119">
        <f>'Aggregated Table'!D174</f>
        <v>4.046717417646887</v>
      </c>
      <c r="M171" s="119"/>
      <c r="N171" s="119"/>
      <c r="O171" s="119"/>
      <c r="P171" s="119"/>
      <c r="Q171" s="119">
        <f t="shared" si="7"/>
        <v>7.750930106692068E-3</v>
      </c>
      <c r="R171" s="119">
        <f t="shared" si="8"/>
        <v>3.1365823865714439E-2</v>
      </c>
    </row>
    <row r="172" spans="1:18">
      <c r="A172" s="119" t="str">
        <f>'Aggregated Table'!$A$137</f>
        <v>National Grid</v>
      </c>
      <c r="B172" s="119" t="str">
        <f>'Aggregated Table'!B175</f>
        <v>Burdeck</v>
      </c>
      <c r="C172" s="95">
        <f t="shared" si="5"/>
        <v>46.741059602649003</v>
      </c>
      <c r="D172" s="95">
        <f t="shared" si="6"/>
        <v>83.594302912536037</v>
      </c>
      <c r="E172" s="119">
        <f t="shared" si="2"/>
        <v>38</v>
      </c>
      <c r="F172" s="119"/>
      <c r="G172" s="119"/>
      <c r="H172" s="119"/>
      <c r="I172" s="119"/>
      <c r="J172" s="119"/>
      <c r="K172" s="119">
        <f>'Aggregated Table'!C175</f>
        <v>19.899999999999999</v>
      </c>
      <c r="L172" s="119">
        <f>'Aggregated Table'!D175</f>
        <v>17.77638615746174</v>
      </c>
      <c r="M172" s="119"/>
      <c r="N172" s="119"/>
      <c r="O172" s="119"/>
      <c r="P172" s="119"/>
      <c r="Q172" s="119">
        <f t="shared" si="7"/>
        <v>1.0282900608211475E-2</v>
      </c>
      <c r="R172" s="119">
        <f t="shared" si="8"/>
        <v>0.18279281203036538</v>
      </c>
    </row>
    <row r="173" spans="1:18">
      <c r="A173" s="119" t="str">
        <f>'Aggregated Table'!$A$137</f>
        <v>National Grid</v>
      </c>
      <c r="B173" s="119" t="str">
        <f>'Aggregated Table'!B176</f>
        <v>Burgoyne</v>
      </c>
      <c r="C173" s="95">
        <f t="shared" si="5"/>
        <v>53.24105960264901</v>
      </c>
      <c r="D173" s="95">
        <f t="shared" si="6"/>
        <v>109.32473530330381</v>
      </c>
      <c r="E173" s="119">
        <f t="shared" si="2"/>
        <v>39</v>
      </c>
      <c r="F173" s="119"/>
      <c r="G173" s="119"/>
      <c r="H173" s="119"/>
      <c r="I173" s="119"/>
      <c r="J173" s="119"/>
      <c r="K173" s="119">
        <f>'Aggregated Table'!C176</f>
        <v>26.400000000000002</v>
      </c>
      <c r="L173" s="119">
        <f>'Aggregated Table'!D176</f>
        <v>43.506818548229518</v>
      </c>
      <c r="M173" s="119"/>
      <c r="N173" s="119"/>
      <c r="O173" s="119"/>
      <c r="P173" s="119"/>
      <c r="Q173" s="119">
        <f t="shared" si="7"/>
        <v>1.364163698777804E-2</v>
      </c>
      <c r="R173" s="119">
        <f t="shared" si="8"/>
        <v>0.59350422512807555</v>
      </c>
    </row>
    <row r="174" spans="1:18">
      <c r="A174" s="119" t="str">
        <f>'Aggregated Table'!$A$137</f>
        <v>National Grid</v>
      </c>
      <c r="B174" s="119" t="str">
        <f>'Aggregated Table'!B177</f>
        <v>171 BURT</v>
      </c>
      <c r="C174" s="95">
        <f t="shared" si="5"/>
        <v>31.841059602649008</v>
      </c>
      <c r="D174" s="95">
        <f t="shared" si="6"/>
        <v>248.81783973990446</v>
      </c>
      <c r="E174" s="119">
        <f t="shared" si="2"/>
        <v>40</v>
      </c>
      <c r="F174" s="119"/>
      <c r="G174" s="119"/>
      <c r="H174" s="119"/>
      <c r="I174" s="119"/>
      <c r="J174" s="119"/>
      <c r="K174" s="119">
        <f>'Aggregated Table'!C177</f>
        <v>5</v>
      </c>
      <c r="L174" s="119">
        <f>'Aggregated Table'!D177</f>
        <v>182.99992298483016</v>
      </c>
      <c r="M174" s="119"/>
      <c r="N174" s="119"/>
      <c r="O174" s="119"/>
      <c r="P174" s="119"/>
      <c r="Q174" s="119">
        <f t="shared" si="7"/>
        <v>2.5836433688973559E-3</v>
      </c>
      <c r="R174" s="119">
        <f t="shared" si="8"/>
        <v>0.47280653752848328</v>
      </c>
    </row>
    <row r="175" spans="1:18">
      <c r="A175" s="119" t="str">
        <f>'Aggregated Table'!$A$137</f>
        <v>National Grid</v>
      </c>
      <c r="B175" s="119" t="str">
        <f>'Aggregated Table'!B178</f>
        <v>Butler</v>
      </c>
      <c r="C175" s="95">
        <f t="shared" si="5"/>
        <v>44.441059602649005</v>
      </c>
      <c r="D175" s="95">
        <f t="shared" si="6"/>
        <v>93.816036326019713</v>
      </c>
      <c r="E175" s="119">
        <f t="shared" si="2"/>
        <v>41</v>
      </c>
      <c r="F175" s="119"/>
      <c r="G175" s="119"/>
      <c r="H175" s="119"/>
      <c r="I175" s="119"/>
      <c r="J175" s="119"/>
      <c r="K175" s="119">
        <f>'Aggregated Table'!C178</f>
        <v>17.600000000000001</v>
      </c>
      <c r="L175" s="119">
        <f>'Aggregated Table'!D178</f>
        <v>27.998119570945413</v>
      </c>
      <c r="M175" s="119"/>
      <c r="N175" s="119"/>
      <c r="O175" s="119"/>
      <c r="P175" s="119"/>
      <c r="Q175" s="119">
        <f t="shared" si="7"/>
        <v>9.094424658518693E-3</v>
      </c>
      <c r="R175" s="119">
        <f t="shared" si="8"/>
        <v>0.25462678901816077</v>
      </c>
    </row>
    <row r="176" spans="1:18">
      <c r="A176" s="119" t="str">
        <f>'Aggregated Table'!$A$137</f>
        <v>National Grid</v>
      </c>
      <c r="B176" s="119" t="str">
        <f>'Aggregated Table'!B179</f>
        <v>Butternut</v>
      </c>
      <c r="C176" s="95">
        <f t="shared" si="5"/>
        <v>26.841059602649008</v>
      </c>
      <c r="D176" s="95">
        <f t="shared" si="6"/>
        <v>65.817916755074293</v>
      </c>
      <c r="E176" s="119">
        <f t="shared" si="2"/>
        <v>42</v>
      </c>
      <c r="F176" s="119"/>
      <c r="G176" s="119"/>
      <c r="H176" s="119"/>
      <c r="I176" s="119"/>
      <c r="J176" s="119"/>
      <c r="K176" s="119">
        <f>'Aggregated Table'!C179</f>
        <v>0</v>
      </c>
      <c r="L176" s="119">
        <f>'Aggregated Table'!D179</f>
        <v>0</v>
      </c>
      <c r="M176" s="119"/>
      <c r="N176" s="119"/>
      <c r="O176" s="119"/>
      <c r="P176" s="119"/>
      <c r="Q176" s="119">
        <f t="shared" si="7"/>
        <v>0</v>
      </c>
      <c r="R176" s="119">
        <f t="shared" si="8"/>
        <v>0</v>
      </c>
    </row>
    <row r="177" spans="1:18">
      <c r="A177" s="119" t="str">
        <f>'Aggregated Table'!$A$137</f>
        <v>National Grid</v>
      </c>
      <c r="B177" s="119" t="str">
        <f>'Aggregated Table'!B180</f>
        <v>Cedar</v>
      </c>
      <c r="C177" s="95">
        <f t="shared" si="5"/>
        <v>26.841059602649008</v>
      </c>
      <c r="D177" s="95">
        <f t="shared" si="6"/>
        <v>65.817916755074293</v>
      </c>
      <c r="E177" s="119">
        <f t="shared" si="2"/>
        <v>43</v>
      </c>
      <c r="F177" s="119"/>
      <c r="G177" s="119"/>
      <c r="H177" s="119"/>
      <c r="I177" s="119"/>
      <c r="J177" s="119"/>
      <c r="K177" s="119">
        <f>'Aggregated Table'!C180</f>
        <v>0</v>
      </c>
      <c r="L177" s="119">
        <f>'Aggregated Table'!D180</f>
        <v>0</v>
      </c>
      <c r="M177" s="119"/>
      <c r="N177" s="119"/>
      <c r="O177" s="119"/>
      <c r="P177" s="119"/>
      <c r="Q177" s="119">
        <f t="shared" si="7"/>
        <v>0</v>
      </c>
      <c r="R177" s="119">
        <f t="shared" si="8"/>
        <v>0</v>
      </c>
    </row>
    <row r="178" spans="1:18">
      <c r="A178" s="119" t="str">
        <f>'Aggregated Table'!$A$137</f>
        <v>National Grid</v>
      </c>
      <c r="B178" s="119" t="str">
        <f>'Aggregated Table'!B181</f>
        <v>Chestertown</v>
      </c>
      <c r="C178" s="95">
        <f t="shared" si="5"/>
        <v>61.341059602649011</v>
      </c>
      <c r="D178" s="95">
        <f t="shared" si="6"/>
        <v>132.97797846710432</v>
      </c>
      <c r="E178" s="119">
        <f t="shared" si="2"/>
        <v>44</v>
      </c>
      <c r="F178" s="119"/>
      <c r="G178" s="119"/>
      <c r="H178" s="119"/>
      <c r="I178" s="119"/>
      <c r="J178" s="119"/>
      <c r="K178" s="119">
        <f>'Aggregated Table'!C181</f>
        <v>34.5</v>
      </c>
      <c r="L178" s="119">
        <f>'Aggregated Table'!D181</f>
        <v>67.160061712030014</v>
      </c>
      <c r="M178" s="119"/>
      <c r="N178" s="119"/>
      <c r="O178" s="119"/>
      <c r="P178" s="119"/>
      <c r="Q178" s="119">
        <f t="shared" si="7"/>
        <v>1.7827139245391758E-2</v>
      </c>
      <c r="R178" s="119">
        <f t="shared" si="8"/>
        <v>1.1972717718694625</v>
      </c>
    </row>
    <row r="179" spans="1:18">
      <c r="A179" s="119" t="str">
        <f>'Aggregated Table'!$A$137</f>
        <v>National Grid</v>
      </c>
      <c r="B179" s="119" t="str">
        <f>'Aggregated Table'!B182</f>
        <v>New Cicero Substation</v>
      </c>
      <c r="C179" s="95">
        <f t="shared" si="5"/>
        <v>106.84105960264901</v>
      </c>
      <c r="D179" s="95">
        <f t="shared" si="6"/>
        <v>107.76188547801894</v>
      </c>
      <c r="E179" s="119">
        <f t="shared" si="2"/>
        <v>45</v>
      </c>
      <c r="F179" s="119"/>
      <c r="G179" s="119"/>
      <c r="H179" s="119"/>
      <c r="I179" s="119"/>
      <c r="J179" s="119"/>
      <c r="K179" s="119">
        <f>'Aggregated Table'!C182</f>
        <v>80</v>
      </c>
      <c r="L179" s="119">
        <f>'Aggregated Table'!D182</f>
        <v>41.943968722944646</v>
      </c>
      <c r="M179" s="119"/>
      <c r="N179" s="119"/>
      <c r="O179" s="119"/>
      <c r="P179" s="119"/>
      <c r="Q179" s="119">
        <f t="shared" si="7"/>
        <v>4.1338293902357694E-2</v>
      </c>
      <c r="R179" s="119">
        <f t="shared" si="8"/>
        <v>1.7338921065003845</v>
      </c>
    </row>
    <row r="180" spans="1:18">
      <c r="A180" s="119" t="str">
        <f>'Aggregated Table'!$A$137</f>
        <v>National Grid</v>
      </c>
      <c r="B180" s="119" t="str">
        <f>'Aggregated Table'!B183</f>
        <v>Cleveland</v>
      </c>
      <c r="C180" s="95">
        <f t="shared" si="5"/>
        <v>33.841059602649011</v>
      </c>
      <c r="D180" s="95">
        <f t="shared" si="6"/>
        <v>339.89558332551644</v>
      </c>
      <c r="E180" s="119">
        <f t="shared" si="2"/>
        <v>46</v>
      </c>
      <c r="F180" s="119"/>
      <c r="G180" s="119"/>
      <c r="H180" s="119"/>
      <c r="I180" s="119"/>
      <c r="J180" s="119"/>
      <c r="K180" s="119">
        <f>'Aggregated Table'!C183</f>
        <v>7</v>
      </c>
      <c r="L180" s="119">
        <f>'Aggregated Table'!D183</f>
        <v>274.07766657044215</v>
      </c>
      <c r="M180" s="119"/>
      <c r="N180" s="119"/>
      <c r="O180" s="119"/>
      <c r="P180" s="119"/>
      <c r="Q180" s="119">
        <f t="shared" si="7"/>
        <v>3.6171007164562982E-3</v>
      </c>
      <c r="R180" s="119">
        <f t="shared" si="8"/>
        <v>0.99136652411661674</v>
      </c>
    </row>
    <row r="181" spans="1:18">
      <c r="A181" s="119" t="str">
        <f>'Aggregated Table'!$A$137</f>
        <v>National Grid</v>
      </c>
      <c r="B181" s="119" t="str">
        <f>'Aggregated Table'!B184</f>
        <v>COBLESKILL</v>
      </c>
      <c r="C181" s="95">
        <f t="shared" si="5"/>
        <v>36.24105960264901</v>
      </c>
      <c r="D181" s="95">
        <f t="shared" si="6"/>
        <v>146.3837712806403</v>
      </c>
      <c r="E181" s="119">
        <f t="shared" si="2"/>
        <v>47</v>
      </c>
      <c r="F181" s="119"/>
      <c r="G181" s="119"/>
      <c r="H181" s="119"/>
      <c r="I181" s="119"/>
      <c r="J181" s="119"/>
      <c r="K181" s="119">
        <f>'Aggregated Table'!C184</f>
        <v>9.4</v>
      </c>
      <c r="L181" s="119">
        <f>'Aggregated Table'!D184</f>
        <v>80.565854525566024</v>
      </c>
      <c r="M181" s="119"/>
      <c r="N181" s="119"/>
      <c r="O181" s="119"/>
      <c r="P181" s="119"/>
      <c r="Q181" s="119">
        <f t="shared" si="7"/>
        <v>4.8572495335270291E-3</v>
      </c>
      <c r="R181" s="119">
        <f t="shared" si="8"/>
        <v>0.39132845931251203</v>
      </c>
    </row>
    <row r="182" spans="1:18">
      <c r="A182" s="119" t="str">
        <f>'Aggregated Table'!$A$137</f>
        <v>National Grid</v>
      </c>
      <c r="B182" s="119" t="str">
        <f>'Aggregated Table'!B185</f>
        <v>Coffeen</v>
      </c>
      <c r="C182" s="95">
        <f t="shared" si="5"/>
        <v>31.841059602649008</v>
      </c>
      <c r="D182" s="95">
        <f t="shared" si="6"/>
        <v>108.48275869992918</v>
      </c>
      <c r="E182" s="119">
        <f t="shared" si="2"/>
        <v>48</v>
      </c>
      <c r="F182" s="119"/>
      <c r="G182" s="119"/>
      <c r="H182" s="119"/>
      <c r="I182" s="119"/>
      <c r="J182" s="119"/>
      <c r="K182" s="119">
        <f>'Aggregated Table'!C185</f>
        <v>5</v>
      </c>
      <c r="L182" s="119">
        <f>'Aggregated Table'!D185</f>
        <v>42.664841944854885</v>
      </c>
      <c r="M182" s="119"/>
      <c r="N182" s="119"/>
      <c r="O182" s="119"/>
      <c r="P182" s="119"/>
      <c r="Q182" s="119">
        <f t="shared" si="7"/>
        <v>2.5836433688973559E-3</v>
      </c>
      <c r="R182" s="119">
        <f t="shared" si="8"/>
        <v>0.1102307359758781</v>
      </c>
    </row>
    <row r="183" spans="1:18">
      <c r="A183" s="119" t="str">
        <f>'Aggregated Table'!$A$137</f>
        <v>National Grid</v>
      </c>
      <c r="B183" s="119" t="str">
        <f>'Aggregated Table'!B186</f>
        <v>RUSSELL RD</v>
      </c>
      <c r="C183" s="95">
        <f t="shared" si="5"/>
        <v>29.841059602649008</v>
      </c>
      <c r="D183" s="95">
        <f t="shared" si="6"/>
        <v>238.71742378515566</v>
      </c>
      <c r="E183" s="119">
        <f t="shared" si="2"/>
        <v>49</v>
      </c>
      <c r="F183" s="119"/>
      <c r="G183" s="119"/>
      <c r="H183" s="119"/>
      <c r="I183" s="119"/>
      <c r="J183" s="119"/>
      <c r="K183" s="119">
        <f>'Aggregated Table'!C186</f>
        <v>3</v>
      </c>
      <c r="L183" s="119">
        <f>'Aggregated Table'!D186</f>
        <v>172.89950703008137</v>
      </c>
      <c r="M183" s="119"/>
      <c r="N183" s="119"/>
      <c r="O183" s="119"/>
      <c r="P183" s="119"/>
      <c r="Q183" s="119">
        <f t="shared" si="7"/>
        <v>1.5501860213384135E-3</v>
      </c>
      <c r="R183" s="119">
        <f t="shared" si="8"/>
        <v>0.26802639889433488</v>
      </c>
    </row>
    <row r="184" spans="1:18">
      <c r="A184" s="119" t="str">
        <f>'Aggregated Table'!$A$137</f>
        <v>National Grid</v>
      </c>
      <c r="B184" s="119" t="str">
        <f>'Aggregated Table'!B187</f>
        <v>Commerce</v>
      </c>
      <c r="C184" s="95">
        <f t="shared" si="5"/>
        <v>31.24105960264901</v>
      </c>
      <c r="D184" s="95">
        <f t="shared" si="6"/>
        <v>194.98669748184363</v>
      </c>
      <c r="E184" s="119">
        <f t="shared" si="2"/>
        <v>50</v>
      </c>
      <c r="F184" s="119"/>
      <c r="G184" s="119"/>
      <c r="H184" s="119"/>
      <c r="I184" s="119"/>
      <c r="J184" s="119"/>
      <c r="K184" s="119">
        <f>'Aggregated Table'!C187</f>
        <v>4.4000000000000004</v>
      </c>
      <c r="L184" s="119">
        <f>'Aggregated Table'!D187</f>
        <v>129.16878072676934</v>
      </c>
      <c r="M184" s="119"/>
      <c r="N184" s="119"/>
      <c r="O184" s="119"/>
      <c r="P184" s="119"/>
      <c r="Q184" s="119">
        <f t="shared" si="7"/>
        <v>2.2736061646296732E-3</v>
      </c>
      <c r="R184" s="119">
        <f t="shared" si="8"/>
        <v>0.29367893613808133</v>
      </c>
    </row>
    <row r="185" spans="1:18">
      <c r="A185" s="119" t="str">
        <f>'Aggregated Table'!$A$137</f>
        <v>National Grid</v>
      </c>
      <c r="B185" s="119" t="str">
        <f>'Aggregated Table'!B188</f>
        <v>Corinth</v>
      </c>
      <c r="C185" s="95">
        <f t="shared" si="5"/>
        <v>36.341059602649011</v>
      </c>
      <c r="D185" s="95">
        <f t="shared" si="6"/>
        <v>123.00481529227956</v>
      </c>
      <c r="E185" s="119">
        <f t="shared" si="2"/>
        <v>51</v>
      </c>
      <c r="F185" s="119"/>
      <c r="G185" s="119"/>
      <c r="H185" s="119"/>
      <c r="I185" s="119"/>
      <c r="J185" s="119"/>
      <c r="K185" s="119">
        <f>'Aggregated Table'!C188</f>
        <v>9.5</v>
      </c>
      <c r="L185" s="119">
        <f>'Aggregated Table'!D188</f>
        <v>57.186898537205266</v>
      </c>
      <c r="M185" s="119"/>
      <c r="N185" s="119"/>
      <c r="O185" s="119"/>
      <c r="P185" s="119"/>
      <c r="Q185" s="119">
        <f t="shared" si="7"/>
        <v>4.9089224009049763E-3</v>
      </c>
      <c r="R185" s="119">
        <f t="shared" si="8"/>
        <v>0.28072604726756695</v>
      </c>
    </row>
    <row r="186" spans="1:18">
      <c r="A186" s="119" t="str">
        <f>'Aggregated Table'!$A$137</f>
        <v>National Grid</v>
      </c>
      <c r="B186" s="119" t="str">
        <f>'Aggregated Table'!B189</f>
        <v>Vail Mills</v>
      </c>
      <c r="C186" s="95">
        <f t="shared" si="5"/>
        <v>49.341059602649011</v>
      </c>
      <c r="D186" s="95">
        <f t="shared" si="6"/>
        <v>82.849590944884625</v>
      </c>
      <c r="E186" s="119">
        <f t="shared" si="2"/>
        <v>52</v>
      </c>
      <c r="F186" s="119"/>
      <c r="G186" s="119"/>
      <c r="H186" s="119"/>
      <c r="I186" s="119"/>
      <c r="J186" s="119"/>
      <c r="K186" s="119">
        <f>'Aggregated Table'!C189</f>
        <v>22.5</v>
      </c>
      <c r="L186" s="119">
        <f>'Aggregated Table'!D189</f>
        <v>17.031674189810328</v>
      </c>
      <c r="M186" s="119"/>
      <c r="N186" s="119"/>
      <c r="O186" s="119"/>
      <c r="P186" s="119"/>
      <c r="Q186" s="119">
        <f t="shared" si="7"/>
        <v>1.1626395160038102E-2</v>
      </c>
      <c r="R186" s="119">
        <f t="shared" si="8"/>
        <v>0.19801697436775667</v>
      </c>
    </row>
    <row r="187" spans="1:18">
      <c r="A187" s="119" t="str">
        <f>'Aggregated Table'!$A$137</f>
        <v>National Grid</v>
      </c>
      <c r="B187" s="119" t="str">
        <f>'Aggregated Table'!B190</f>
        <v>CURTIS GREENFIELD</v>
      </c>
      <c r="C187" s="95">
        <f t="shared" si="5"/>
        <v>66.841059602649011</v>
      </c>
      <c r="D187" s="95">
        <f t="shared" si="6"/>
        <v>86.938069885712437</v>
      </c>
      <c r="E187" s="119">
        <f t="shared" si="2"/>
        <v>53</v>
      </c>
      <c r="F187" s="119"/>
      <c r="G187" s="119"/>
      <c r="H187" s="119"/>
      <c r="I187" s="119"/>
      <c r="J187" s="119"/>
      <c r="K187" s="119">
        <f>'Aggregated Table'!C190</f>
        <v>40</v>
      </c>
      <c r="L187" s="119">
        <f>'Aggregated Table'!D190</f>
        <v>21.120153130638144</v>
      </c>
      <c r="M187" s="119"/>
      <c r="N187" s="119"/>
      <c r="O187" s="119"/>
      <c r="P187" s="119"/>
      <c r="Q187" s="119">
        <f t="shared" si="7"/>
        <v>2.0669146951178847E-2</v>
      </c>
      <c r="R187" s="119">
        <f t="shared" si="8"/>
        <v>0.43653554868855976</v>
      </c>
    </row>
    <row r="188" spans="1:18">
      <c r="A188" s="119" t="str">
        <f>'Aggregated Table'!$A$137</f>
        <v>National Grid</v>
      </c>
      <c r="B188" s="119" t="str">
        <f>'Aggregated Table'!B191</f>
        <v>Delanson</v>
      </c>
      <c r="C188" s="95">
        <f t="shared" si="5"/>
        <v>29.323059602649007</v>
      </c>
      <c r="D188" s="95">
        <f t="shared" si="6"/>
        <v>92.607212901591097</v>
      </c>
      <c r="E188" s="119">
        <f t="shared" si="2"/>
        <v>54</v>
      </c>
      <c r="F188" s="119"/>
      <c r="G188" s="119"/>
      <c r="H188" s="119"/>
      <c r="I188" s="119"/>
      <c r="J188" s="119"/>
      <c r="K188" s="119">
        <f>'Aggregated Table'!C191</f>
        <v>2.4820000000000002</v>
      </c>
      <c r="L188" s="119">
        <f>'Aggregated Table'!D191</f>
        <v>26.789296146516804</v>
      </c>
      <c r="M188" s="119"/>
      <c r="N188" s="119"/>
      <c r="O188" s="119"/>
      <c r="P188" s="119"/>
      <c r="Q188" s="119">
        <f t="shared" si="7"/>
        <v>1.2825205683206476E-3</v>
      </c>
      <c r="R188" s="119">
        <f t="shared" si="8"/>
        <v>3.435782331874087E-2</v>
      </c>
    </row>
    <row r="189" spans="1:18">
      <c r="A189" s="119" t="str">
        <f>'Aggregated Table'!$A$137</f>
        <v>National Grid</v>
      </c>
      <c r="B189" s="119" t="str">
        <f>'Aggregated Table'!B192</f>
        <v>Delmar</v>
      </c>
      <c r="C189" s="95">
        <f t="shared" si="5"/>
        <v>34.041059602649007</v>
      </c>
      <c r="D189" s="95">
        <f t="shared" si="6"/>
        <v>486.11534205411181</v>
      </c>
      <c r="E189" s="119">
        <f t="shared" si="2"/>
        <v>55</v>
      </c>
      <c r="F189" s="119"/>
      <c r="G189" s="119"/>
      <c r="H189" s="119"/>
      <c r="I189" s="119"/>
      <c r="J189" s="119"/>
      <c r="K189" s="119">
        <f>'Aggregated Table'!C192</f>
        <v>7.2</v>
      </c>
      <c r="L189" s="119">
        <f>'Aggregated Table'!D192</f>
        <v>420.29742529903751</v>
      </c>
      <c r="M189" s="119"/>
      <c r="N189" s="119"/>
      <c r="O189" s="119"/>
      <c r="P189" s="119"/>
      <c r="Q189" s="119">
        <f t="shared" si="7"/>
        <v>3.7204464512121927E-3</v>
      </c>
      <c r="R189" s="119">
        <f t="shared" si="8"/>
        <v>1.5636940644074258</v>
      </c>
    </row>
    <row r="190" spans="1:18">
      <c r="A190" s="119" t="str">
        <f>'Aggregated Table'!$A$137</f>
        <v>National Grid</v>
      </c>
      <c r="B190" s="119" t="str">
        <f>'Aggregated Table'!B193</f>
        <v>Dorwin</v>
      </c>
      <c r="C190" s="95">
        <f t="shared" si="5"/>
        <v>28.841059602649008</v>
      </c>
      <c r="D190" s="95">
        <f t="shared" si="6"/>
        <v>516.32890526648191</v>
      </c>
      <c r="E190" s="119">
        <f t="shared" si="2"/>
        <v>56</v>
      </c>
      <c r="F190" s="119"/>
      <c r="G190" s="119"/>
      <c r="H190" s="119"/>
      <c r="I190" s="119"/>
      <c r="J190" s="119"/>
      <c r="K190" s="119">
        <f>'Aggregated Table'!C193</f>
        <v>2</v>
      </c>
      <c r="L190" s="119">
        <f>'Aggregated Table'!D193</f>
        <v>450.51098851140762</v>
      </c>
      <c r="M190" s="119"/>
      <c r="N190" s="119"/>
      <c r="O190" s="119"/>
      <c r="P190" s="119"/>
      <c r="Q190" s="119">
        <f t="shared" si="7"/>
        <v>1.0334573475589423E-3</v>
      </c>
      <c r="R190" s="119">
        <f t="shared" si="8"/>
        <v>0.46558389123315647</v>
      </c>
    </row>
    <row r="191" spans="1:18">
      <c r="A191" s="119" t="str">
        <f>'Aggregated Table'!$A$137</f>
        <v>National Grid</v>
      </c>
      <c r="B191" s="119" t="str">
        <f>'Aggregated Table'!B194</f>
        <v>East Fulton</v>
      </c>
      <c r="C191" s="95">
        <f t="shared" si="5"/>
        <v>66.841059602649011</v>
      </c>
      <c r="D191" s="95">
        <f t="shared" si="6"/>
        <v>78.907096258754507</v>
      </c>
      <c r="E191" s="119">
        <f t="shared" si="2"/>
        <v>57</v>
      </c>
      <c r="F191" s="119"/>
      <c r="G191" s="119"/>
      <c r="H191" s="119"/>
      <c r="I191" s="119"/>
      <c r="J191" s="119"/>
      <c r="K191" s="119">
        <f>'Aggregated Table'!C194</f>
        <v>40</v>
      </c>
      <c r="L191" s="119">
        <f>'Aggregated Table'!D194</f>
        <v>13.089179503680214</v>
      </c>
      <c r="M191" s="119"/>
      <c r="N191" s="119"/>
      <c r="O191" s="119"/>
      <c r="P191" s="119"/>
      <c r="Q191" s="119">
        <f t="shared" si="7"/>
        <v>2.0669146951178847E-2</v>
      </c>
      <c r="R191" s="119">
        <f t="shared" si="8"/>
        <v>0.27054217463192454</v>
      </c>
    </row>
    <row r="192" spans="1:18">
      <c r="A192" s="119" t="str">
        <f>'Aggregated Table'!$A$137</f>
        <v>National Grid</v>
      </c>
      <c r="B192" s="119" t="str">
        <f>'Aggregated Table'!B195</f>
        <v>BATAVIA STATION</v>
      </c>
      <c r="C192" s="95">
        <f t="shared" si="5"/>
        <v>111.84105960264901</v>
      </c>
      <c r="D192" s="95">
        <f t="shared" si="6"/>
        <v>131.33758800108996</v>
      </c>
      <c r="E192" s="119">
        <f t="shared" si="2"/>
        <v>58</v>
      </c>
      <c r="F192" s="119"/>
      <c r="G192" s="119"/>
      <c r="H192" s="119"/>
      <c r="I192" s="119"/>
      <c r="J192" s="119"/>
      <c r="K192" s="119">
        <f>'Aggregated Table'!C195</f>
        <v>85</v>
      </c>
      <c r="L192" s="119">
        <f>'Aggregated Table'!D195</f>
        <v>65.519671246015676</v>
      </c>
      <c r="M192" s="119"/>
      <c r="N192" s="119"/>
      <c r="O192" s="119"/>
      <c r="P192" s="119"/>
      <c r="Q192" s="119">
        <f t="shared" si="7"/>
        <v>4.3921937271255054E-2</v>
      </c>
      <c r="R192" s="119">
        <f t="shared" si="8"/>
        <v>2.8777508905007538</v>
      </c>
    </row>
    <row r="193" spans="1:18">
      <c r="A193" s="119" t="str">
        <f>'Aggregated Table'!$A$137</f>
        <v>National Grid</v>
      </c>
      <c r="B193" s="119" t="str">
        <f>'Aggregated Table'!B196</f>
        <v>EAST GOLAH</v>
      </c>
      <c r="C193" s="95">
        <f t="shared" si="5"/>
        <v>36.841059602649011</v>
      </c>
      <c r="D193" s="95">
        <f t="shared" si="6"/>
        <v>100.51883578184069</v>
      </c>
      <c r="E193" s="119">
        <f t="shared" si="2"/>
        <v>59</v>
      </c>
      <c r="F193" s="119"/>
      <c r="G193" s="119"/>
      <c r="H193" s="119"/>
      <c r="I193" s="119"/>
      <c r="J193" s="119"/>
      <c r="K193" s="119">
        <f>'Aggregated Table'!C196</f>
        <v>10</v>
      </c>
      <c r="L193" s="119">
        <f>'Aggregated Table'!D196</f>
        <v>34.7009190267664</v>
      </c>
      <c r="M193" s="119"/>
      <c r="N193" s="119"/>
      <c r="O193" s="119"/>
      <c r="P193" s="119"/>
      <c r="Q193" s="119">
        <f t="shared" si="7"/>
        <v>5.1672867377947117E-3</v>
      </c>
      <c r="R193" s="119">
        <f t="shared" si="8"/>
        <v>0.1793095986762982</v>
      </c>
    </row>
    <row r="194" spans="1:18">
      <c r="A194" s="119" t="str">
        <f>'Aggregated Table'!$A$137</f>
        <v>National Grid</v>
      </c>
      <c r="B194" s="119" t="str">
        <f>'Aggregated Table'!B197</f>
        <v>East Pulaski</v>
      </c>
      <c r="C194" s="95">
        <f t="shared" si="5"/>
        <v>42.441059602649005</v>
      </c>
      <c r="D194" s="95">
        <f t="shared" si="6"/>
        <v>100.74966304102878</v>
      </c>
      <c r="E194" s="119">
        <f t="shared" si="2"/>
        <v>60</v>
      </c>
      <c r="F194" s="119"/>
      <c r="G194" s="119"/>
      <c r="H194" s="119"/>
      <c r="I194" s="119"/>
      <c r="J194" s="119"/>
      <c r="K194" s="119">
        <f>'Aggregated Table'!C197</f>
        <v>15.6</v>
      </c>
      <c r="L194" s="119">
        <f>'Aggregated Table'!D197</f>
        <v>34.931746285954496</v>
      </c>
      <c r="M194" s="119"/>
      <c r="N194" s="119"/>
      <c r="O194" s="119"/>
      <c r="P194" s="119"/>
      <c r="Q194" s="119">
        <f t="shared" si="7"/>
        <v>8.0609673109597497E-3</v>
      </c>
      <c r="R194" s="119">
        <f t="shared" si="8"/>
        <v>0.28158366492581882</v>
      </c>
    </row>
    <row r="195" spans="1:18">
      <c r="A195" s="119" t="str">
        <f>'Aggregated Table'!$A$137</f>
        <v>National Grid</v>
      </c>
      <c r="B195" s="119" t="str">
        <f>'Aggregated Table'!B198</f>
        <v>East Schodack</v>
      </c>
      <c r="C195" s="95">
        <f t="shared" si="5"/>
        <v>26.841059602649008</v>
      </c>
      <c r="D195" s="95">
        <f t="shared" si="6"/>
        <v>65.817916755074293</v>
      </c>
      <c r="E195" s="119">
        <f t="shared" si="2"/>
        <v>61</v>
      </c>
      <c r="F195" s="119"/>
      <c r="G195" s="119"/>
      <c r="H195" s="119"/>
      <c r="I195" s="119"/>
      <c r="J195" s="119"/>
      <c r="K195" s="119">
        <f>'Aggregated Table'!C198</f>
        <v>0</v>
      </c>
      <c r="L195" s="119">
        <f>'Aggregated Table'!D198</f>
        <v>0</v>
      </c>
      <c r="M195" s="119"/>
      <c r="N195" s="119"/>
      <c r="O195" s="119"/>
      <c r="P195" s="119"/>
      <c r="Q195" s="119">
        <f t="shared" si="7"/>
        <v>0</v>
      </c>
      <c r="R195" s="119">
        <f t="shared" si="8"/>
        <v>0</v>
      </c>
    </row>
    <row r="196" spans="1:18">
      <c r="A196" s="119" t="str">
        <f>'Aggregated Table'!$A$137</f>
        <v>National Grid</v>
      </c>
      <c r="B196" s="119" t="str">
        <f>'Aggregated Table'!B199</f>
        <v>Delameter</v>
      </c>
      <c r="C196" s="95">
        <f t="shared" si="5"/>
        <v>108.84105960264901</v>
      </c>
      <c r="D196" s="95">
        <f t="shared" si="6"/>
        <v>146.53708567950667</v>
      </c>
      <c r="E196" s="119">
        <f t="shared" ref="E196:E259" si="9">E195+1</f>
        <v>62</v>
      </c>
      <c r="F196" s="119"/>
      <c r="G196" s="119"/>
      <c r="H196" s="119"/>
      <c r="I196" s="119"/>
      <c r="J196" s="119"/>
      <c r="K196" s="119">
        <f>'Aggregated Table'!C199</f>
        <v>82</v>
      </c>
      <c r="L196" s="119">
        <f>'Aggregated Table'!D199</f>
        <v>80.719168924432395</v>
      </c>
      <c r="M196" s="119"/>
      <c r="N196" s="119"/>
      <c r="O196" s="119"/>
      <c r="P196" s="119"/>
      <c r="Q196" s="119">
        <f t="shared" si="7"/>
        <v>4.2371751249916635E-2</v>
      </c>
      <c r="R196" s="119">
        <f t="shared" si="8"/>
        <v>3.4202125467660505</v>
      </c>
    </row>
    <row r="197" spans="1:18">
      <c r="A197" s="119" t="str">
        <f>'Aggregated Table'!$A$137</f>
        <v>National Grid</v>
      </c>
      <c r="B197" s="119" t="str">
        <f>'Aggregated Table'!B200</f>
        <v>East Molloy</v>
      </c>
      <c r="C197" s="95">
        <f t="shared" si="5"/>
        <v>73.841059602649011</v>
      </c>
      <c r="D197" s="95">
        <f t="shared" si="6"/>
        <v>175.25607311797373</v>
      </c>
      <c r="E197" s="119">
        <f t="shared" si="9"/>
        <v>63</v>
      </c>
      <c r="F197" s="119"/>
      <c r="G197" s="119"/>
      <c r="H197" s="119"/>
      <c r="I197" s="119"/>
      <c r="J197" s="119"/>
      <c r="K197" s="119">
        <f>'Aggregated Table'!C200</f>
        <v>47</v>
      </c>
      <c r="L197" s="119">
        <f>'Aggregated Table'!D200</f>
        <v>109.43815636289943</v>
      </c>
      <c r="M197" s="119"/>
      <c r="N197" s="119"/>
      <c r="O197" s="119"/>
      <c r="P197" s="119"/>
      <c r="Q197" s="119">
        <f t="shared" si="7"/>
        <v>2.4286247667635145E-2</v>
      </c>
      <c r="R197" s="119">
        <f t="shared" si="8"/>
        <v>2.6578421697187569</v>
      </c>
    </row>
    <row r="198" spans="1:18">
      <c r="A198" s="119" t="str">
        <f>'Aggregated Table'!$A$137</f>
        <v>National Grid</v>
      </c>
      <c r="B198" s="119" t="str">
        <f>'Aggregated Table'!B201</f>
        <v>Everett</v>
      </c>
      <c r="C198" s="95">
        <f t="shared" si="5"/>
        <v>26.841059602649008</v>
      </c>
      <c r="D198" s="95">
        <f t="shared" si="6"/>
        <v>65.817916755074293</v>
      </c>
      <c r="E198" s="119">
        <f t="shared" si="9"/>
        <v>64</v>
      </c>
      <c r="F198" s="119"/>
      <c r="G198" s="119"/>
      <c r="H198" s="119"/>
      <c r="I198" s="119"/>
      <c r="J198" s="119"/>
      <c r="K198" s="119">
        <f>'Aggregated Table'!C201</f>
        <v>0</v>
      </c>
      <c r="L198" s="119">
        <f>'Aggregated Table'!D201</f>
        <v>0</v>
      </c>
      <c r="M198" s="119"/>
      <c r="N198" s="119"/>
      <c r="O198" s="119"/>
      <c r="P198" s="119"/>
      <c r="Q198" s="119">
        <f t="shared" si="7"/>
        <v>0</v>
      </c>
      <c r="R198" s="119">
        <f t="shared" si="8"/>
        <v>0</v>
      </c>
    </row>
    <row r="199" spans="1:18">
      <c r="A199" s="119" t="str">
        <f>'Aggregated Table'!$A$137</f>
        <v>National Grid</v>
      </c>
      <c r="B199" s="119" t="str">
        <f>'Aggregated Table'!B202</f>
        <v>64 STATION 64</v>
      </c>
      <c r="C199" s="95">
        <f t="shared" si="5"/>
        <v>31.413673734630844</v>
      </c>
      <c r="D199" s="95">
        <f t="shared" si="6"/>
        <v>87.574898993080765</v>
      </c>
      <c r="E199" s="119">
        <f t="shared" si="9"/>
        <v>65</v>
      </c>
      <c r="F199" s="119"/>
      <c r="G199" s="119"/>
      <c r="H199" s="119"/>
      <c r="I199" s="119"/>
      <c r="J199" s="119"/>
      <c r="K199" s="119">
        <f>'Aggregated Table'!C202</f>
        <v>4.5726141319818359</v>
      </c>
      <c r="L199" s="119">
        <f>'Aggregated Table'!D202</f>
        <v>21.756982238006472</v>
      </c>
      <c r="M199" s="119"/>
      <c r="N199" s="119"/>
      <c r="O199" s="119"/>
      <c r="P199" s="119"/>
      <c r="Q199" s="119">
        <f t="shared" ref="Q199:Q230" si="10">K199/SUM(K$135:K$285)</f>
        <v>2.3628008361242419E-3</v>
      </c>
      <c r="R199" s="119">
        <f t="shared" ref="R199:R230" si="11">Q199*L199</f>
        <v>5.1407415823501973E-2</v>
      </c>
    </row>
    <row r="200" spans="1:18">
      <c r="A200" s="119" t="str">
        <f>'Aggregated Table'!$A$137</f>
        <v>National Grid</v>
      </c>
      <c r="B200" s="119" t="str">
        <f>'Aggregated Table'!B203</f>
        <v>Fayette St</v>
      </c>
      <c r="C200" s="95">
        <f t="shared" ref="C200:C263" si="12">($K$286/$E$285)+K200</f>
        <v>68.341059602649011</v>
      </c>
      <c r="D200" s="95">
        <f t="shared" ref="D200:D263" si="13">$L$286+L200</f>
        <v>207.49266653824111</v>
      </c>
      <c r="E200" s="119">
        <f t="shared" si="9"/>
        <v>66</v>
      </c>
      <c r="F200" s="119"/>
      <c r="G200" s="119"/>
      <c r="H200" s="119"/>
      <c r="I200" s="119"/>
      <c r="J200" s="119"/>
      <c r="K200" s="119">
        <f>'Aggregated Table'!C203</f>
        <v>41.5</v>
      </c>
      <c r="L200" s="119">
        <f>'Aggregated Table'!D203</f>
        <v>141.67474978316682</v>
      </c>
      <c r="M200" s="119"/>
      <c r="N200" s="119"/>
      <c r="O200" s="119"/>
      <c r="P200" s="119"/>
      <c r="Q200" s="119">
        <f t="shared" si="10"/>
        <v>2.1444239961848053E-2</v>
      </c>
      <c r="R200" s="119">
        <f t="shared" si="11"/>
        <v>3.0381073308850097</v>
      </c>
    </row>
    <row r="201" spans="1:18">
      <c r="A201" s="119" t="str">
        <f>'Aggregated Table'!$A$137</f>
        <v>National Grid</v>
      </c>
      <c r="B201" s="119" t="str">
        <f>'Aggregated Table'!B204</f>
        <v>FIREHOUSE</v>
      </c>
      <c r="C201" s="95">
        <f t="shared" si="12"/>
        <v>36.841059602649011</v>
      </c>
      <c r="D201" s="95">
        <f t="shared" si="13"/>
        <v>87.539061193853982</v>
      </c>
      <c r="E201" s="119">
        <f t="shared" si="9"/>
        <v>67</v>
      </c>
      <c r="F201" s="119"/>
      <c r="G201" s="119"/>
      <c r="H201" s="119"/>
      <c r="I201" s="119"/>
      <c r="J201" s="119"/>
      <c r="K201" s="119">
        <f>'Aggregated Table'!C204</f>
        <v>10</v>
      </c>
      <c r="L201" s="119">
        <f>'Aggregated Table'!D204</f>
        <v>21.721144438779685</v>
      </c>
      <c r="M201" s="119"/>
      <c r="N201" s="119"/>
      <c r="O201" s="119"/>
      <c r="P201" s="119"/>
      <c r="Q201" s="119">
        <f t="shared" si="10"/>
        <v>5.1672867377947117E-3</v>
      </c>
      <c r="R201" s="119">
        <f t="shared" si="11"/>
        <v>0.11223938158822963</v>
      </c>
    </row>
    <row r="202" spans="1:18">
      <c r="A202" s="119" t="str">
        <f>'Aggregated Table'!$A$137</f>
        <v>National Grid</v>
      </c>
      <c r="B202" s="119" t="str">
        <f>'Aggregated Table'!B205</f>
        <v>Florida</v>
      </c>
      <c r="C202" s="95">
        <f t="shared" si="12"/>
        <v>28.841059602649008</v>
      </c>
      <c r="D202" s="95">
        <f t="shared" si="13"/>
        <v>86.643963897651716</v>
      </c>
      <c r="E202" s="119">
        <f t="shared" si="9"/>
        <v>68</v>
      </c>
      <c r="F202" s="119"/>
      <c r="G202" s="119"/>
      <c r="H202" s="119"/>
      <c r="I202" s="119"/>
      <c r="J202" s="119"/>
      <c r="K202" s="119">
        <f>'Aggregated Table'!C205</f>
        <v>2</v>
      </c>
      <c r="L202" s="119">
        <f>'Aggregated Table'!D205</f>
        <v>20.826047142577426</v>
      </c>
      <c r="M202" s="119"/>
      <c r="N202" s="119"/>
      <c r="O202" s="119"/>
      <c r="P202" s="119"/>
      <c r="Q202" s="119">
        <f t="shared" si="10"/>
        <v>1.0334573475589423E-3</v>
      </c>
      <c r="R202" s="119">
        <f t="shared" si="11"/>
        <v>2.1522831440105559E-2</v>
      </c>
    </row>
    <row r="203" spans="1:18">
      <c r="A203" s="119" t="str">
        <f>'Aggregated Table'!$A$137</f>
        <v>National Grid</v>
      </c>
      <c r="B203" s="119" t="str">
        <f>'Aggregated Table'!B206</f>
        <v>FRENCH MOUNTAIN</v>
      </c>
      <c r="C203" s="95">
        <f t="shared" si="12"/>
        <v>31.841059602649008</v>
      </c>
      <c r="D203" s="95">
        <f t="shared" si="13"/>
        <v>75.26494612485385</v>
      </c>
      <c r="E203" s="119">
        <f t="shared" si="9"/>
        <v>69</v>
      </c>
      <c r="F203" s="119"/>
      <c r="G203" s="119"/>
      <c r="H203" s="119"/>
      <c r="I203" s="119"/>
      <c r="J203" s="119"/>
      <c r="K203" s="119">
        <f>'Aggregated Table'!C206</f>
        <v>5</v>
      </c>
      <c r="L203" s="119">
        <f>'Aggregated Table'!D206</f>
        <v>9.4470293697795533</v>
      </c>
      <c r="M203" s="119"/>
      <c r="N203" s="119"/>
      <c r="O203" s="119"/>
      <c r="P203" s="119"/>
      <c r="Q203" s="119">
        <f t="shared" si="10"/>
        <v>2.5836433688973559E-3</v>
      </c>
      <c r="R203" s="119">
        <f t="shared" si="11"/>
        <v>2.440775478700951E-2</v>
      </c>
    </row>
    <row r="204" spans="1:18">
      <c r="A204" s="119" t="str">
        <f>'Aggregated Table'!$A$137</f>
        <v>National Grid</v>
      </c>
      <c r="B204" s="119" t="str">
        <f>'Aggregated Table'!B207</f>
        <v>Geneseo</v>
      </c>
      <c r="C204" s="95">
        <f t="shared" si="12"/>
        <v>26.841059602649008</v>
      </c>
      <c r="D204" s="95">
        <f t="shared" si="13"/>
        <v>65.817916755074293</v>
      </c>
      <c r="E204" s="119">
        <f t="shared" si="9"/>
        <v>70</v>
      </c>
      <c r="F204" s="119"/>
      <c r="G204" s="119"/>
      <c r="H204" s="119"/>
      <c r="I204" s="119"/>
      <c r="J204" s="119"/>
      <c r="K204" s="119">
        <f>'Aggregated Table'!C207</f>
        <v>0</v>
      </c>
      <c r="L204" s="119">
        <f>'Aggregated Table'!D207</f>
        <v>0</v>
      </c>
      <c r="M204" s="119"/>
      <c r="N204" s="119"/>
      <c r="O204" s="119"/>
      <c r="P204" s="119"/>
      <c r="Q204" s="119">
        <f t="shared" si="10"/>
        <v>0</v>
      </c>
      <c r="R204" s="119">
        <f t="shared" si="11"/>
        <v>0</v>
      </c>
    </row>
    <row r="205" spans="1:18">
      <c r="A205" s="119" t="str">
        <f>'Aggregated Table'!$A$137</f>
        <v>National Grid</v>
      </c>
      <c r="B205" s="119" t="str">
        <f>'Aggregated Table'!B208</f>
        <v>Gilbert Mills</v>
      </c>
      <c r="C205" s="95">
        <f t="shared" si="12"/>
        <v>41.841059602649011</v>
      </c>
      <c r="D205" s="95">
        <f t="shared" si="13"/>
        <v>117.94764740148214</v>
      </c>
      <c r="E205" s="119">
        <f t="shared" si="9"/>
        <v>71</v>
      </c>
      <c r="F205" s="119"/>
      <c r="G205" s="119"/>
      <c r="H205" s="119"/>
      <c r="I205" s="119"/>
      <c r="J205" s="119"/>
      <c r="K205" s="119">
        <f>'Aggregated Table'!C208</f>
        <v>15</v>
      </c>
      <c r="L205" s="119">
        <f>'Aggregated Table'!D208</f>
        <v>52.12973064640785</v>
      </c>
      <c r="M205" s="119"/>
      <c r="N205" s="119"/>
      <c r="O205" s="119"/>
      <c r="P205" s="119"/>
      <c r="Q205" s="119">
        <f t="shared" si="10"/>
        <v>7.750930106692068E-3</v>
      </c>
      <c r="R205" s="119">
        <f t="shared" si="11"/>
        <v>0.40405389872099079</v>
      </c>
    </row>
    <row r="206" spans="1:18">
      <c r="A206" s="119" t="str">
        <f>'Aggregated Table'!$A$137</f>
        <v>National Grid</v>
      </c>
      <c r="B206" s="119" t="str">
        <f>'Aggregated Table'!B209</f>
        <v>Gilmantown</v>
      </c>
      <c r="C206" s="95">
        <f t="shared" si="12"/>
        <v>36.841059602649011</v>
      </c>
      <c r="D206" s="95">
        <f t="shared" si="13"/>
        <v>90.338164278398324</v>
      </c>
      <c r="E206" s="119">
        <f t="shared" si="9"/>
        <v>72</v>
      </c>
      <c r="F206" s="119"/>
      <c r="G206" s="119"/>
      <c r="H206" s="119"/>
      <c r="I206" s="119"/>
      <c r="J206" s="119"/>
      <c r="K206" s="119">
        <f>'Aggregated Table'!C209</f>
        <v>10</v>
      </c>
      <c r="L206" s="119">
        <f>'Aggregated Table'!D209</f>
        <v>24.520247523324027</v>
      </c>
      <c r="M206" s="119"/>
      <c r="N206" s="119"/>
      <c r="O206" s="119"/>
      <c r="P206" s="119"/>
      <c r="Q206" s="119">
        <f t="shared" si="10"/>
        <v>5.1672867377947117E-3</v>
      </c>
      <c r="R206" s="119">
        <f t="shared" si="11"/>
        <v>0.12670314983471587</v>
      </c>
    </row>
    <row r="207" spans="1:18">
      <c r="A207" s="119" t="str">
        <f>'Aggregated Table'!$A$137</f>
        <v>National Grid</v>
      </c>
      <c r="B207" s="119" t="str">
        <f>'Aggregated Table'!B210</f>
        <v>GLOVERSVILLE</v>
      </c>
      <c r="C207" s="95">
        <f t="shared" si="12"/>
        <v>41.841059602649011</v>
      </c>
      <c r="D207" s="95">
        <f t="shared" si="13"/>
        <v>108.9312262502805</v>
      </c>
      <c r="E207" s="119">
        <f t="shared" si="9"/>
        <v>73</v>
      </c>
      <c r="F207" s="119"/>
      <c r="G207" s="119"/>
      <c r="H207" s="119"/>
      <c r="I207" s="119"/>
      <c r="J207" s="119"/>
      <c r="K207" s="119">
        <f>'Aggregated Table'!C210</f>
        <v>15</v>
      </c>
      <c r="L207" s="119">
        <f>'Aggregated Table'!D210</f>
        <v>43.113309495206202</v>
      </c>
      <c r="M207" s="119"/>
      <c r="N207" s="119"/>
      <c r="O207" s="119"/>
      <c r="P207" s="119"/>
      <c r="Q207" s="119">
        <f t="shared" si="10"/>
        <v>7.750930106692068E-3</v>
      </c>
      <c r="R207" s="119">
        <f t="shared" si="11"/>
        <v>0.33416824856552674</v>
      </c>
    </row>
    <row r="208" spans="1:18">
      <c r="A208" s="119" t="str">
        <f>'Aggregated Table'!$A$137</f>
        <v>National Grid</v>
      </c>
      <c r="B208" s="119" t="str">
        <f>'Aggregated Table'!B211</f>
        <v>GRANBY CENTER</v>
      </c>
      <c r="C208" s="95">
        <f t="shared" si="12"/>
        <v>59.741059602649003</v>
      </c>
      <c r="D208" s="95">
        <f t="shared" si="13"/>
        <v>119.00699461940161</v>
      </c>
      <c r="E208" s="119">
        <f t="shared" si="9"/>
        <v>74</v>
      </c>
      <c r="F208" s="119"/>
      <c r="G208" s="119"/>
      <c r="H208" s="119"/>
      <c r="I208" s="119"/>
      <c r="J208" s="119"/>
      <c r="K208" s="119">
        <f>'Aggregated Table'!C211</f>
        <v>32.9</v>
      </c>
      <c r="L208" s="119">
        <f>'Aggregated Table'!D211</f>
        <v>53.189077864327309</v>
      </c>
      <c r="M208" s="119"/>
      <c r="N208" s="119"/>
      <c r="O208" s="119"/>
      <c r="P208" s="119"/>
      <c r="Q208" s="119">
        <f t="shared" si="10"/>
        <v>1.7000373367344602E-2</v>
      </c>
      <c r="R208" s="119">
        <f t="shared" si="11"/>
        <v>0.90423418275832823</v>
      </c>
    </row>
    <row r="209" spans="1:18">
      <c r="A209" s="119" t="str">
        <f>'Aggregated Table'!$A$137</f>
        <v>National Grid</v>
      </c>
      <c r="B209" s="119" t="str">
        <f>'Aggregated Table'!B212</f>
        <v>Grand Island</v>
      </c>
      <c r="C209" s="95">
        <f t="shared" si="12"/>
        <v>41.841059602649011</v>
      </c>
      <c r="D209" s="95">
        <f t="shared" si="13"/>
        <v>105.25945930878979</v>
      </c>
      <c r="E209" s="119">
        <f t="shared" si="9"/>
        <v>75</v>
      </c>
      <c r="F209" s="119"/>
      <c r="G209" s="119"/>
      <c r="H209" s="119"/>
      <c r="I209" s="119"/>
      <c r="J209" s="119"/>
      <c r="K209" s="119">
        <f>'Aggregated Table'!C212</f>
        <v>15</v>
      </c>
      <c r="L209" s="119">
        <f>'Aggregated Table'!D212</f>
        <v>39.441542553715486</v>
      </c>
      <c r="M209" s="119"/>
      <c r="N209" s="119"/>
      <c r="O209" s="119"/>
      <c r="P209" s="119"/>
      <c r="Q209" s="119">
        <f t="shared" si="10"/>
        <v>7.750930106692068E-3</v>
      </c>
      <c r="R209" s="119">
        <f t="shared" si="11"/>
        <v>0.30570863963396971</v>
      </c>
    </row>
    <row r="210" spans="1:18">
      <c r="A210" s="119" t="str">
        <f>'Aggregated Table'!$A$137</f>
        <v>National Grid</v>
      </c>
      <c r="B210" s="119" t="str">
        <f>'Aggregated Table'!B213</f>
        <v>New Greenwich Substation</v>
      </c>
      <c r="C210" s="95">
        <f t="shared" si="12"/>
        <v>26.841059602649008</v>
      </c>
      <c r="D210" s="95">
        <f t="shared" si="13"/>
        <v>65.817916755074293</v>
      </c>
      <c r="E210" s="119">
        <f t="shared" si="9"/>
        <v>76</v>
      </c>
      <c r="F210" s="119"/>
      <c r="G210" s="119"/>
      <c r="H210" s="119"/>
      <c r="I210" s="119"/>
      <c r="J210" s="119"/>
      <c r="K210" s="119">
        <f>'Aggregated Table'!C213</f>
        <v>0</v>
      </c>
      <c r="L210" s="119">
        <f>'Aggregated Table'!D213</f>
        <v>0</v>
      </c>
      <c r="M210" s="119"/>
      <c r="N210" s="119"/>
      <c r="O210" s="119"/>
      <c r="P210" s="119"/>
      <c r="Q210" s="119">
        <f t="shared" si="10"/>
        <v>0</v>
      </c>
      <c r="R210" s="119">
        <f t="shared" si="11"/>
        <v>0</v>
      </c>
    </row>
    <row r="211" spans="1:18">
      <c r="A211" s="119" t="str">
        <f>'Aggregated Table'!$A$137</f>
        <v>National Grid</v>
      </c>
      <c r="B211" s="119" t="str">
        <f>'Aggregated Table'!B214</f>
        <v>GROOMS</v>
      </c>
      <c r="C211" s="95">
        <f t="shared" si="12"/>
        <v>26.841059602649008</v>
      </c>
      <c r="D211" s="95">
        <f t="shared" si="13"/>
        <v>65.817916755074293</v>
      </c>
      <c r="E211" s="119">
        <f t="shared" si="9"/>
        <v>77</v>
      </c>
      <c r="F211" s="119"/>
      <c r="G211" s="119"/>
      <c r="H211" s="119"/>
      <c r="I211" s="119"/>
      <c r="J211" s="119"/>
      <c r="K211" s="119">
        <f>'Aggregated Table'!C214</f>
        <v>0</v>
      </c>
      <c r="L211" s="119">
        <f>'Aggregated Table'!D214</f>
        <v>0</v>
      </c>
      <c r="M211" s="119"/>
      <c r="N211" s="119"/>
      <c r="O211" s="119"/>
      <c r="P211" s="119"/>
      <c r="Q211" s="119">
        <f t="shared" si="10"/>
        <v>0</v>
      </c>
      <c r="R211" s="119">
        <f t="shared" si="11"/>
        <v>0</v>
      </c>
    </row>
    <row r="212" spans="1:18">
      <c r="A212" s="119" t="str">
        <f>'Aggregated Table'!$A$137</f>
        <v>National Grid</v>
      </c>
      <c r="B212" s="119" t="str">
        <f>'Aggregated Table'!B215</f>
        <v>Hemstreet</v>
      </c>
      <c r="C212" s="95">
        <f t="shared" si="12"/>
        <v>26.841059602649008</v>
      </c>
      <c r="D212" s="95">
        <f t="shared" si="13"/>
        <v>65.817916755074293</v>
      </c>
      <c r="E212" s="119">
        <f t="shared" si="9"/>
        <v>78</v>
      </c>
      <c r="F212" s="119"/>
      <c r="G212" s="119"/>
      <c r="H212" s="119"/>
      <c r="I212" s="119"/>
      <c r="J212" s="119"/>
      <c r="K212" s="119">
        <f>'Aggregated Table'!C215</f>
        <v>0</v>
      </c>
      <c r="L212" s="119">
        <f>'Aggregated Table'!D215</f>
        <v>0</v>
      </c>
      <c r="M212" s="119"/>
      <c r="N212" s="119"/>
      <c r="O212" s="119"/>
      <c r="P212" s="119"/>
      <c r="Q212" s="119">
        <f t="shared" si="10"/>
        <v>0</v>
      </c>
      <c r="R212" s="119">
        <f t="shared" si="11"/>
        <v>0</v>
      </c>
    </row>
    <row r="213" spans="1:18">
      <c r="A213" s="119" t="str">
        <f>'Aggregated Table'!$A$137</f>
        <v>National Grid</v>
      </c>
      <c r="B213" s="119" t="str">
        <f>'Aggregated Table'!B216</f>
        <v>Indian Lake</v>
      </c>
      <c r="C213" s="95">
        <f t="shared" si="12"/>
        <v>26.841059602649008</v>
      </c>
      <c r="D213" s="95">
        <f t="shared" si="13"/>
        <v>65.817916755074293</v>
      </c>
      <c r="E213" s="119">
        <f t="shared" si="9"/>
        <v>79</v>
      </c>
      <c r="F213" s="119"/>
      <c r="G213" s="119"/>
      <c r="H213" s="119"/>
      <c r="I213" s="119"/>
      <c r="J213" s="119"/>
      <c r="K213" s="119">
        <f>'Aggregated Table'!C216</f>
        <v>0</v>
      </c>
      <c r="L213" s="119">
        <f>'Aggregated Table'!D216</f>
        <v>0</v>
      </c>
      <c r="M213" s="119"/>
      <c r="N213" s="119"/>
      <c r="O213" s="119"/>
      <c r="P213" s="119"/>
      <c r="Q213" s="119">
        <f t="shared" si="10"/>
        <v>0</v>
      </c>
      <c r="R213" s="119">
        <f t="shared" si="11"/>
        <v>0</v>
      </c>
    </row>
    <row r="214" spans="1:18">
      <c r="A214" s="119" t="str">
        <f>'Aggregated Table'!$A$137</f>
        <v>National Grid</v>
      </c>
      <c r="B214" s="119" t="str">
        <f>'Aggregated Table'!B217</f>
        <v>Inman</v>
      </c>
      <c r="C214" s="95">
        <f t="shared" si="12"/>
        <v>40.841059602649011</v>
      </c>
      <c r="D214" s="95">
        <f t="shared" si="13"/>
        <v>143.28631772380356</v>
      </c>
      <c r="E214" s="119">
        <f t="shared" si="9"/>
        <v>80</v>
      </c>
      <c r="F214" s="119"/>
      <c r="G214" s="119"/>
      <c r="H214" s="119"/>
      <c r="I214" s="119"/>
      <c r="J214" s="119"/>
      <c r="K214" s="119">
        <f>'Aggregated Table'!C217</f>
        <v>14</v>
      </c>
      <c r="L214" s="119">
        <f>'Aggregated Table'!D217</f>
        <v>77.468400968729284</v>
      </c>
      <c r="M214" s="119"/>
      <c r="N214" s="119"/>
      <c r="O214" s="119"/>
      <c r="P214" s="119"/>
      <c r="Q214" s="119">
        <f t="shared" si="10"/>
        <v>7.2342014329125964E-3</v>
      </c>
      <c r="R214" s="119">
        <f t="shared" si="11"/>
        <v>0.560422017293429</v>
      </c>
    </row>
    <row r="215" spans="1:18">
      <c r="A215" s="119" t="str">
        <f>'Aggregated Table'!$A$137</f>
        <v>National Grid</v>
      </c>
      <c r="B215" s="119" t="str">
        <f>'Aggregated Table'!B218</f>
        <v>Karner</v>
      </c>
      <c r="C215" s="95">
        <f t="shared" si="12"/>
        <v>44.341059602649011</v>
      </c>
      <c r="D215" s="95">
        <f t="shared" si="13"/>
        <v>363.00663614691018</v>
      </c>
      <c r="E215" s="119">
        <f t="shared" si="9"/>
        <v>81</v>
      </c>
      <c r="F215" s="119"/>
      <c r="G215" s="119"/>
      <c r="H215" s="119"/>
      <c r="I215" s="119"/>
      <c r="J215" s="119"/>
      <c r="K215" s="119">
        <f>'Aggregated Table'!C218</f>
        <v>17.5</v>
      </c>
      <c r="L215" s="119">
        <f>'Aggregated Table'!D218</f>
        <v>297.18871939183589</v>
      </c>
      <c r="M215" s="119"/>
      <c r="N215" s="119"/>
      <c r="O215" s="119"/>
      <c r="P215" s="119"/>
      <c r="Q215" s="119">
        <f t="shared" si="10"/>
        <v>9.0427517911407466E-3</v>
      </c>
      <c r="R215" s="119">
        <f t="shared" si="11"/>
        <v>2.6874038245873488</v>
      </c>
    </row>
    <row r="216" spans="1:18">
      <c r="A216" s="119" t="str">
        <f>'Aggregated Table'!$A$137</f>
        <v>National Grid</v>
      </c>
      <c r="B216" s="119" t="str">
        <f>'Aggregated Table'!B219</f>
        <v>Kenmore Station 22</v>
      </c>
      <c r="C216" s="95">
        <f t="shared" si="12"/>
        <v>28.841059602649008</v>
      </c>
      <c r="D216" s="95">
        <f t="shared" si="13"/>
        <v>114.13133163334662</v>
      </c>
      <c r="E216" s="119">
        <f t="shared" si="9"/>
        <v>82</v>
      </c>
      <c r="F216" s="119"/>
      <c r="G216" s="119"/>
      <c r="H216" s="119"/>
      <c r="I216" s="119"/>
      <c r="J216" s="119"/>
      <c r="K216" s="119">
        <f>'Aggregated Table'!C219</f>
        <v>2</v>
      </c>
      <c r="L216" s="119">
        <f>'Aggregated Table'!D219</f>
        <v>48.313414878272326</v>
      </c>
      <c r="M216" s="119"/>
      <c r="N216" s="119"/>
      <c r="O216" s="119"/>
      <c r="P216" s="119"/>
      <c r="Q216" s="119">
        <f t="shared" si="10"/>
        <v>1.0334573475589423E-3</v>
      </c>
      <c r="R216" s="119">
        <f t="shared" si="11"/>
        <v>4.992985359161406E-2</v>
      </c>
    </row>
    <row r="217" spans="1:18">
      <c r="A217" s="119" t="str">
        <f>'Aggregated Table'!$A$137</f>
        <v>National Grid</v>
      </c>
      <c r="B217" s="119" t="str">
        <f>'Aggregated Table'!B220</f>
        <v>Lakeville</v>
      </c>
      <c r="C217" s="95">
        <f t="shared" si="12"/>
        <v>36.841059602649011</v>
      </c>
      <c r="D217" s="95">
        <f t="shared" si="13"/>
        <v>505.84411876233912</v>
      </c>
      <c r="E217" s="119">
        <f t="shared" si="9"/>
        <v>83</v>
      </c>
      <c r="F217" s="119"/>
      <c r="G217" s="119"/>
      <c r="H217" s="119"/>
      <c r="I217" s="119"/>
      <c r="J217" s="119"/>
      <c r="K217" s="119">
        <f>'Aggregated Table'!C220</f>
        <v>10</v>
      </c>
      <c r="L217" s="119">
        <f>'Aggregated Table'!D220</f>
        <v>440.02620200726483</v>
      </c>
      <c r="M217" s="119"/>
      <c r="N217" s="119"/>
      <c r="O217" s="119"/>
      <c r="P217" s="119"/>
      <c r="Q217" s="119">
        <f t="shared" si="10"/>
        <v>5.1672867377947117E-3</v>
      </c>
      <c r="R217" s="119">
        <f t="shared" si="11"/>
        <v>2.2737415579143163</v>
      </c>
    </row>
    <row r="218" spans="1:18">
      <c r="A218" s="119" t="str">
        <f>'Aggregated Table'!$A$137</f>
        <v>National Grid</v>
      </c>
      <c r="B218" s="119" t="str">
        <f>'Aggregated Table'!B221</f>
        <v>LASHER</v>
      </c>
      <c r="C218" s="95">
        <f t="shared" si="12"/>
        <v>26.841059602649008</v>
      </c>
      <c r="D218" s="95">
        <f t="shared" si="13"/>
        <v>65.817916755074293</v>
      </c>
      <c r="E218" s="119">
        <f t="shared" si="9"/>
        <v>84</v>
      </c>
      <c r="F218" s="119"/>
      <c r="G218" s="119"/>
      <c r="H218" s="119"/>
      <c r="I218" s="119"/>
      <c r="J218" s="119"/>
      <c r="K218" s="119">
        <f>'Aggregated Table'!C221</f>
        <v>0</v>
      </c>
      <c r="L218" s="119">
        <f>'Aggregated Table'!D221</f>
        <v>0</v>
      </c>
      <c r="M218" s="119"/>
      <c r="N218" s="119"/>
      <c r="O218" s="119"/>
      <c r="P218" s="119"/>
      <c r="Q218" s="119">
        <f t="shared" si="10"/>
        <v>0</v>
      </c>
      <c r="R218" s="119">
        <f t="shared" si="11"/>
        <v>0</v>
      </c>
    </row>
    <row r="219" spans="1:18">
      <c r="A219" s="119" t="str">
        <f>'Aggregated Table'!$A$137</f>
        <v>National Grid</v>
      </c>
      <c r="B219" s="119" t="str">
        <f>'Aggregated Table'!B222</f>
        <v>Latham</v>
      </c>
      <c r="C219" s="95">
        <f t="shared" si="12"/>
        <v>26.841059602649008</v>
      </c>
      <c r="D219" s="95">
        <f t="shared" si="13"/>
        <v>65.817916755074293</v>
      </c>
      <c r="E219" s="119">
        <f t="shared" si="9"/>
        <v>85</v>
      </c>
      <c r="F219" s="119"/>
      <c r="G219" s="119"/>
      <c r="H219" s="119"/>
      <c r="I219" s="119"/>
      <c r="J219" s="119"/>
      <c r="K219" s="119">
        <f>'Aggregated Table'!C222</f>
        <v>0</v>
      </c>
      <c r="L219" s="119">
        <f>'Aggregated Table'!D222</f>
        <v>0</v>
      </c>
      <c r="M219" s="119"/>
      <c r="N219" s="119"/>
      <c r="O219" s="119"/>
      <c r="P219" s="119"/>
      <c r="Q219" s="119">
        <f t="shared" si="10"/>
        <v>0</v>
      </c>
      <c r="R219" s="119">
        <f t="shared" si="11"/>
        <v>0</v>
      </c>
    </row>
    <row r="220" spans="1:18">
      <c r="A220" s="119" t="str">
        <f>'Aggregated Table'!$A$137</f>
        <v>National Grid</v>
      </c>
      <c r="B220" s="119" t="str">
        <f>'Aggregated Table'!B223</f>
        <v>Liberty Street</v>
      </c>
      <c r="C220" s="95">
        <f t="shared" si="12"/>
        <v>33.091059602649011</v>
      </c>
      <c r="D220" s="95">
        <f t="shared" si="13"/>
        <v>404.38096647083057</v>
      </c>
      <c r="E220" s="119">
        <f t="shared" si="9"/>
        <v>86</v>
      </c>
      <c r="F220" s="119"/>
      <c r="G220" s="119"/>
      <c r="H220" s="119"/>
      <c r="I220" s="119"/>
      <c r="J220" s="119"/>
      <c r="K220" s="119">
        <f>'Aggregated Table'!C223</f>
        <v>6.25</v>
      </c>
      <c r="L220" s="119">
        <f>'Aggregated Table'!D223</f>
        <v>338.56304971575628</v>
      </c>
      <c r="M220" s="119"/>
      <c r="N220" s="119"/>
      <c r="O220" s="119"/>
      <c r="P220" s="119"/>
      <c r="Q220" s="119">
        <f t="shared" si="10"/>
        <v>3.2295542111216951E-3</v>
      </c>
      <c r="R220" s="119">
        <f t="shared" si="11"/>
        <v>1.0934077229397245</v>
      </c>
    </row>
    <row r="221" spans="1:18">
      <c r="A221" s="119" t="str">
        <f>'Aggregated Table'!$A$137</f>
        <v>National Grid</v>
      </c>
      <c r="B221" s="119" t="str">
        <f>'Aggregated Table'!B224</f>
        <v>Livonia</v>
      </c>
      <c r="C221" s="95">
        <f t="shared" si="12"/>
        <v>26.841059602649008</v>
      </c>
      <c r="D221" s="95">
        <f t="shared" si="13"/>
        <v>65.817916755074293</v>
      </c>
      <c r="E221" s="119">
        <f t="shared" si="9"/>
        <v>87</v>
      </c>
      <c r="F221" s="119"/>
      <c r="G221" s="119"/>
      <c r="H221" s="119"/>
      <c r="I221" s="119"/>
      <c r="J221" s="119"/>
      <c r="K221" s="119">
        <f>'Aggregated Table'!C224</f>
        <v>0</v>
      </c>
      <c r="L221" s="119">
        <f>'Aggregated Table'!D224</f>
        <v>0</v>
      </c>
      <c r="M221" s="119"/>
      <c r="N221" s="119"/>
      <c r="O221" s="119"/>
      <c r="P221" s="119"/>
      <c r="Q221" s="119">
        <f t="shared" si="10"/>
        <v>0</v>
      </c>
      <c r="R221" s="119">
        <f t="shared" si="11"/>
        <v>0</v>
      </c>
    </row>
    <row r="222" spans="1:18">
      <c r="A222" s="119" t="str">
        <f>'Aggregated Table'!$A$137</f>
        <v>National Grid</v>
      </c>
      <c r="B222" s="119" t="str">
        <f>'Aggregated Table'!B225</f>
        <v>37 HUDSON AVE</v>
      </c>
      <c r="C222" s="95">
        <f t="shared" si="12"/>
        <v>26.841059602649008</v>
      </c>
      <c r="D222" s="95">
        <f t="shared" si="13"/>
        <v>65.817916755074293</v>
      </c>
      <c r="E222" s="119">
        <f t="shared" si="9"/>
        <v>88</v>
      </c>
      <c r="F222" s="119"/>
      <c r="G222" s="119"/>
      <c r="H222" s="119"/>
      <c r="I222" s="119"/>
      <c r="J222" s="119"/>
      <c r="K222" s="119">
        <f>'Aggregated Table'!C225</f>
        <v>0</v>
      </c>
      <c r="L222" s="119">
        <f>'Aggregated Table'!D225</f>
        <v>0</v>
      </c>
      <c r="M222" s="119"/>
      <c r="N222" s="119"/>
      <c r="O222" s="119"/>
      <c r="P222" s="119"/>
      <c r="Q222" s="119">
        <f t="shared" si="10"/>
        <v>0</v>
      </c>
      <c r="R222" s="119">
        <f t="shared" si="11"/>
        <v>0</v>
      </c>
    </row>
    <row r="223" spans="1:18">
      <c r="A223" s="119" t="str">
        <f>'Aggregated Table'!$A$137</f>
        <v>National Grid</v>
      </c>
      <c r="B223" s="119" t="str">
        <f>'Aggregated Table'!B226</f>
        <v>Lowville</v>
      </c>
      <c r="C223" s="95">
        <f t="shared" si="12"/>
        <v>26.841059602649008</v>
      </c>
      <c r="D223" s="95">
        <f t="shared" si="13"/>
        <v>65.817916755074293</v>
      </c>
      <c r="E223" s="119">
        <f t="shared" si="9"/>
        <v>89</v>
      </c>
      <c r="F223" s="119"/>
      <c r="G223" s="119"/>
      <c r="H223" s="119"/>
      <c r="I223" s="119"/>
      <c r="J223" s="119"/>
      <c r="K223" s="119">
        <f>'Aggregated Table'!C226</f>
        <v>0</v>
      </c>
      <c r="L223" s="119">
        <f>'Aggregated Table'!D226</f>
        <v>0</v>
      </c>
      <c r="M223" s="119"/>
      <c r="N223" s="119"/>
      <c r="O223" s="119"/>
      <c r="P223" s="119"/>
      <c r="Q223" s="119">
        <f t="shared" si="10"/>
        <v>0</v>
      </c>
      <c r="R223" s="119">
        <f t="shared" si="11"/>
        <v>0</v>
      </c>
    </row>
    <row r="224" spans="1:18">
      <c r="A224" s="119" t="str">
        <f>'Aggregated Table'!$A$137</f>
        <v>National Grid</v>
      </c>
      <c r="B224" s="119" t="str">
        <f>'Aggregated Table'!B227</f>
        <v>LYNDONVILLE</v>
      </c>
      <c r="C224" s="95">
        <f t="shared" si="12"/>
        <v>31.841059602649008</v>
      </c>
      <c r="D224" s="95">
        <f t="shared" si="13"/>
        <v>77.528374664891032</v>
      </c>
      <c r="E224" s="119">
        <f t="shared" si="9"/>
        <v>90</v>
      </c>
      <c r="F224" s="119"/>
      <c r="G224" s="119"/>
      <c r="H224" s="119"/>
      <c r="I224" s="119"/>
      <c r="J224" s="119"/>
      <c r="K224" s="119">
        <f>'Aggregated Table'!C227</f>
        <v>5</v>
      </c>
      <c r="L224" s="119">
        <f>'Aggregated Table'!D227</f>
        <v>11.710457909816734</v>
      </c>
      <c r="M224" s="119"/>
      <c r="N224" s="119"/>
      <c r="O224" s="119"/>
      <c r="P224" s="119"/>
      <c r="Q224" s="119">
        <f t="shared" si="10"/>
        <v>2.5836433688973559E-3</v>
      </c>
      <c r="R224" s="119">
        <f t="shared" si="11"/>
        <v>3.0255646925449596E-2</v>
      </c>
    </row>
    <row r="225" spans="1:18">
      <c r="A225" s="119" t="str">
        <f>'Aggregated Table'!$A$137</f>
        <v>National Grid</v>
      </c>
      <c r="B225" s="119" t="str">
        <f>'Aggregated Table'!B228</f>
        <v>Mayfield</v>
      </c>
      <c r="C225" s="95">
        <f t="shared" si="12"/>
        <v>26.841059602649008</v>
      </c>
      <c r="D225" s="95">
        <f t="shared" si="13"/>
        <v>65.817916755074293</v>
      </c>
      <c r="E225" s="119">
        <f t="shared" si="9"/>
        <v>91</v>
      </c>
      <c r="F225" s="119"/>
      <c r="G225" s="119"/>
      <c r="H225" s="119"/>
      <c r="I225" s="119"/>
      <c r="J225" s="119"/>
      <c r="K225" s="119">
        <f>'Aggregated Table'!C228</f>
        <v>0</v>
      </c>
      <c r="L225" s="119">
        <f>'Aggregated Table'!D228</f>
        <v>0</v>
      </c>
      <c r="M225" s="119"/>
      <c r="N225" s="119"/>
      <c r="O225" s="119"/>
      <c r="P225" s="119"/>
      <c r="Q225" s="119">
        <f t="shared" si="10"/>
        <v>0</v>
      </c>
      <c r="R225" s="119">
        <f t="shared" si="11"/>
        <v>0</v>
      </c>
    </row>
    <row r="226" spans="1:18">
      <c r="A226" s="119" t="str">
        <f>'Aggregated Table'!$A$137</f>
        <v>National Grid</v>
      </c>
      <c r="B226" s="119" t="str">
        <f>'Aggregated Table'!B229</f>
        <v>McClellan</v>
      </c>
      <c r="C226" s="95">
        <f t="shared" si="12"/>
        <v>32.141059602649008</v>
      </c>
      <c r="D226" s="95">
        <f t="shared" si="13"/>
        <v>168.32383999713898</v>
      </c>
      <c r="E226" s="119">
        <f t="shared" si="9"/>
        <v>92</v>
      </c>
      <c r="F226" s="119"/>
      <c r="G226" s="119"/>
      <c r="H226" s="119"/>
      <c r="I226" s="119"/>
      <c r="J226" s="119"/>
      <c r="K226" s="119">
        <f>'Aggregated Table'!C229</f>
        <v>5.3</v>
      </c>
      <c r="L226" s="119">
        <f>'Aggregated Table'!D229</f>
        <v>102.5059232420647</v>
      </c>
      <c r="M226" s="119"/>
      <c r="N226" s="119"/>
      <c r="O226" s="119"/>
      <c r="P226" s="119"/>
      <c r="Q226" s="119">
        <f t="shared" si="10"/>
        <v>2.7386619710311972E-3</v>
      </c>
      <c r="R226" s="119">
        <f t="shared" si="11"/>
        <v>0.28072907378848549</v>
      </c>
    </row>
    <row r="227" spans="1:18">
      <c r="A227" s="119" t="str">
        <f>'Aggregated Table'!$A$137</f>
        <v>National Grid</v>
      </c>
      <c r="B227" s="119" t="str">
        <f>'Aggregated Table'!B230</f>
        <v>Mexico</v>
      </c>
      <c r="C227" s="95">
        <f t="shared" si="12"/>
        <v>46.841059602649011</v>
      </c>
      <c r="D227" s="95">
        <f t="shared" si="13"/>
        <v>110.04937936557022</v>
      </c>
      <c r="E227" s="119">
        <f t="shared" si="9"/>
        <v>93</v>
      </c>
      <c r="F227" s="119"/>
      <c r="G227" s="119"/>
      <c r="H227" s="119"/>
      <c r="I227" s="119"/>
      <c r="J227" s="119"/>
      <c r="K227" s="119">
        <f>'Aggregated Table'!C230</f>
        <v>20</v>
      </c>
      <c r="L227" s="119">
        <f>'Aggregated Table'!D230</f>
        <v>44.231462610495925</v>
      </c>
      <c r="M227" s="119"/>
      <c r="N227" s="119"/>
      <c r="O227" s="119"/>
      <c r="P227" s="119"/>
      <c r="Q227" s="119">
        <f t="shared" si="10"/>
        <v>1.0334573475589423E-2</v>
      </c>
      <c r="R227" s="119">
        <f t="shared" si="11"/>
        <v>0.45711330028095648</v>
      </c>
    </row>
    <row r="228" spans="1:18">
      <c r="A228" s="119" t="str">
        <f>'Aggregated Table'!$A$137</f>
        <v>National Grid</v>
      </c>
      <c r="B228" s="119" t="str">
        <f>'Aggregated Table'!B231</f>
        <v>Middleburgh</v>
      </c>
      <c r="C228" s="95">
        <f t="shared" si="12"/>
        <v>46.241059602649003</v>
      </c>
      <c r="D228" s="95">
        <f t="shared" si="13"/>
        <v>88.857680949290767</v>
      </c>
      <c r="E228" s="119">
        <f t="shared" si="9"/>
        <v>94</v>
      </c>
      <c r="F228" s="119"/>
      <c r="G228" s="119"/>
      <c r="H228" s="119"/>
      <c r="I228" s="119"/>
      <c r="J228" s="119"/>
      <c r="K228" s="119">
        <f>'Aggregated Table'!C231</f>
        <v>19.399999999999999</v>
      </c>
      <c r="L228" s="119">
        <f>'Aggregated Table'!D231</f>
        <v>23.039764194216474</v>
      </c>
      <c r="M228" s="119"/>
      <c r="N228" s="119"/>
      <c r="O228" s="119"/>
      <c r="P228" s="119"/>
      <c r="Q228" s="119">
        <f t="shared" si="10"/>
        <v>1.002453627132174E-2</v>
      </c>
      <c r="R228" s="119">
        <f t="shared" si="11"/>
        <v>0.23096295184762294</v>
      </c>
    </row>
    <row r="229" spans="1:18">
      <c r="A229" s="119" t="str">
        <f>'Aggregated Table'!$A$137</f>
        <v>National Grid</v>
      </c>
      <c r="B229" s="119" t="str">
        <f>'Aggregated Table'!B232</f>
        <v>Middleville</v>
      </c>
      <c r="C229" s="95">
        <f t="shared" si="12"/>
        <v>32.041059602649007</v>
      </c>
      <c r="D229" s="95">
        <f t="shared" si="13"/>
        <v>223.6544017998846</v>
      </c>
      <c r="E229" s="119">
        <f t="shared" si="9"/>
        <v>95</v>
      </c>
      <c r="F229" s="119"/>
      <c r="G229" s="119"/>
      <c r="H229" s="119"/>
      <c r="I229" s="119"/>
      <c r="J229" s="119"/>
      <c r="K229" s="119">
        <f>'Aggregated Table'!C232</f>
        <v>5.2</v>
      </c>
      <c r="L229" s="119">
        <f>'Aggregated Table'!D232</f>
        <v>157.8364850448103</v>
      </c>
      <c r="M229" s="119"/>
      <c r="N229" s="119"/>
      <c r="O229" s="119"/>
      <c r="P229" s="119"/>
      <c r="Q229" s="119">
        <f t="shared" si="10"/>
        <v>2.6869891036532503E-3</v>
      </c>
      <c r="R229" s="119">
        <f t="shared" si="11"/>
        <v>0.42410491547433449</v>
      </c>
    </row>
    <row r="230" spans="1:18">
      <c r="A230" s="119" t="str">
        <f>'Aggregated Table'!$A$137</f>
        <v>National Grid</v>
      </c>
      <c r="B230" s="119" t="str">
        <f>'Aggregated Table'!B233</f>
        <v>Clintion Station</v>
      </c>
      <c r="C230" s="95">
        <f t="shared" si="12"/>
        <v>40.341059602649011</v>
      </c>
      <c r="D230" s="95">
        <f t="shared" si="13"/>
        <v>114.88171859931848</v>
      </c>
      <c r="E230" s="119">
        <f t="shared" si="9"/>
        <v>96</v>
      </c>
      <c r="F230" s="119"/>
      <c r="G230" s="119"/>
      <c r="H230" s="119"/>
      <c r="I230" s="119"/>
      <c r="J230" s="119"/>
      <c r="K230" s="119">
        <f>'Aggregated Table'!C233</f>
        <v>13.5</v>
      </c>
      <c r="L230" s="119">
        <f>'Aggregated Table'!D233</f>
        <v>49.063801844244182</v>
      </c>
      <c r="M230" s="119"/>
      <c r="N230" s="119"/>
      <c r="O230" s="119"/>
      <c r="P230" s="119"/>
      <c r="Q230" s="119">
        <f t="shared" si="10"/>
        <v>6.975837096022861E-3</v>
      </c>
      <c r="R230" s="119">
        <f t="shared" si="11"/>
        <v>0.34226108897699342</v>
      </c>
    </row>
    <row r="231" spans="1:18">
      <c r="A231" s="119" t="str">
        <f>'Aggregated Table'!$A$137</f>
        <v>National Grid</v>
      </c>
      <c r="B231" s="119" t="str">
        <f>'Aggregated Table'!B234</f>
        <v>North Leroy</v>
      </c>
      <c r="C231" s="95">
        <f t="shared" si="12"/>
        <v>31.841059602649008</v>
      </c>
      <c r="D231" s="95">
        <f t="shared" si="13"/>
        <v>129.10441068915034</v>
      </c>
      <c r="E231" s="119">
        <f t="shared" si="9"/>
        <v>97</v>
      </c>
      <c r="F231" s="119"/>
      <c r="G231" s="119"/>
      <c r="H231" s="119"/>
      <c r="I231" s="119"/>
      <c r="J231" s="119"/>
      <c r="K231" s="119">
        <f>'Aggregated Table'!C234</f>
        <v>5</v>
      </c>
      <c r="L231" s="119">
        <f>'Aggregated Table'!D234</f>
        <v>63.286493934076056</v>
      </c>
      <c r="M231" s="119"/>
      <c r="N231" s="119"/>
      <c r="O231" s="119"/>
      <c r="P231" s="119"/>
      <c r="Q231" s="119">
        <f t="shared" ref="Q231:Q262" si="14">K231/SUM(K$135:K$285)</f>
        <v>2.5836433688973559E-3</v>
      </c>
      <c r="R231" s="119">
        <f t="shared" ref="R231:R262" si="15">Q231*L231</f>
        <v>0.16350973039353833</v>
      </c>
    </row>
    <row r="232" spans="1:18">
      <c r="A232" s="119" t="str">
        <f>'Aggregated Table'!$A$137</f>
        <v>National Grid</v>
      </c>
      <c r="B232" s="119" t="str">
        <f>'Aggregated Table'!B235</f>
        <v>Nassau</v>
      </c>
      <c r="C232" s="95">
        <f t="shared" si="12"/>
        <v>39.841059602649011</v>
      </c>
      <c r="D232" s="95">
        <f t="shared" si="13"/>
        <v>111.81352277536504</v>
      </c>
      <c r="E232" s="119">
        <f t="shared" si="9"/>
        <v>98</v>
      </c>
      <c r="F232" s="119"/>
      <c r="G232" s="119"/>
      <c r="H232" s="119"/>
      <c r="I232" s="119"/>
      <c r="J232" s="119"/>
      <c r="K232" s="119">
        <f>'Aggregated Table'!C235</f>
        <v>13</v>
      </c>
      <c r="L232" s="119">
        <f>'Aggregated Table'!D235</f>
        <v>45.995606020290744</v>
      </c>
      <c r="M232" s="119"/>
      <c r="N232" s="119"/>
      <c r="O232" s="119"/>
      <c r="P232" s="119"/>
      <c r="Q232" s="119">
        <f t="shared" si="14"/>
        <v>6.7174727591331257E-3</v>
      </c>
      <c r="R232" s="119">
        <f t="shared" si="15"/>
        <v>0.30897423048112266</v>
      </c>
    </row>
    <row r="233" spans="1:18">
      <c r="A233" s="119" t="str">
        <f>'Aggregated Table'!$A$137</f>
        <v>National Grid</v>
      </c>
      <c r="B233" s="119" t="str">
        <f>'Aggregated Table'!B236</f>
        <v>New Cuba Station</v>
      </c>
      <c r="C233" s="95">
        <f t="shared" si="12"/>
        <v>39.341059602649011</v>
      </c>
      <c r="D233" s="95">
        <f t="shared" si="13"/>
        <v>75.757691030430422</v>
      </c>
      <c r="E233" s="119">
        <f t="shared" si="9"/>
        <v>99</v>
      </c>
      <c r="F233" s="119"/>
      <c r="G233" s="119"/>
      <c r="H233" s="119"/>
      <c r="I233" s="119"/>
      <c r="J233" s="119"/>
      <c r="K233" s="119">
        <f>'Aggregated Table'!C236</f>
        <v>12.5</v>
      </c>
      <c r="L233" s="119">
        <f>'Aggregated Table'!D236</f>
        <v>9.9397742753561289</v>
      </c>
      <c r="M233" s="119"/>
      <c r="N233" s="119"/>
      <c r="O233" s="119"/>
      <c r="P233" s="119"/>
      <c r="Q233" s="119">
        <f t="shared" si="14"/>
        <v>6.4591084222433903E-3</v>
      </c>
      <c r="R233" s="119">
        <f t="shared" si="15"/>
        <v>6.4202079737150961E-2</v>
      </c>
    </row>
    <row r="234" spans="1:18">
      <c r="A234" s="119" t="str">
        <f>'Aggregated Table'!$A$137</f>
        <v>National Grid</v>
      </c>
      <c r="B234" s="119" t="str">
        <f>'Aggregated Table'!B237</f>
        <v>NEW KRUMKILL</v>
      </c>
      <c r="C234" s="95">
        <f t="shared" si="12"/>
        <v>86.841059602649011</v>
      </c>
      <c r="D234" s="95">
        <f t="shared" si="13"/>
        <v>141.21471645027387</v>
      </c>
      <c r="E234" s="119">
        <f t="shared" si="9"/>
        <v>100</v>
      </c>
      <c r="F234" s="119"/>
      <c r="G234" s="119"/>
      <c r="H234" s="119"/>
      <c r="I234" s="119"/>
      <c r="J234" s="119"/>
      <c r="K234" s="119">
        <f>'Aggregated Table'!C237</f>
        <v>60</v>
      </c>
      <c r="L234" s="119">
        <f>'Aggregated Table'!D237</f>
        <v>75.396799695199576</v>
      </c>
      <c r="M234" s="119"/>
      <c r="N234" s="119"/>
      <c r="O234" s="119"/>
      <c r="P234" s="119"/>
      <c r="Q234" s="119">
        <f t="shared" si="14"/>
        <v>3.1003720426768272E-2</v>
      </c>
      <c r="R234" s="119">
        <f t="shared" si="15"/>
        <v>2.3375812988230149</v>
      </c>
    </row>
    <row r="235" spans="1:18">
      <c r="A235" s="119" t="str">
        <f>'Aggregated Table'!$A$137</f>
        <v>National Grid</v>
      </c>
      <c r="B235" s="119" t="str">
        <f>'Aggregated Table'!B238</f>
        <v>New Livingston Substation</v>
      </c>
      <c r="C235" s="95">
        <f t="shared" si="12"/>
        <v>39.341059602649011</v>
      </c>
      <c r="D235" s="95">
        <f t="shared" si="13"/>
        <v>77.852108754763265</v>
      </c>
      <c r="E235" s="119">
        <f t="shared" si="9"/>
        <v>101</v>
      </c>
      <c r="F235" s="119"/>
      <c r="G235" s="119"/>
      <c r="H235" s="119"/>
      <c r="I235" s="119"/>
      <c r="J235" s="119"/>
      <c r="K235" s="119">
        <f>'Aggregated Table'!C238</f>
        <v>12.5</v>
      </c>
      <c r="L235" s="119">
        <f>'Aggregated Table'!D238</f>
        <v>12.034191999688964</v>
      </c>
      <c r="M235" s="119"/>
      <c r="N235" s="119"/>
      <c r="O235" s="119"/>
      <c r="P235" s="119"/>
      <c r="Q235" s="119">
        <f t="shared" si="14"/>
        <v>6.4591084222433903E-3</v>
      </c>
      <c r="R235" s="119">
        <f t="shared" si="15"/>
        <v>7.7730150900085018E-2</v>
      </c>
    </row>
    <row r="236" spans="1:18">
      <c r="A236" s="119" t="str">
        <f>'Aggregated Table'!$A$137</f>
        <v>National Grid</v>
      </c>
      <c r="B236" s="119" t="str">
        <f>'Aggregated Table'!B239</f>
        <v>Middleport</v>
      </c>
      <c r="C236" s="95">
        <f t="shared" si="12"/>
        <v>33.841059602649011</v>
      </c>
      <c r="D236" s="95">
        <f t="shared" si="13"/>
        <v>117.53071368940297</v>
      </c>
      <c r="E236" s="119">
        <f t="shared" si="9"/>
        <v>102</v>
      </c>
      <c r="F236" s="119"/>
      <c r="G236" s="119"/>
      <c r="H236" s="119"/>
      <c r="I236" s="119"/>
      <c r="J236" s="119"/>
      <c r="K236" s="119">
        <f>'Aggregated Table'!C239</f>
        <v>7</v>
      </c>
      <c r="L236" s="119">
        <f>'Aggregated Table'!D239</f>
        <v>51.712796934328686</v>
      </c>
      <c r="M236" s="119"/>
      <c r="N236" s="119"/>
      <c r="O236" s="119"/>
      <c r="P236" s="119"/>
      <c r="Q236" s="119">
        <f t="shared" si="14"/>
        <v>3.6171007164562982E-3</v>
      </c>
      <c r="R236" s="119">
        <f t="shared" si="15"/>
        <v>0.18705039484111935</v>
      </c>
    </row>
    <row r="237" spans="1:18">
      <c r="A237" s="119" t="str">
        <f>'Aggregated Table'!$A$137</f>
        <v>National Grid</v>
      </c>
      <c r="B237" s="119" t="str">
        <f>'Aggregated Table'!B240</f>
        <v>NEWTONVILLE</v>
      </c>
      <c r="C237" s="95">
        <f t="shared" si="12"/>
        <v>65.56105960264901</v>
      </c>
      <c r="D237" s="95">
        <f t="shared" si="13"/>
        <v>138.24692490967692</v>
      </c>
      <c r="E237" s="119">
        <f t="shared" si="9"/>
        <v>103</v>
      </c>
      <c r="F237" s="119"/>
      <c r="G237" s="119"/>
      <c r="H237" s="119"/>
      <c r="I237" s="119"/>
      <c r="J237" s="119"/>
      <c r="K237" s="119">
        <f>'Aggregated Table'!C240</f>
        <v>38.72</v>
      </c>
      <c r="L237" s="119">
        <f>'Aggregated Table'!D240</f>
        <v>72.429008154602641</v>
      </c>
      <c r="M237" s="119"/>
      <c r="N237" s="119"/>
      <c r="O237" s="119"/>
      <c r="P237" s="119"/>
      <c r="Q237" s="119">
        <f t="shared" si="14"/>
        <v>2.0007734248741124E-2</v>
      </c>
      <c r="R237" s="119">
        <f t="shared" si="15"/>
        <v>1.4491403470571935</v>
      </c>
    </row>
    <row r="238" spans="1:18">
      <c r="A238" s="119" t="str">
        <f>'Aggregated Table'!$A$137</f>
        <v>National Grid</v>
      </c>
      <c r="B238" s="119" t="str">
        <f>'Aggregated Table'!B241</f>
        <v>Northville Station</v>
      </c>
      <c r="C238" s="95">
        <f t="shared" si="12"/>
        <v>39.341059602649011</v>
      </c>
      <c r="D238" s="95">
        <f t="shared" si="13"/>
        <v>105.23926911096544</v>
      </c>
      <c r="E238" s="119">
        <f t="shared" si="9"/>
        <v>104</v>
      </c>
      <c r="F238" s="119"/>
      <c r="G238" s="119"/>
      <c r="H238" s="119"/>
      <c r="I238" s="119"/>
      <c r="J238" s="119"/>
      <c r="K238" s="119">
        <f>'Aggregated Table'!C241</f>
        <v>12.5</v>
      </c>
      <c r="L238" s="119">
        <f>'Aggregated Table'!D241</f>
        <v>39.421352355891145</v>
      </c>
      <c r="M238" s="119"/>
      <c r="N238" s="119"/>
      <c r="O238" s="119"/>
      <c r="P238" s="119"/>
      <c r="Q238" s="119">
        <f t="shared" si="14"/>
        <v>6.4591084222433903E-3</v>
      </c>
      <c r="R238" s="119">
        <f t="shared" si="15"/>
        <v>0.25462678901816083</v>
      </c>
    </row>
    <row r="239" spans="1:18">
      <c r="A239" s="119" t="str">
        <f>'Aggregated Table'!$A$137</f>
        <v>National Grid</v>
      </c>
      <c r="B239" s="119" t="str">
        <f>'Aggregated Table'!B242</f>
        <v>Ogdenbrook</v>
      </c>
      <c r="C239" s="95">
        <f t="shared" si="12"/>
        <v>26.841059602649008</v>
      </c>
      <c r="D239" s="95">
        <f t="shared" si="13"/>
        <v>65.817916755074293</v>
      </c>
      <c r="E239" s="119">
        <f t="shared" si="9"/>
        <v>105</v>
      </c>
      <c r="F239" s="119"/>
      <c r="G239" s="119"/>
      <c r="H239" s="119"/>
      <c r="I239" s="119"/>
      <c r="J239" s="119"/>
      <c r="K239" s="119">
        <f>'Aggregated Table'!C242</f>
        <v>0</v>
      </c>
      <c r="L239" s="119">
        <f>'Aggregated Table'!D242</f>
        <v>0</v>
      </c>
      <c r="M239" s="119"/>
      <c r="N239" s="119"/>
      <c r="O239" s="119"/>
      <c r="P239" s="119"/>
      <c r="Q239" s="119">
        <f t="shared" si="14"/>
        <v>0</v>
      </c>
      <c r="R239" s="119">
        <f t="shared" si="15"/>
        <v>0</v>
      </c>
    </row>
    <row r="240" spans="1:18">
      <c r="A240" s="119" t="str">
        <f>'Aggregated Table'!$A$137</f>
        <v>National Grid</v>
      </c>
      <c r="B240" s="119" t="str">
        <f>'Aggregated Table'!B243</f>
        <v>Otten</v>
      </c>
      <c r="C240" s="95">
        <f t="shared" si="12"/>
        <v>26.841059602649008</v>
      </c>
      <c r="D240" s="95">
        <f t="shared" si="13"/>
        <v>65.817916755074293</v>
      </c>
      <c r="E240" s="119">
        <f t="shared" si="9"/>
        <v>106</v>
      </c>
      <c r="F240" s="119"/>
      <c r="G240" s="119"/>
      <c r="H240" s="119"/>
      <c r="I240" s="119"/>
      <c r="J240" s="119"/>
      <c r="K240" s="119">
        <f>'Aggregated Table'!C243</f>
        <v>0</v>
      </c>
      <c r="L240" s="119">
        <f>'Aggregated Table'!D243</f>
        <v>0</v>
      </c>
      <c r="M240" s="119"/>
      <c r="N240" s="119"/>
      <c r="O240" s="119"/>
      <c r="P240" s="119"/>
      <c r="Q240" s="119">
        <f t="shared" si="14"/>
        <v>0</v>
      </c>
      <c r="R240" s="119">
        <f t="shared" si="15"/>
        <v>0</v>
      </c>
    </row>
    <row r="241" spans="1:18">
      <c r="A241" s="119" t="str">
        <f>'Aggregated Table'!$A$137</f>
        <v>National Grid</v>
      </c>
      <c r="B241" s="119" t="str">
        <f>'Aggregated Table'!B244</f>
        <v>Paloma</v>
      </c>
      <c r="C241" s="95">
        <f t="shared" si="12"/>
        <v>26.841059602649008</v>
      </c>
      <c r="D241" s="95">
        <f t="shared" si="13"/>
        <v>65.817916755074293</v>
      </c>
      <c r="E241" s="119">
        <f t="shared" si="9"/>
        <v>107</v>
      </c>
      <c r="F241" s="119"/>
      <c r="G241" s="119"/>
      <c r="H241" s="119"/>
      <c r="I241" s="119"/>
      <c r="J241" s="119"/>
      <c r="K241" s="119">
        <f>'Aggregated Table'!C244</f>
        <v>0</v>
      </c>
      <c r="L241" s="119">
        <f>'Aggregated Table'!D244</f>
        <v>0</v>
      </c>
      <c r="M241" s="119"/>
      <c r="N241" s="119"/>
      <c r="O241" s="119"/>
      <c r="P241" s="119"/>
      <c r="Q241" s="119">
        <f t="shared" si="14"/>
        <v>0</v>
      </c>
      <c r="R241" s="119">
        <f t="shared" si="15"/>
        <v>0</v>
      </c>
    </row>
    <row r="242" spans="1:18">
      <c r="A242" s="119" t="str">
        <f>'Aggregated Table'!$A$137</f>
        <v>National Grid</v>
      </c>
      <c r="B242" s="119" t="str">
        <f>'Aggregated Table'!B245</f>
        <v>Partridge</v>
      </c>
      <c r="C242" s="95">
        <f t="shared" si="12"/>
        <v>41.841059602649011</v>
      </c>
      <c r="D242" s="95">
        <f t="shared" si="13"/>
        <v>98.669043718316914</v>
      </c>
      <c r="E242" s="119">
        <f t="shared" si="9"/>
        <v>108</v>
      </c>
      <c r="F242" s="119"/>
      <c r="G242" s="119"/>
      <c r="H242" s="119"/>
      <c r="I242" s="119"/>
      <c r="J242" s="119"/>
      <c r="K242" s="119">
        <f>'Aggregated Table'!C245</f>
        <v>15</v>
      </c>
      <c r="L242" s="119">
        <f>'Aggregated Table'!D245</f>
        <v>32.851126963242621</v>
      </c>
      <c r="M242" s="119"/>
      <c r="N242" s="119"/>
      <c r="O242" s="119"/>
      <c r="P242" s="119"/>
      <c r="Q242" s="119">
        <f t="shared" si="14"/>
        <v>7.750930106692068E-3</v>
      </c>
      <c r="R242" s="119">
        <f t="shared" si="15"/>
        <v>0.25462678901816077</v>
      </c>
    </row>
    <row r="243" spans="1:18">
      <c r="A243" s="119" t="str">
        <f>'Aggregated Table'!$A$137</f>
        <v>National Grid</v>
      </c>
      <c r="B243" s="119" t="str">
        <f>'Aggregated Table'!B246</f>
        <v>Peat</v>
      </c>
      <c r="C243" s="95">
        <f t="shared" si="12"/>
        <v>26.841059602649008</v>
      </c>
      <c r="D243" s="95">
        <f t="shared" si="13"/>
        <v>65.817916755074293</v>
      </c>
      <c r="E243" s="119">
        <f t="shared" si="9"/>
        <v>109</v>
      </c>
      <c r="F243" s="119"/>
      <c r="G243" s="119"/>
      <c r="H243" s="119"/>
      <c r="I243" s="119"/>
      <c r="J243" s="119"/>
      <c r="K243" s="119">
        <f>'Aggregated Table'!C246</f>
        <v>0</v>
      </c>
      <c r="L243" s="119">
        <f>'Aggregated Table'!D246</f>
        <v>0</v>
      </c>
      <c r="M243" s="119"/>
      <c r="N243" s="119"/>
      <c r="O243" s="119"/>
      <c r="P243" s="119"/>
      <c r="Q243" s="119">
        <f t="shared" si="14"/>
        <v>0</v>
      </c>
      <c r="R243" s="119">
        <f t="shared" si="15"/>
        <v>0</v>
      </c>
    </row>
    <row r="244" spans="1:18">
      <c r="A244" s="119" t="str">
        <f>'Aggregated Table'!$A$137</f>
        <v>National Grid</v>
      </c>
      <c r="B244" s="119" t="str">
        <f>'Aggregated Table'!B247</f>
        <v>PINEBUSH</v>
      </c>
      <c r="C244" s="95">
        <f t="shared" si="12"/>
        <v>27.491059602649006</v>
      </c>
      <c r="D244" s="95">
        <f t="shared" si="13"/>
        <v>162.80447914206857</v>
      </c>
      <c r="E244" s="119">
        <f t="shared" si="9"/>
        <v>110</v>
      </c>
      <c r="F244" s="119"/>
      <c r="G244" s="119"/>
      <c r="H244" s="119"/>
      <c r="I244" s="119"/>
      <c r="J244" s="119"/>
      <c r="K244" s="119">
        <f>'Aggregated Table'!C247</f>
        <v>0.65</v>
      </c>
      <c r="L244" s="119">
        <f>'Aggregated Table'!D247</f>
        <v>96.986562386994279</v>
      </c>
      <c r="M244" s="119"/>
      <c r="N244" s="119"/>
      <c r="O244" s="119"/>
      <c r="P244" s="119"/>
      <c r="Q244" s="119">
        <f t="shared" si="14"/>
        <v>3.3587363795665629E-4</v>
      </c>
      <c r="R244" s="119">
        <f t="shared" si="15"/>
        <v>3.2575229541829974E-2</v>
      </c>
    </row>
    <row r="245" spans="1:18">
      <c r="A245" s="119" t="str">
        <f>'Aggregated Table'!$A$137</f>
        <v>National Grid</v>
      </c>
      <c r="B245" s="119" t="str">
        <f>'Aggregated Table'!B248</f>
        <v>Port Henry</v>
      </c>
      <c r="C245" s="95">
        <f t="shared" si="12"/>
        <v>43.841059602649011</v>
      </c>
      <c r="D245" s="95">
        <f t="shared" si="13"/>
        <v>119.82115186356927</v>
      </c>
      <c r="E245" s="119">
        <f t="shared" si="9"/>
        <v>111</v>
      </c>
      <c r="F245" s="119"/>
      <c r="G245" s="119"/>
      <c r="H245" s="119"/>
      <c r="I245" s="119"/>
      <c r="J245" s="119"/>
      <c r="K245" s="119">
        <f>'Aggregated Table'!C248</f>
        <v>17</v>
      </c>
      <c r="L245" s="119">
        <f>'Aggregated Table'!D248</f>
        <v>54.003235108494984</v>
      </c>
      <c r="M245" s="119"/>
      <c r="N245" s="119"/>
      <c r="O245" s="119"/>
      <c r="P245" s="119"/>
      <c r="Q245" s="119">
        <f t="shared" si="14"/>
        <v>8.7843874542510095E-3</v>
      </c>
      <c r="R245" s="119">
        <f t="shared" si="15"/>
        <v>0.47438534097603097</v>
      </c>
    </row>
    <row r="246" spans="1:18">
      <c r="A246" s="119" t="str">
        <f>'Aggregated Table'!$A$137</f>
        <v>National Grid</v>
      </c>
      <c r="B246" s="119" t="str">
        <f>'Aggregated Table'!B249</f>
        <v>Pottersville</v>
      </c>
      <c r="C246" s="95">
        <f t="shared" si="12"/>
        <v>39.841059602649011</v>
      </c>
      <c r="D246" s="95">
        <f t="shared" si="13"/>
        <v>100.72203437907294</v>
      </c>
      <c r="E246" s="119">
        <f t="shared" si="9"/>
        <v>112</v>
      </c>
      <c r="F246" s="119"/>
      <c r="G246" s="119"/>
      <c r="H246" s="119"/>
      <c r="I246" s="119"/>
      <c r="J246" s="119"/>
      <c r="K246" s="119">
        <f>'Aggregated Table'!C249</f>
        <v>13</v>
      </c>
      <c r="L246" s="119">
        <f>'Aggregated Table'!D249</f>
        <v>34.904117623998637</v>
      </c>
      <c r="M246" s="119"/>
      <c r="N246" s="119"/>
      <c r="O246" s="119"/>
      <c r="P246" s="119"/>
      <c r="Q246" s="119">
        <f t="shared" si="14"/>
        <v>6.7174727591331257E-3</v>
      </c>
      <c r="R246" s="119">
        <f t="shared" si="15"/>
        <v>0.23446745932078927</v>
      </c>
    </row>
    <row r="247" spans="1:18">
      <c r="A247" s="119" t="str">
        <f>'Aggregated Table'!$A$137</f>
        <v>National Grid</v>
      </c>
      <c r="B247" s="119" t="str">
        <f>'Aggregated Table'!B250</f>
        <v>Raquette Lake</v>
      </c>
      <c r="C247" s="95">
        <f t="shared" si="12"/>
        <v>27.341059602649008</v>
      </c>
      <c r="D247" s="95">
        <f t="shared" si="13"/>
        <v>116.59913946463334</v>
      </c>
      <c r="E247" s="119">
        <f t="shared" si="9"/>
        <v>113</v>
      </c>
      <c r="F247" s="119"/>
      <c r="G247" s="119"/>
      <c r="H247" s="119"/>
      <c r="I247" s="119"/>
      <c r="J247" s="119"/>
      <c r="K247" s="119">
        <f>'Aggregated Table'!C250</f>
        <v>0.5</v>
      </c>
      <c r="L247" s="119">
        <f>'Aggregated Table'!D250</f>
        <v>50.781222709559053</v>
      </c>
      <c r="M247" s="119"/>
      <c r="N247" s="119"/>
      <c r="O247" s="119"/>
      <c r="P247" s="119"/>
      <c r="Q247" s="119">
        <f t="shared" si="14"/>
        <v>2.5836433688973559E-4</v>
      </c>
      <c r="R247" s="119">
        <f t="shared" si="15"/>
        <v>1.3120056931805206E-2</v>
      </c>
    </row>
    <row r="248" spans="1:18">
      <c r="A248" s="119" t="str">
        <f>'Aggregated Table'!$A$137</f>
        <v>National Grid</v>
      </c>
      <c r="B248" s="119" t="str">
        <f>'Aggregated Table'!B251</f>
        <v>North Chautauqua</v>
      </c>
      <c r="C248" s="95">
        <f t="shared" si="12"/>
        <v>26.841059602649008</v>
      </c>
      <c r="D248" s="95">
        <f t="shared" si="13"/>
        <v>65.817916755074293</v>
      </c>
      <c r="E248" s="119">
        <f t="shared" si="9"/>
        <v>114</v>
      </c>
      <c r="F248" s="119"/>
      <c r="G248" s="119"/>
      <c r="H248" s="119"/>
      <c r="I248" s="119"/>
      <c r="J248" s="119"/>
      <c r="K248" s="119">
        <f>'Aggregated Table'!C251</f>
        <v>0</v>
      </c>
      <c r="L248" s="119">
        <f>'Aggregated Table'!D251</f>
        <v>0</v>
      </c>
      <c r="M248" s="119"/>
      <c r="N248" s="119"/>
      <c r="O248" s="119"/>
      <c r="P248" s="119"/>
      <c r="Q248" s="119">
        <f t="shared" si="14"/>
        <v>0</v>
      </c>
      <c r="R248" s="119">
        <f t="shared" si="15"/>
        <v>0</v>
      </c>
    </row>
    <row r="249" spans="1:18">
      <c r="A249" s="119" t="str">
        <f>'Aggregated Table'!$A$137</f>
        <v>National Grid</v>
      </c>
      <c r="B249" s="119" t="str">
        <f>'Aggregated Table'!B252</f>
        <v>RIVERSIDE</v>
      </c>
      <c r="C249" s="95">
        <f t="shared" si="12"/>
        <v>31.841059602649008</v>
      </c>
      <c r="D249" s="95">
        <f t="shared" si="13"/>
        <v>220.73441964664951</v>
      </c>
      <c r="E249" s="119">
        <f t="shared" si="9"/>
        <v>115</v>
      </c>
      <c r="F249" s="119"/>
      <c r="G249" s="119"/>
      <c r="H249" s="119"/>
      <c r="I249" s="119"/>
      <c r="J249" s="119"/>
      <c r="K249" s="119">
        <f>'Aggregated Table'!C252</f>
        <v>5</v>
      </c>
      <c r="L249" s="119">
        <f>'Aggregated Table'!D252</f>
        <v>154.91650289157522</v>
      </c>
      <c r="M249" s="119"/>
      <c r="N249" s="119"/>
      <c r="O249" s="119"/>
      <c r="P249" s="119"/>
      <c r="Q249" s="119">
        <f t="shared" si="14"/>
        <v>2.5836433688973559E-3</v>
      </c>
      <c r="R249" s="119">
        <f t="shared" si="15"/>
        <v>0.40024899542858638</v>
      </c>
    </row>
    <row r="250" spans="1:18">
      <c r="A250" s="119" t="str">
        <f>'Aggregated Table'!$A$137</f>
        <v>National Grid</v>
      </c>
      <c r="B250" s="119" t="str">
        <f>'Aggregated Table'!B253</f>
        <v>Rome Substation</v>
      </c>
      <c r="C250" s="95">
        <f t="shared" si="12"/>
        <v>46.841059602649011</v>
      </c>
      <c r="D250" s="95">
        <f t="shared" si="13"/>
        <v>98.512949847578071</v>
      </c>
      <c r="E250" s="119">
        <f t="shared" si="9"/>
        <v>116</v>
      </c>
      <c r="F250" s="119"/>
      <c r="G250" s="119"/>
      <c r="H250" s="119"/>
      <c r="I250" s="119"/>
      <c r="J250" s="119"/>
      <c r="K250" s="119">
        <f>'Aggregated Table'!C253</f>
        <v>20</v>
      </c>
      <c r="L250" s="119">
        <f>'Aggregated Table'!D253</f>
        <v>32.695033092503778</v>
      </c>
      <c r="M250" s="119"/>
      <c r="N250" s="119"/>
      <c r="O250" s="119"/>
      <c r="P250" s="119"/>
      <c r="Q250" s="119">
        <f t="shared" si="14"/>
        <v>1.0334573475589423E-2</v>
      </c>
      <c r="R250" s="119">
        <f t="shared" si="15"/>
        <v>0.33788922178130798</v>
      </c>
    </row>
    <row r="251" spans="1:18">
      <c r="A251" s="119" t="str">
        <f>'Aggregated Table'!$A$137</f>
        <v>National Grid</v>
      </c>
      <c r="B251" s="119" t="str">
        <f>'Aggregated Table'!B254</f>
        <v>Rotterdam</v>
      </c>
      <c r="C251" s="95">
        <f t="shared" si="12"/>
        <v>39.841059602649011</v>
      </c>
      <c r="D251" s="95">
        <f t="shared" si="13"/>
        <v>120.96970777398627</v>
      </c>
      <c r="E251" s="119">
        <f t="shared" si="9"/>
        <v>117</v>
      </c>
      <c r="F251" s="119"/>
      <c r="G251" s="119"/>
      <c r="H251" s="119"/>
      <c r="I251" s="119"/>
      <c r="J251" s="119"/>
      <c r="K251" s="119">
        <f>'Aggregated Table'!C254</f>
        <v>13</v>
      </c>
      <c r="L251" s="119">
        <f>'Aggregated Table'!D254</f>
        <v>55.151791018911986</v>
      </c>
      <c r="M251" s="119"/>
      <c r="N251" s="119"/>
      <c r="O251" s="119"/>
      <c r="P251" s="119"/>
      <c r="Q251" s="119">
        <f t="shared" si="14"/>
        <v>6.7174727591331257E-3</v>
      </c>
      <c r="R251" s="119">
        <f t="shared" si="15"/>
        <v>0.37048065378694423</v>
      </c>
    </row>
    <row r="252" spans="1:18">
      <c r="A252" s="119" t="str">
        <f>'Aggregated Table'!$A$137</f>
        <v>National Grid</v>
      </c>
      <c r="B252" s="119" t="str">
        <f>'Aggregated Table'!B255</f>
        <v>South Washington</v>
      </c>
      <c r="C252" s="95">
        <f t="shared" si="12"/>
        <v>31.841059602649008</v>
      </c>
      <c r="D252" s="95">
        <f t="shared" si="13"/>
        <v>113.67078553616363</v>
      </c>
      <c r="E252" s="119">
        <f t="shared" si="9"/>
        <v>118</v>
      </c>
      <c r="F252" s="119"/>
      <c r="G252" s="119"/>
      <c r="H252" s="119"/>
      <c r="I252" s="119"/>
      <c r="J252" s="119"/>
      <c r="K252" s="119">
        <f>'Aggregated Table'!C255</f>
        <v>5</v>
      </c>
      <c r="L252" s="119">
        <f>'Aggregated Table'!D255</f>
        <v>47.852868781089342</v>
      </c>
      <c r="M252" s="119"/>
      <c r="N252" s="119"/>
      <c r="O252" s="119"/>
      <c r="P252" s="119"/>
      <c r="Q252" s="119">
        <f t="shared" si="14"/>
        <v>2.5836433688973559E-3</v>
      </c>
      <c r="R252" s="119">
        <f t="shared" si="15"/>
        <v>0.12363474710897678</v>
      </c>
    </row>
    <row r="253" spans="1:18">
      <c r="A253" s="119" t="str">
        <f>'Aggregated Table'!$A$137</f>
        <v>National Grid</v>
      </c>
      <c r="B253" s="119" t="str">
        <f>'Aggregated Table'!B256</f>
        <v>Schenevus</v>
      </c>
      <c r="C253" s="95">
        <f t="shared" si="12"/>
        <v>29.841059602649008</v>
      </c>
      <c r="D253" s="95">
        <f t="shared" si="13"/>
        <v>102.92881647803367</v>
      </c>
      <c r="E253" s="119">
        <f t="shared" si="9"/>
        <v>119</v>
      </c>
      <c r="F253" s="119"/>
      <c r="G253" s="119"/>
      <c r="H253" s="119"/>
      <c r="I253" s="119"/>
      <c r="J253" s="119"/>
      <c r="K253" s="119">
        <f>'Aggregated Table'!C256</f>
        <v>3</v>
      </c>
      <c r="L253" s="119">
        <f>'Aggregated Table'!D256</f>
        <v>37.110899722959367</v>
      </c>
      <c r="M253" s="119"/>
      <c r="N253" s="119"/>
      <c r="O253" s="119"/>
      <c r="P253" s="119"/>
      <c r="Q253" s="119">
        <f t="shared" si="14"/>
        <v>1.5501860213384135E-3</v>
      </c>
      <c r="R253" s="119">
        <f t="shared" si="15"/>
        <v>5.7528797989823216E-2</v>
      </c>
    </row>
    <row r="254" spans="1:18">
      <c r="A254" s="119" t="str">
        <f>'Aggregated Table'!$A$137</f>
        <v>National Grid</v>
      </c>
      <c r="B254" s="119" t="str">
        <f>'Aggregated Table'!B257</f>
        <v>Schodack</v>
      </c>
      <c r="C254" s="95">
        <f t="shared" si="12"/>
        <v>26.841059602649008</v>
      </c>
      <c r="D254" s="95">
        <f t="shared" si="13"/>
        <v>65.817916755074293</v>
      </c>
      <c r="E254" s="119">
        <f t="shared" si="9"/>
        <v>120</v>
      </c>
      <c r="F254" s="119"/>
      <c r="G254" s="119"/>
      <c r="H254" s="119"/>
      <c r="I254" s="119"/>
      <c r="J254" s="119"/>
      <c r="K254" s="119">
        <f>'Aggregated Table'!C257</f>
        <v>0</v>
      </c>
      <c r="L254" s="119">
        <f>'Aggregated Table'!D257</f>
        <v>0</v>
      </c>
      <c r="M254" s="119"/>
      <c r="N254" s="119"/>
      <c r="O254" s="119"/>
      <c r="P254" s="119"/>
      <c r="Q254" s="119">
        <f t="shared" si="14"/>
        <v>0</v>
      </c>
      <c r="R254" s="119">
        <f t="shared" si="15"/>
        <v>0</v>
      </c>
    </row>
    <row r="255" spans="1:18">
      <c r="A255" s="119" t="str">
        <f>'Aggregated Table'!$A$137</f>
        <v>National Grid</v>
      </c>
      <c r="B255" s="119" t="str">
        <f>'Aggregated Table'!B258</f>
        <v>SCHROON LAKE</v>
      </c>
      <c r="C255" s="95">
        <f t="shared" si="12"/>
        <v>31.641059602649008</v>
      </c>
      <c r="D255" s="95">
        <f t="shared" si="13"/>
        <v>86.901444251155326</v>
      </c>
      <c r="E255" s="119">
        <f t="shared" si="9"/>
        <v>121</v>
      </c>
      <c r="F255" s="119"/>
      <c r="G255" s="119"/>
      <c r="H255" s="119"/>
      <c r="I255" s="119"/>
      <c r="J255" s="119"/>
      <c r="K255" s="119">
        <f>'Aggregated Table'!C258</f>
        <v>4.8</v>
      </c>
      <c r="L255" s="119">
        <f>'Aggregated Table'!D258</f>
        <v>21.083527496081032</v>
      </c>
      <c r="M255" s="119"/>
      <c r="N255" s="119"/>
      <c r="O255" s="119"/>
      <c r="P255" s="119"/>
      <c r="Q255" s="119">
        <f t="shared" si="14"/>
        <v>2.4802976341414618E-3</v>
      </c>
      <c r="R255" s="119">
        <f t="shared" si="15"/>
        <v>5.2293423367886241E-2</v>
      </c>
    </row>
    <row r="256" spans="1:18">
      <c r="A256" s="119" t="str">
        <f>'Aggregated Table'!$A$137</f>
        <v>National Grid</v>
      </c>
      <c r="B256" s="119" t="str">
        <f>'Aggregated Table'!B259</f>
        <v>Scofield</v>
      </c>
      <c r="C256" s="95">
        <f t="shared" si="12"/>
        <v>56.341059602649011</v>
      </c>
      <c r="D256" s="95">
        <f t="shared" si="13"/>
        <v>67.016094108039411</v>
      </c>
      <c r="E256" s="119">
        <f t="shared" si="9"/>
        <v>122</v>
      </c>
      <c r="F256" s="119"/>
      <c r="G256" s="119"/>
      <c r="H256" s="119"/>
      <c r="I256" s="119"/>
      <c r="J256" s="119"/>
      <c r="K256" s="119">
        <f>'Aggregated Table'!C259</f>
        <v>29.5</v>
      </c>
      <c r="L256" s="119">
        <f>'Aggregated Table'!D259</f>
        <v>1.1981773529651205</v>
      </c>
      <c r="M256" s="119"/>
      <c r="N256" s="119"/>
      <c r="O256" s="119"/>
      <c r="P256" s="119"/>
      <c r="Q256" s="119">
        <f t="shared" si="14"/>
        <v>1.5243495876494401E-2</v>
      </c>
      <c r="R256" s="119">
        <f t="shared" si="15"/>
        <v>1.8264411539232792E-2</v>
      </c>
    </row>
    <row r="257" spans="1:18">
      <c r="A257" s="119" t="str">
        <f>'Aggregated Table'!$A$137</f>
        <v>National Grid</v>
      </c>
      <c r="B257" s="119" t="str">
        <f>'Aggregated Table'!B260</f>
        <v>Scotia</v>
      </c>
      <c r="C257" s="95">
        <f t="shared" si="12"/>
        <v>35.941059602649005</v>
      </c>
      <c r="D257" s="95">
        <f t="shared" si="13"/>
        <v>66.800621038911075</v>
      </c>
      <c r="E257" s="119">
        <f t="shared" si="9"/>
        <v>123</v>
      </c>
      <c r="F257" s="119"/>
      <c r="G257" s="119"/>
      <c r="H257" s="119"/>
      <c r="I257" s="119"/>
      <c r="J257" s="119"/>
      <c r="K257" s="119">
        <f>'Aggregated Table'!C260</f>
        <v>9.1</v>
      </c>
      <c r="L257" s="119">
        <f>'Aggregated Table'!D260</f>
        <v>0.98270428383678776</v>
      </c>
      <c r="M257" s="119"/>
      <c r="N257" s="119"/>
      <c r="O257" s="119"/>
      <c r="P257" s="119"/>
      <c r="Q257" s="119">
        <f t="shared" si="14"/>
        <v>4.7022309313931874E-3</v>
      </c>
      <c r="R257" s="119">
        <f t="shared" si="15"/>
        <v>4.6209024798699334E-3</v>
      </c>
    </row>
    <row r="258" spans="1:18">
      <c r="A258" s="119" t="str">
        <f>'Aggregated Table'!$A$137</f>
        <v>National Grid</v>
      </c>
      <c r="B258" s="119" t="str">
        <f>'Aggregated Table'!B261</f>
        <v>SELKIRK</v>
      </c>
      <c r="C258" s="95">
        <f t="shared" si="12"/>
        <v>29.341059602649008</v>
      </c>
      <c r="D258" s="95">
        <f t="shared" si="13"/>
        <v>97.201048874091384</v>
      </c>
      <c r="E258" s="119">
        <f t="shared" si="9"/>
        <v>124</v>
      </c>
      <c r="F258" s="119"/>
      <c r="G258" s="119"/>
      <c r="H258" s="119"/>
      <c r="I258" s="119"/>
      <c r="J258" s="119"/>
      <c r="K258" s="119">
        <f>'Aggregated Table'!C261</f>
        <v>2.5</v>
      </c>
      <c r="L258" s="119">
        <f>'Aggregated Table'!D261</f>
        <v>31.383132119017084</v>
      </c>
      <c r="M258" s="119"/>
      <c r="N258" s="119"/>
      <c r="O258" s="119"/>
      <c r="P258" s="119"/>
      <c r="Q258" s="119">
        <f t="shared" si="14"/>
        <v>1.2918216844486779E-3</v>
      </c>
      <c r="R258" s="119">
        <f t="shared" si="15"/>
        <v>4.0541410597264058E-2</v>
      </c>
    </row>
    <row r="259" spans="1:18">
      <c r="A259" s="119" t="str">
        <f>'Aggregated Table'!$A$137</f>
        <v>National Grid</v>
      </c>
      <c r="B259" s="119" t="str">
        <f>'Aggregated Table'!B262</f>
        <v>Sharon</v>
      </c>
      <c r="C259" s="95">
        <f t="shared" si="12"/>
        <v>30.868059602649009</v>
      </c>
      <c r="D259" s="95">
        <f t="shared" si="13"/>
        <v>128.81579764656269</v>
      </c>
      <c r="E259" s="119">
        <f t="shared" si="9"/>
        <v>125</v>
      </c>
      <c r="F259" s="119"/>
      <c r="G259" s="119"/>
      <c r="H259" s="119"/>
      <c r="I259" s="119"/>
      <c r="J259" s="119"/>
      <c r="K259" s="119">
        <f>'Aggregated Table'!C262</f>
        <v>4.0270000000000001</v>
      </c>
      <c r="L259" s="119">
        <f>'Aggregated Table'!D262</f>
        <v>62.997880891488386</v>
      </c>
      <c r="M259" s="119"/>
      <c r="N259" s="119"/>
      <c r="O259" s="119"/>
      <c r="P259" s="119"/>
      <c r="Q259" s="119">
        <f t="shared" si="14"/>
        <v>2.0808663693099305E-3</v>
      </c>
      <c r="R259" s="119">
        <f t="shared" si="15"/>
        <v>0.1310901716848909</v>
      </c>
    </row>
    <row r="260" spans="1:18">
      <c r="A260" s="119" t="str">
        <f>'Aggregated Table'!$A$137</f>
        <v>National Grid</v>
      </c>
      <c r="B260" s="119" t="str">
        <f>'Aggregated Table'!B263</f>
        <v>Shawnee Rd Station 76</v>
      </c>
      <c r="C260" s="95">
        <f t="shared" si="12"/>
        <v>44.441059602649005</v>
      </c>
      <c r="D260" s="95">
        <f t="shared" si="13"/>
        <v>96.379072503205435</v>
      </c>
      <c r="E260" s="119">
        <f t="shared" ref="E260:E323" si="16">E259+1</f>
        <v>126</v>
      </c>
      <c r="F260" s="119"/>
      <c r="G260" s="119"/>
      <c r="H260" s="119"/>
      <c r="I260" s="119"/>
      <c r="J260" s="119"/>
      <c r="K260" s="119">
        <f>'Aggregated Table'!C263</f>
        <v>17.600000000000001</v>
      </c>
      <c r="L260" s="119">
        <f>'Aggregated Table'!D263</f>
        <v>30.561155748131149</v>
      </c>
      <c r="M260" s="119"/>
      <c r="N260" s="119"/>
      <c r="O260" s="119"/>
      <c r="P260" s="119"/>
      <c r="Q260" s="119">
        <f t="shared" si="14"/>
        <v>9.094424658518693E-3</v>
      </c>
      <c r="R260" s="119">
        <f t="shared" si="15"/>
        <v>0.27793612842863424</v>
      </c>
    </row>
    <row r="261" spans="1:18">
      <c r="A261" s="119" t="str">
        <f>'Aggregated Table'!$A$137</f>
        <v>National Grid</v>
      </c>
      <c r="B261" s="119" t="str">
        <f>'Aggregated Table'!B264</f>
        <v>Smith Bridge Station</v>
      </c>
      <c r="C261" s="95">
        <f t="shared" si="12"/>
        <v>51.841059602649011</v>
      </c>
      <c r="D261" s="95">
        <f t="shared" si="13"/>
        <v>130.12792601343801</v>
      </c>
      <c r="E261" s="119">
        <f t="shared" si="16"/>
        <v>127</v>
      </c>
      <c r="F261" s="119"/>
      <c r="G261" s="119"/>
      <c r="H261" s="119"/>
      <c r="I261" s="119"/>
      <c r="J261" s="119"/>
      <c r="K261" s="119">
        <f>'Aggregated Table'!C264</f>
        <v>25</v>
      </c>
      <c r="L261" s="119">
        <f>'Aggregated Table'!D264</f>
        <v>64.310009258363735</v>
      </c>
      <c r="M261" s="119"/>
      <c r="N261" s="119"/>
      <c r="O261" s="119"/>
      <c r="P261" s="119"/>
      <c r="Q261" s="119">
        <f t="shared" si="14"/>
        <v>1.2918216844486781E-2</v>
      </c>
      <c r="R261" s="119">
        <f t="shared" si="15"/>
        <v>0.83077064487049523</v>
      </c>
    </row>
    <row r="262" spans="1:18">
      <c r="A262" s="119" t="str">
        <f>'Aggregated Table'!$A$137</f>
        <v>National Grid</v>
      </c>
      <c r="B262" s="119" t="str">
        <f>'Aggregated Table'!B265</f>
        <v>EDEN CENTER</v>
      </c>
      <c r="C262" s="95">
        <f t="shared" si="12"/>
        <v>37.841059602649011</v>
      </c>
      <c r="D262" s="95">
        <f t="shared" si="13"/>
        <v>329.13767353114991</v>
      </c>
      <c r="E262" s="119">
        <f t="shared" si="16"/>
        <v>128</v>
      </c>
      <c r="F262" s="119"/>
      <c r="G262" s="119"/>
      <c r="H262" s="119"/>
      <c r="I262" s="119"/>
      <c r="J262" s="119"/>
      <c r="K262" s="119">
        <f>'Aggregated Table'!C265</f>
        <v>11</v>
      </c>
      <c r="L262" s="119">
        <f>'Aggregated Table'!D265</f>
        <v>263.31975677607562</v>
      </c>
      <c r="M262" s="119"/>
      <c r="N262" s="119"/>
      <c r="O262" s="119"/>
      <c r="P262" s="119"/>
      <c r="Q262" s="119">
        <f t="shared" si="14"/>
        <v>5.6840154115741833E-3</v>
      </c>
      <c r="R262" s="119">
        <f t="shared" si="15"/>
        <v>1.4967135556871793</v>
      </c>
    </row>
    <row r="263" spans="1:18">
      <c r="A263" s="119" t="str">
        <f>'Aggregated Table'!$A$137</f>
        <v>National Grid</v>
      </c>
      <c r="B263" s="119" t="str">
        <f>'Aggregated Table'!B266</f>
        <v>NORTH COLLINS</v>
      </c>
      <c r="C263" s="95">
        <f t="shared" si="12"/>
        <v>32.441059602649005</v>
      </c>
      <c r="D263" s="95">
        <f t="shared" si="13"/>
        <v>240.85554215119714</v>
      </c>
      <c r="E263" s="119">
        <f t="shared" si="16"/>
        <v>129</v>
      </c>
      <c r="F263" s="119"/>
      <c r="G263" s="119"/>
      <c r="H263" s="119"/>
      <c r="I263" s="119"/>
      <c r="J263" s="119"/>
      <c r="K263" s="119">
        <f>'Aggregated Table'!C266</f>
        <v>5.6</v>
      </c>
      <c r="L263" s="119">
        <f>'Aggregated Table'!D266</f>
        <v>175.03762539612285</v>
      </c>
      <c r="M263" s="119"/>
      <c r="N263" s="119"/>
      <c r="O263" s="119"/>
      <c r="P263" s="119"/>
      <c r="Q263" s="119">
        <f t="shared" ref="Q263:Q285" si="17">K263/SUM(K$135:K$285)</f>
        <v>2.8936805731650385E-3</v>
      </c>
      <c r="R263" s="119">
        <f t="shared" ref="R263:R285" si="18">Q263*L263</f>
        <v>0.50650297618170004</v>
      </c>
    </row>
    <row r="264" spans="1:18">
      <c r="A264" s="119" t="str">
        <f>'Aggregated Table'!$A$137</f>
        <v>National Grid</v>
      </c>
      <c r="B264" s="119" t="str">
        <f>'Aggregated Table'!B267</f>
        <v>South Street</v>
      </c>
      <c r="C264" s="95">
        <f t="shared" ref="C264:C285" si="19">($K$286/$E$285)+K264</f>
        <v>34.341059602649011</v>
      </c>
      <c r="D264" s="95">
        <f t="shared" ref="D264:D285" si="20">$L$286+L264</f>
        <v>128.39149428898691</v>
      </c>
      <c r="E264" s="119">
        <f t="shared" si="16"/>
        <v>130</v>
      </c>
      <c r="F264" s="119"/>
      <c r="G264" s="119"/>
      <c r="H264" s="119"/>
      <c r="I264" s="119"/>
      <c r="J264" s="119"/>
      <c r="K264" s="119">
        <f>'Aggregated Table'!C267</f>
        <v>7.5</v>
      </c>
      <c r="L264" s="119">
        <f>'Aggregated Table'!D267</f>
        <v>62.573577533912619</v>
      </c>
      <c r="M264" s="119"/>
      <c r="N264" s="119"/>
      <c r="O264" s="119"/>
      <c r="P264" s="119"/>
      <c r="Q264" s="119">
        <f t="shared" si="17"/>
        <v>3.875465053346034E-3</v>
      </c>
      <c r="R264" s="119">
        <f t="shared" si="18"/>
        <v>0.24250171299551687</v>
      </c>
    </row>
    <row r="265" spans="1:18">
      <c r="A265" s="119" t="str">
        <f>'Aggregated Table'!$A$137</f>
        <v>National Grid</v>
      </c>
      <c r="B265" s="119" t="str">
        <f>'Aggregated Table'!B268</f>
        <v>Station 140</v>
      </c>
      <c r="C265" s="95">
        <f t="shared" si="19"/>
        <v>36.841059602649011</v>
      </c>
      <c r="D265" s="95">
        <f t="shared" si="20"/>
        <v>263.23661263651411</v>
      </c>
      <c r="E265" s="119">
        <f t="shared" si="16"/>
        <v>131</v>
      </c>
      <c r="F265" s="119"/>
      <c r="G265" s="119"/>
      <c r="H265" s="119"/>
      <c r="I265" s="119"/>
      <c r="J265" s="119"/>
      <c r="K265" s="119">
        <f>'Aggregated Table'!C268</f>
        <v>10</v>
      </c>
      <c r="L265" s="119">
        <f>'Aggregated Table'!D268</f>
        <v>197.41869588143979</v>
      </c>
      <c r="M265" s="119"/>
      <c r="N265" s="119"/>
      <c r="O265" s="119"/>
      <c r="P265" s="119"/>
      <c r="Q265" s="119">
        <f t="shared" si="17"/>
        <v>5.1672867377947117E-3</v>
      </c>
      <c r="R265" s="119">
        <f t="shared" si="18"/>
        <v>1.0201190090208914</v>
      </c>
    </row>
    <row r="266" spans="1:18">
      <c r="A266" s="119" t="str">
        <f>'Aggregated Table'!$A$137</f>
        <v>National Grid</v>
      </c>
      <c r="B266" s="119" t="str">
        <f>'Aggregated Table'!B269</f>
        <v>Station 3012</v>
      </c>
      <c r="C266" s="95">
        <f t="shared" si="19"/>
        <v>35.841059602649011</v>
      </c>
      <c r="D266" s="95">
        <f t="shared" si="20"/>
        <v>632.89166784121562</v>
      </c>
      <c r="E266" s="119">
        <f t="shared" si="16"/>
        <v>132</v>
      </c>
      <c r="F266" s="119"/>
      <c r="G266" s="119"/>
      <c r="H266" s="119"/>
      <c r="I266" s="119"/>
      <c r="J266" s="119"/>
      <c r="K266" s="119">
        <f>'Aggregated Table'!C269</f>
        <v>9</v>
      </c>
      <c r="L266" s="119">
        <f>'Aggregated Table'!D269</f>
        <v>567.07375108614133</v>
      </c>
      <c r="M266" s="119"/>
      <c r="N266" s="119"/>
      <c r="O266" s="119"/>
      <c r="P266" s="119"/>
      <c r="Q266" s="119">
        <f t="shared" si="17"/>
        <v>4.650558064015241E-3</v>
      </c>
      <c r="R266" s="119">
        <f t="shared" si="18"/>
        <v>2.637209406005026</v>
      </c>
    </row>
    <row r="267" spans="1:18">
      <c r="A267" s="119" t="str">
        <f>'Aggregated Table'!$A$137</f>
        <v>National Grid</v>
      </c>
      <c r="B267" s="119" t="str">
        <f>'Aggregated Table'!B270</f>
        <v>Station 61</v>
      </c>
      <c r="C267" s="95">
        <f t="shared" si="19"/>
        <v>61.841059602649011</v>
      </c>
      <c r="D267" s="95">
        <f t="shared" si="20"/>
        <v>98.081614034207377</v>
      </c>
      <c r="E267" s="119">
        <f t="shared" si="16"/>
        <v>133</v>
      </c>
      <c r="F267" s="119"/>
      <c r="G267" s="119"/>
      <c r="H267" s="119"/>
      <c r="I267" s="119"/>
      <c r="J267" s="119"/>
      <c r="K267" s="119">
        <f>'Aggregated Table'!C270</f>
        <v>35</v>
      </c>
      <c r="L267" s="119">
        <f>'Aggregated Table'!D270</f>
        <v>32.263697279133083</v>
      </c>
      <c r="M267" s="119"/>
      <c r="N267" s="119"/>
      <c r="O267" s="119"/>
      <c r="P267" s="119"/>
      <c r="Q267" s="119">
        <f t="shared" si="17"/>
        <v>1.8085503582281493E-2</v>
      </c>
      <c r="R267" s="119">
        <f t="shared" si="18"/>
        <v>0.58350521271940703</v>
      </c>
    </row>
    <row r="268" spans="1:18">
      <c r="A268" s="119" t="str">
        <f>'Aggregated Table'!$A$137</f>
        <v>National Grid</v>
      </c>
      <c r="B268" s="119" t="str">
        <f>'Aggregated Table'!B271</f>
        <v>Summit</v>
      </c>
      <c r="C268" s="95">
        <f t="shared" si="19"/>
        <v>29.221059602649007</v>
      </c>
      <c r="D268" s="95">
        <f t="shared" si="20"/>
        <v>241.54422216757519</v>
      </c>
      <c r="E268" s="119">
        <f t="shared" si="16"/>
        <v>134</v>
      </c>
      <c r="F268" s="119"/>
      <c r="G268" s="119"/>
      <c r="H268" s="119"/>
      <c r="I268" s="119"/>
      <c r="J268" s="119"/>
      <c r="K268" s="119">
        <f>'Aggregated Table'!C271</f>
        <v>2.38</v>
      </c>
      <c r="L268" s="119">
        <f>'Aggregated Table'!D271</f>
        <v>175.72630541250089</v>
      </c>
      <c r="M268" s="119"/>
      <c r="N268" s="119"/>
      <c r="O268" s="119"/>
      <c r="P268" s="119"/>
      <c r="Q268" s="119">
        <f t="shared" si="17"/>
        <v>1.2298142435951413E-3</v>
      </c>
      <c r="R268" s="119">
        <f t="shared" si="18"/>
        <v>0.21611071337064358</v>
      </c>
    </row>
    <row r="269" spans="1:18">
      <c r="A269" s="119" t="str">
        <f>'Aggregated Table'!$A$137</f>
        <v>National Grid</v>
      </c>
      <c r="B269" s="119" t="str">
        <f>'Aggregated Table'!B272</f>
        <v>Swaggertown</v>
      </c>
      <c r="C269" s="95">
        <f t="shared" si="19"/>
        <v>50.241059602649003</v>
      </c>
      <c r="D269" s="95">
        <f t="shared" si="20"/>
        <v>151.41005274673989</v>
      </c>
      <c r="E269" s="119">
        <f t="shared" si="16"/>
        <v>135</v>
      </c>
      <c r="F269" s="119"/>
      <c r="G269" s="119"/>
      <c r="H269" s="119"/>
      <c r="I269" s="119"/>
      <c r="J269" s="119"/>
      <c r="K269" s="119">
        <f>'Aggregated Table'!C272</f>
        <v>23.4</v>
      </c>
      <c r="L269" s="119">
        <f>'Aggregated Table'!D272</f>
        <v>85.5921359916656</v>
      </c>
      <c r="M269" s="119"/>
      <c r="N269" s="119"/>
      <c r="O269" s="119"/>
      <c r="P269" s="119"/>
      <c r="Q269" s="119">
        <f t="shared" si="17"/>
        <v>1.2091450966439625E-2</v>
      </c>
      <c r="R269" s="119">
        <f t="shared" si="18"/>
        <v>1.0349331154560568</v>
      </c>
    </row>
    <row r="270" spans="1:18">
      <c r="A270" s="119" t="str">
        <f>'Aggregated Table'!$A$137</f>
        <v>National Grid</v>
      </c>
      <c r="B270" s="119" t="str">
        <f>'Aggregated Table'!B273</f>
        <v>Swann Rd</v>
      </c>
      <c r="C270" s="95">
        <f t="shared" si="19"/>
        <v>31.841059602649008</v>
      </c>
      <c r="D270" s="95">
        <f t="shared" si="20"/>
        <v>81.492960442002428</v>
      </c>
      <c r="E270" s="119">
        <f t="shared" si="16"/>
        <v>136</v>
      </c>
      <c r="F270" s="119"/>
      <c r="G270" s="119"/>
      <c r="H270" s="119"/>
      <c r="I270" s="119"/>
      <c r="J270" s="119"/>
      <c r="K270" s="119">
        <f>'Aggregated Table'!C273</f>
        <v>5</v>
      </c>
      <c r="L270" s="119">
        <f>'Aggregated Table'!D273</f>
        <v>15.675043686928136</v>
      </c>
      <c r="M270" s="119"/>
      <c r="N270" s="119"/>
      <c r="O270" s="119"/>
      <c r="P270" s="119"/>
      <c r="Q270" s="119">
        <f t="shared" si="17"/>
        <v>2.5836433688973559E-3</v>
      </c>
      <c r="R270" s="119">
        <f t="shared" si="18"/>
        <v>4.0498722678908243E-2</v>
      </c>
    </row>
    <row r="271" spans="1:18">
      <c r="A271" s="119" t="str">
        <f>'Aggregated Table'!$A$137</f>
        <v>National Grid</v>
      </c>
      <c r="B271" s="119" t="str">
        <f>'Aggregated Table'!B274</f>
        <v>78 FASSETT ST.</v>
      </c>
      <c r="C271" s="95">
        <f t="shared" si="19"/>
        <v>26.841059602649008</v>
      </c>
      <c r="D271" s="95">
        <f t="shared" si="20"/>
        <v>65.817916755074293</v>
      </c>
      <c r="E271" s="119">
        <f t="shared" si="16"/>
        <v>137</v>
      </c>
      <c r="F271" s="119"/>
      <c r="G271" s="119"/>
      <c r="H271" s="119"/>
      <c r="I271" s="119"/>
      <c r="J271" s="119"/>
      <c r="K271" s="119">
        <f>'Aggregated Table'!C274</f>
        <v>0</v>
      </c>
      <c r="L271" s="119">
        <f>'Aggregated Table'!D274</f>
        <v>0</v>
      </c>
      <c r="M271" s="119"/>
      <c r="N271" s="119"/>
      <c r="O271" s="119"/>
      <c r="P271" s="119"/>
      <c r="Q271" s="119">
        <f t="shared" si="17"/>
        <v>0</v>
      </c>
      <c r="R271" s="119">
        <f t="shared" si="18"/>
        <v>0</v>
      </c>
    </row>
    <row r="272" spans="1:18">
      <c r="A272" s="119" t="str">
        <f>'Aggregated Table'!$A$137</f>
        <v>National Grid</v>
      </c>
      <c r="B272" s="119" t="str">
        <f>'Aggregated Table'!B275</f>
        <v>TULLER HILL</v>
      </c>
      <c r="C272" s="95">
        <f t="shared" si="19"/>
        <v>32.841059602649011</v>
      </c>
      <c r="D272" s="95">
        <f t="shared" si="20"/>
        <v>74.781877164209646</v>
      </c>
      <c r="E272" s="119">
        <f t="shared" si="16"/>
        <v>138</v>
      </c>
      <c r="F272" s="119"/>
      <c r="G272" s="119"/>
      <c r="H272" s="119"/>
      <c r="I272" s="119"/>
      <c r="J272" s="119"/>
      <c r="K272" s="119">
        <f>'Aggregated Table'!C275</f>
        <v>6</v>
      </c>
      <c r="L272" s="119">
        <f>'Aggregated Table'!D275</f>
        <v>8.9639604091353569</v>
      </c>
      <c r="M272" s="119"/>
      <c r="N272" s="119"/>
      <c r="O272" s="119"/>
      <c r="P272" s="119"/>
      <c r="Q272" s="119">
        <f t="shared" si="17"/>
        <v>3.100372042676827E-3</v>
      </c>
      <c r="R272" s="119">
        <f t="shared" si="18"/>
        <v>2.7791612244145194E-2</v>
      </c>
    </row>
    <row r="273" spans="1:19">
      <c r="A273" s="119" t="str">
        <f>'Aggregated Table'!$A$137</f>
        <v>National Grid</v>
      </c>
      <c r="B273" s="119" t="str">
        <f>'Aggregated Table'!B276</f>
        <v>UNIONVILLE</v>
      </c>
      <c r="C273" s="95">
        <f t="shared" si="19"/>
        <v>28.841059602649008</v>
      </c>
      <c r="D273" s="95">
        <f t="shared" si="20"/>
        <v>429.03019577936192</v>
      </c>
      <c r="E273" s="119">
        <f t="shared" si="16"/>
        <v>139</v>
      </c>
      <c r="F273" s="119"/>
      <c r="G273" s="119"/>
      <c r="H273" s="119"/>
      <c r="I273" s="119"/>
      <c r="J273" s="119"/>
      <c r="K273" s="119">
        <f>'Aggregated Table'!C276</f>
        <v>2</v>
      </c>
      <c r="L273" s="119">
        <f>'Aggregated Table'!D276</f>
        <v>363.21227902428762</v>
      </c>
      <c r="M273" s="119"/>
      <c r="N273" s="119"/>
      <c r="O273" s="119"/>
      <c r="P273" s="119"/>
      <c r="Q273" s="119">
        <f t="shared" si="17"/>
        <v>1.0334573475589423E-3</v>
      </c>
      <c r="R273" s="119">
        <f t="shared" si="18"/>
        <v>0.37536439848127878</v>
      </c>
      <c r="S273" s="119"/>
    </row>
    <row r="274" spans="1:19">
      <c r="A274" s="119" t="str">
        <f>'Aggregated Table'!$A$137</f>
        <v>National Grid</v>
      </c>
      <c r="B274" s="119" t="str">
        <f>'Aggregated Table'!B277</f>
        <v>214 Station</v>
      </c>
      <c r="C274" s="95">
        <f t="shared" si="19"/>
        <v>26.841059602649008</v>
      </c>
      <c r="D274" s="95">
        <f t="shared" si="20"/>
        <v>65.817916755074293</v>
      </c>
      <c r="E274" s="119">
        <f t="shared" si="16"/>
        <v>140</v>
      </c>
      <c r="F274" s="119"/>
      <c r="G274" s="119"/>
      <c r="H274" s="119"/>
      <c r="I274" s="119"/>
      <c r="J274" s="119"/>
      <c r="K274" s="119">
        <f>'Aggregated Table'!C277</f>
        <v>0</v>
      </c>
      <c r="L274" s="119">
        <f>'Aggregated Table'!D277</f>
        <v>0</v>
      </c>
      <c r="M274" s="119"/>
      <c r="N274" s="119"/>
      <c r="O274" s="119"/>
      <c r="P274" s="119"/>
      <c r="Q274" s="119">
        <f t="shared" si="17"/>
        <v>0</v>
      </c>
      <c r="R274" s="119">
        <f t="shared" si="18"/>
        <v>0</v>
      </c>
      <c r="S274" s="119"/>
    </row>
    <row r="275" spans="1:19">
      <c r="A275" s="119" t="str">
        <f>'Aggregated Table'!$A$137</f>
        <v>National Grid</v>
      </c>
      <c r="B275" s="119" t="str">
        <f>'Aggregated Table'!B278</f>
        <v>Valkin</v>
      </c>
      <c r="C275" s="95">
        <f t="shared" si="19"/>
        <v>84.441059602649005</v>
      </c>
      <c r="D275" s="95">
        <f t="shared" si="20"/>
        <v>77.203871500521828</v>
      </c>
      <c r="E275" s="119">
        <f t="shared" si="16"/>
        <v>141</v>
      </c>
      <c r="F275" s="119"/>
      <c r="G275" s="119"/>
      <c r="H275" s="119"/>
      <c r="I275" s="119"/>
      <c r="J275" s="119"/>
      <c r="K275" s="119">
        <f>'Aggregated Table'!C278</f>
        <v>57.6</v>
      </c>
      <c r="L275" s="119">
        <f>'Aggregated Table'!D278</f>
        <v>11.385954745447535</v>
      </c>
      <c r="M275" s="119"/>
      <c r="N275" s="119"/>
      <c r="O275" s="119"/>
      <c r="P275" s="119"/>
      <c r="Q275" s="119">
        <f t="shared" si="17"/>
        <v>2.9763571609697542E-2</v>
      </c>
      <c r="R275" s="119">
        <f t="shared" si="18"/>
        <v>0.33888667941090322</v>
      </c>
      <c r="S275" s="119"/>
    </row>
    <row r="276" spans="1:19">
      <c r="A276" s="119" t="str">
        <f>'Aggregated Table'!$A$137</f>
        <v>National Grid</v>
      </c>
      <c r="B276" s="119" t="str">
        <f>'Aggregated Table'!B279</f>
        <v>Van Hoesen</v>
      </c>
      <c r="C276" s="95">
        <f t="shared" si="19"/>
        <v>75.041059602649014</v>
      </c>
      <c r="D276" s="95">
        <f t="shared" si="20"/>
        <v>104.5308785882898</v>
      </c>
      <c r="E276" s="119">
        <f t="shared" si="16"/>
        <v>142</v>
      </c>
      <c r="F276" s="119"/>
      <c r="G276" s="119"/>
      <c r="H276" s="119"/>
      <c r="I276" s="119"/>
      <c r="J276" s="119"/>
      <c r="K276" s="119">
        <f>'Aggregated Table'!C279</f>
        <v>48.2</v>
      </c>
      <c r="L276" s="119">
        <f>'Aggregated Table'!D279</f>
        <v>38.712961833215509</v>
      </c>
      <c r="M276" s="119"/>
      <c r="N276" s="119"/>
      <c r="O276" s="119"/>
      <c r="P276" s="119"/>
      <c r="Q276" s="119">
        <f t="shared" si="17"/>
        <v>2.4906322076170512E-2</v>
      </c>
      <c r="R276" s="119">
        <f t="shared" si="18"/>
        <v>0.96419749594056192</v>
      </c>
      <c r="S276" s="119"/>
    </row>
    <row r="277" spans="1:19">
      <c r="A277" s="119" t="str">
        <f>'Aggregated Table'!$A$137</f>
        <v>National Grid</v>
      </c>
      <c r="B277" s="119" t="str">
        <f>'Aggregated Table'!B280</f>
        <v>Voorheesville</v>
      </c>
      <c r="C277" s="95">
        <f t="shared" si="19"/>
        <v>41.841059602649011</v>
      </c>
      <c r="D277" s="95">
        <f t="shared" si="20"/>
        <v>104.61966614912683</v>
      </c>
      <c r="E277" s="119">
        <f t="shared" si="16"/>
        <v>143</v>
      </c>
      <c r="F277" s="119"/>
      <c r="G277" s="119"/>
      <c r="H277" s="119"/>
      <c r="I277" s="119"/>
      <c r="J277" s="119"/>
      <c r="K277" s="119">
        <f>'Aggregated Table'!C280</f>
        <v>15</v>
      </c>
      <c r="L277" s="119">
        <f>'Aggregated Table'!D280</f>
        <v>38.801749394052543</v>
      </c>
      <c r="M277" s="119"/>
      <c r="N277" s="119"/>
      <c r="O277" s="119"/>
      <c r="P277" s="119"/>
      <c r="Q277" s="119">
        <f t="shared" si="17"/>
        <v>7.750930106692068E-3</v>
      </c>
      <c r="R277" s="119">
        <f t="shared" si="18"/>
        <v>0.30074964757068257</v>
      </c>
      <c r="S277" s="119"/>
    </row>
    <row r="278" spans="1:19">
      <c r="A278" s="119" t="str">
        <f>'Aggregated Table'!$A$137</f>
        <v>National Grid</v>
      </c>
      <c r="B278" s="119" t="str">
        <f>'Aggregated Table'!B281</f>
        <v>CHAUTAUQUA</v>
      </c>
      <c r="C278" s="95">
        <f t="shared" si="19"/>
        <v>30.841059602649008</v>
      </c>
      <c r="D278" s="95">
        <f t="shared" si="20"/>
        <v>82.871890705574089</v>
      </c>
      <c r="E278" s="119">
        <f t="shared" si="16"/>
        <v>144</v>
      </c>
      <c r="F278" s="119"/>
      <c r="G278" s="119"/>
      <c r="H278" s="119"/>
      <c r="I278" s="119"/>
      <c r="J278" s="119"/>
      <c r="K278" s="119">
        <f>'Aggregated Table'!C281</f>
        <v>4</v>
      </c>
      <c r="L278" s="119">
        <f>'Aggregated Table'!D281</f>
        <v>17.053973950499799</v>
      </c>
      <c r="M278" s="119"/>
      <c r="N278" s="119"/>
      <c r="O278" s="119"/>
      <c r="P278" s="119"/>
      <c r="Q278" s="119">
        <f t="shared" si="17"/>
        <v>2.0669146951178847E-3</v>
      </c>
      <c r="R278" s="119">
        <f t="shared" si="18"/>
        <v>3.5249109368445643E-2</v>
      </c>
      <c r="S278" s="119"/>
    </row>
    <row r="279" spans="1:19">
      <c r="A279" s="119" t="str">
        <f>'Aggregated Table'!$A$137</f>
        <v>National Grid</v>
      </c>
      <c r="B279" s="119" t="str">
        <f>'Aggregated Table'!B282</f>
        <v>Walesville</v>
      </c>
      <c r="C279" s="95">
        <f t="shared" si="19"/>
        <v>40.841059602649011</v>
      </c>
      <c r="D279" s="95">
        <f t="shared" si="20"/>
        <v>96.303599891613572</v>
      </c>
      <c r="E279" s="119">
        <f t="shared" si="16"/>
        <v>145</v>
      </c>
      <c r="F279" s="119"/>
      <c r="G279" s="119"/>
      <c r="H279" s="119"/>
      <c r="I279" s="119"/>
      <c r="J279" s="119"/>
      <c r="K279" s="119">
        <f>'Aggregated Table'!C282</f>
        <v>14</v>
      </c>
      <c r="L279" s="119">
        <f>'Aggregated Table'!D282</f>
        <v>30.485683136539279</v>
      </c>
      <c r="M279" s="119"/>
      <c r="N279" s="119"/>
      <c r="O279" s="119"/>
      <c r="P279" s="119"/>
      <c r="Q279" s="119">
        <f t="shared" si="17"/>
        <v>7.2342014329125964E-3</v>
      </c>
      <c r="R279" s="119">
        <f t="shared" si="18"/>
        <v>0.22053957262967183</v>
      </c>
      <c r="S279" s="119"/>
    </row>
    <row r="280" spans="1:19">
      <c r="A280" s="119" t="str">
        <f>'Aggregated Table'!$A$137</f>
        <v>National Grid</v>
      </c>
      <c r="B280" s="119" t="str">
        <f>'Aggregated Table'!B283</f>
        <v>Warrensburg</v>
      </c>
      <c r="C280" s="95">
        <f t="shared" si="19"/>
        <v>27.341059602649008</v>
      </c>
      <c r="D280" s="95">
        <f t="shared" si="20"/>
        <v>390.13055538932252</v>
      </c>
      <c r="E280" s="119">
        <f t="shared" si="16"/>
        <v>146</v>
      </c>
      <c r="F280" s="119"/>
      <c r="G280" s="119"/>
      <c r="H280" s="119"/>
      <c r="I280" s="119"/>
      <c r="J280" s="119"/>
      <c r="K280" s="119">
        <f>'Aggregated Table'!C283</f>
        <v>0.5</v>
      </c>
      <c r="L280" s="119">
        <f>'Aggregated Table'!D283</f>
        <v>324.31263863424823</v>
      </c>
      <c r="M280" s="119"/>
      <c r="N280" s="119"/>
      <c r="O280" s="119"/>
      <c r="P280" s="119"/>
      <c r="Q280" s="119">
        <f t="shared" si="17"/>
        <v>2.5836433688973559E-4</v>
      </c>
      <c r="R280" s="119">
        <f t="shared" si="18"/>
        <v>8.3790819825697985E-2</v>
      </c>
      <c r="S280" s="119"/>
    </row>
    <row r="281" spans="1:19">
      <c r="A281" s="119" t="str">
        <f>'Aggregated Table'!$A$137</f>
        <v>National Grid</v>
      </c>
      <c r="B281" s="119" t="str">
        <f>'Aggregated Table'!B284</f>
        <v>Watt</v>
      </c>
      <c r="C281" s="95">
        <f t="shared" si="19"/>
        <v>26.841059602649008</v>
      </c>
      <c r="D281" s="95">
        <f t="shared" si="20"/>
        <v>65.817916755074293</v>
      </c>
      <c r="E281" s="119">
        <f t="shared" si="16"/>
        <v>147</v>
      </c>
      <c r="F281" s="119"/>
      <c r="G281" s="119"/>
      <c r="H281" s="119"/>
      <c r="I281" s="119"/>
      <c r="J281" s="119"/>
      <c r="K281" s="119">
        <f>'Aggregated Table'!C284</f>
        <v>0</v>
      </c>
      <c r="L281" s="119">
        <f>'Aggregated Table'!D284</f>
        <v>0</v>
      </c>
      <c r="M281" s="119"/>
      <c r="N281" s="119"/>
      <c r="O281" s="119"/>
      <c r="P281" s="119"/>
      <c r="Q281" s="119">
        <f t="shared" si="17"/>
        <v>0</v>
      </c>
      <c r="R281" s="119">
        <f t="shared" si="18"/>
        <v>0</v>
      </c>
      <c r="S281" s="119"/>
    </row>
    <row r="282" spans="1:19">
      <c r="A282" s="119" t="str">
        <f>'Aggregated Table'!$A$137</f>
        <v>National Grid</v>
      </c>
      <c r="B282" s="119" t="str">
        <f>'Aggregated Table'!B285</f>
        <v>WEAVER ST</v>
      </c>
      <c r="C282" s="95">
        <f t="shared" si="19"/>
        <v>30.941059602649005</v>
      </c>
      <c r="D282" s="95">
        <f t="shared" si="20"/>
        <v>197.70746721741997</v>
      </c>
      <c r="E282" s="119">
        <f t="shared" si="16"/>
        <v>148</v>
      </c>
      <c r="F282" s="119"/>
      <c r="G282" s="119"/>
      <c r="H282" s="119"/>
      <c r="I282" s="119"/>
      <c r="J282" s="119"/>
      <c r="K282" s="119">
        <f>'Aggregated Table'!C285</f>
        <v>4.0999999999999996</v>
      </c>
      <c r="L282" s="119">
        <f>'Aggregated Table'!D285</f>
        <v>131.88955046234568</v>
      </c>
      <c r="M282" s="119"/>
      <c r="N282" s="119"/>
      <c r="O282" s="119"/>
      <c r="P282" s="119"/>
      <c r="Q282" s="119">
        <f t="shared" si="17"/>
        <v>2.1185875624958315E-3</v>
      </c>
      <c r="R282" s="119">
        <f t="shared" si="18"/>
        <v>0.2794195612326919</v>
      </c>
      <c r="S282" s="119"/>
    </row>
    <row r="283" spans="1:19" ht="15.75" thickBot="1">
      <c r="A283" s="119" t="str">
        <f>'Aggregated Table'!$A$137</f>
        <v>National Grid</v>
      </c>
      <c r="B283" s="119" t="str">
        <f>'Aggregated Table'!B286</f>
        <v>Wells</v>
      </c>
      <c r="C283" s="95">
        <f t="shared" si="19"/>
        <v>30.281059602649009</v>
      </c>
      <c r="D283" s="95">
        <f t="shared" si="20"/>
        <v>202.24286777377912</v>
      </c>
      <c r="E283" s="119">
        <f t="shared" si="16"/>
        <v>149</v>
      </c>
      <c r="F283" s="119"/>
      <c r="G283" s="119"/>
      <c r="H283" s="119"/>
      <c r="I283" s="119"/>
      <c r="J283" s="119"/>
      <c r="K283" s="119">
        <f>'Aggregated Table'!C286</f>
        <v>3.44</v>
      </c>
      <c r="L283" s="119">
        <f>'Aggregated Table'!D286</f>
        <v>136.42495101870483</v>
      </c>
      <c r="M283" s="119"/>
      <c r="N283" s="119"/>
      <c r="O283" s="119"/>
      <c r="P283" s="119"/>
      <c r="Q283" s="119">
        <f t="shared" si="17"/>
        <v>1.7775466378013808E-3</v>
      </c>
      <c r="R283" s="119">
        <f t="shared" si="18"/>
        <v>0.24250171299551684</v>
      </c>
      <c r="S283" s="119"/>
    </row>
    <row r="284" spans="1:19">
      <c r="A284" s="119" t="str">
        <f>'Aggregated Table'!$A$137</f>
        <v>National Grid</v>
      </c>
      <c r="B284" s="119" t="str">
        <f>'Aggregated Table'!B287</f>
        <v>Whitesboro</v>
      </c>
      <c r="C284" s="95">
        <f t="shared" si="19"/>
        <v>38.841059602649011</v>
      </c>
      <c r="D284" s="95">
        <f t="shared" si="20"/>
        <v>102.63620902706347</v>
      </c>
      <c r="E284" s="119">
        <f t="shared" si="16"/>
        <v>150</v>
      </c>
      <c r="F284" s="119"/>
      <c r="G284" s="119"/>
      <c r="H284" s="112" t="s">
        <v>746</v>
      </c>
      <c r="I284" s="117"/>
      <c r="J284" s="118"/>
      <c r="K284" s="119">
        <f>'Aggregated Table'!C287</f>
        <v>12</v>
      </c>
      <c r="L284" s="119">
        <f>'Aggregated Table'!D287</f>
        <v>36.818292271989172</v>
      </c>
      <c r="M284" s="119"/>
      <c r="N284" s="119"/>
      <c r="O284" s="119"/>
      <c r="P284" s="119"/>
      <c r="Q284" s="119">
        <f t="shared" si="17"/>
        <v>6.2007440853536541E-3</v>
      </c>
      <c r="R284" s="119">
        <f t="shared" si="18"/>
        <v>0.228300808038359</v>
      </c>
      <c r="S284" s="119"/>
    </row>
    <row r="285" spans="1:19">
      <c r="A285" s="119" t="str">
        <f>'Aggregated Table'!$A$137</f>
        <v>National Grid</v>
      </c>
      <c r="B285" s="119" t="str">
        <f>'Aggregated Table'!B288</f>
        <v>WOLF RD.</v>
      </c>
      <c r="C285" s="95">
        <f t="shared" si="19"/>
        <v>29.841059602649008</v>
      </c>
      <c r="D285" s="95">
        <f t="shared" si="20"/>
        <v>242.85158636734326</v>
      </c>
      <c r="E285" s="119">
        <f t="shared" si="16"/>
        <v>151</v>
      </c>
      <c r="F285" s="119"/>
      <c r="G285" s="119"/>
      <c r="H285" s="115" t="s">
        <v>747</v>
      </c>
      <c r="I285" s="3"/>
      <c r="J285" s="111"/>
      <c r="K285" s="119">
        <f>'Aggregated Table'!C288</f>
        <v>3</v>
      </c>
      <c r="L285" s="119">
        <f>'Aggregated Table'!D288</f>
        <v>177.03366961226897</v>
      </c>
      <c r="M285" s="119"/>
      <c r="N285" s="119"/>
      <c r="O285" s="119"/>
      <c r="P285" s="119"/>
      <c r="Q285" s="119">
        <f t="shared" si="17"/>
        <v>1.5501860213384135E-3</v>
      </c>
      <c r="R285" s="119">
        <f t="shared" si="18"/>
        <v>0.2744351199391824</v>
      </c>
      <c r="S285" s="119"/>
    </row>
    <row r="286" spans="1:19" ht="15.75" thickBot="1">
      <c r="A286" s="119" t="str">
        <f>'Aggregated Table'!$A$137</f>
        <v>National Grid</v>
      </c>
      <c r="B286" s="119" t="str">
        <f>'Aggregated Table'!B289</f>
        <v>Transm Net</v>
      </c>
      <c r="C286" s="99">
        <f>K286</f>
        <v>4053</v>
      </c>
      <c r="D286" s="99">
        <f>L286</f>
        <v>65.817916755074293</v>
      </c>
      <c r="E286" s="119">
        <f t="shared" si="16"/>
        <v>152</v>
      </c>
      <c r="F286" s="119"/>
      <c r="G286" s="119"/>
      <c r="H286" s="107">
        <f>($K$286/$E$285)</f>
        <v>26.841059602649008</v>
      </c>
      <c r="I286" s="108"/>
      <c r="J286" s="114"/>
      <c r="K286" s="119">
        <f>'Aggregated Table'!C289</f>
        <v>4053</v>
      </c>
      <c r="L286" s="76">
        <f>'Aggregated Table'!D289</f>
        <v>65.817916755074293</v>
      </c>
      <c r="M286" s="119"/>
      <c r="N286" s="119"/>
      <c r="O286" s="119"/>
      <c r="P286" s="119"/>
      <c r="Q286" s="119"/>
      <c r="R286" s="102">
        <f>SUM(R135:R285)</f>
        <v>75.759148380444685</v>
      </c>
      <c r="S286" s="102" t="s">
        <v>748</v>
      </c>
    </row>
    <row r="287" spans="1:19">
      <c r="A287" s="119" t="str">
        <f>'Aggregated Table'!$A$290</f>
        <v>NYSEG</v>
      </c>
      <c r="B287" s="119" t="str">
        <f>'Aggregated Table'!B291</f>
        <v>Center Point</v>
      </c>
      <c r="C287" s="119">
        <f>'Aggregated Table'!C291</f>
        <v>22.4</v>
      </c>
      <c r="D287" s="119">
        <f>'Aggregated Table'!D291</f>
        <v>190.09401504826278</v>
      </c>
      <c r="E287" s="119">
        <v>1</v>
      </c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</row>
    <row r="288" spans="1:19">
      <c r="A288" s="119" t="str">
        <f>'Aggregated Table'!$A$290</f>
        <v>NYSEG</v>
      </c>
      <c r="B288" s="119" t="str">
        <f>'Aggregated Table'!B292</f>
        <v>Grant Ave</v>
      </c>
      <c r="C288" s="119">
        <f>'Aggregated Table'!C292</f>
        <v>10.1</v>
      </c>
      <c r="D288" s="119">
        <f>'Aggregated Table'!D292</f>
        <v>44.967600446103212</v>
      </c>
      <c r="E288" s="119">
        <f t="shared" si="16"/>
        <v>2</v>
      </c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</row>
    <row r="289" spans="1:5">
      <c r="A289" s="119" t="str">
        <f>'Aggregated Table'!$A$290</f>
        <v>NYSEG</v>
      </c>
      <c r="B289" s="119" t="str">
        <f>'Aggregated Table'!B293</f>
        <v>Stryker Ave</v>
      </c>
      <c r="C289" s="119">
        <f>'Aggregated Table'!C293</f>
        <v>8.8000000000000007</v>
      </c>
      <c r="D289" s="119">
        <f>'Aggregated Table'!D293</f>
        <v>43.485776642697409</v>
      </c>
      <c r="E289" s="119">
        <f t="shared" si="16"/>
        <v>3</v>
      </c>
    </row>
    <row r="290" spans="1:5">
      <c r="A290" s="119" t="str">
        <f>'Aggregated Table'!$A$290</f>
        <v>NYSEG</v>
      </c>
      <c r="B290" s="119" t="str">
        <f>'Aggregated Table'!B294</f>
        <v>State St</v>
      </c>
      <c r="C290" s="119">
        <f>'Aggregated Table'!C294</f>
        <v>23.200000000000003</v>
      </c>
      <c r="D290" s="119">
        <f>'Aggregated Table'!D294</f>
        <v>21.547174282389015</v>
      </c>
      <c r="E290" s="119">
        <f t="shared" si="16"/>
        <v>4</v>
      </c>
    </row>
    <row r="291" spans="1:5">
      <c r="A291" s="119" t="str">
        <f>'Aggregated Table'!$A$290</f>
        <v>NYSEG</v>
      </c>
      <c r="B291" s="119" t="str">
        <f>'Aggregated Table'!B295</f>
        <v>Scipio new</v>
      </c>
      <c r="C291" s="119">
        <f>'Aggregated Table'!C295</f>
        <v>100</v>
      </c>
      <c r="D291" s="119">
        <f>'Aggregated Table'!D295</f>
        <v>45.719428937923745</v>
      </c>
      <c r="E291" s="119">
        <f t="shared" si="16"/>
        <v>5</v>
      </c>
    </row>
    <row r="292" spans="1:5">
      <c r="A292" s="119" t="str">
        <f>'Aggregated Table'!$A$290</f>
        <v>NYSEG</v>
      </c>
      <c r="B292" s="119" t="str">
        <f>'Aggregated Table'!B296</f>
        <v>Genoa</v>
      </c>
      <c r="C292" s="119">
        <f>'Aggregated Table'!C296</f>
        <v>10.55</v>
      </c>
      <c r="D292" s="119">
        <f>'Aggregated Table'!D296</f>
        <v>112.47456618302658</v>
      </c>
      <c r="E292" s="119">
        <f t="shared" si="16"/>
        <v>6</v>
      </c>
    </row>
    <row r="293" spans="1:5">
      <c r="A293" s="119" t="str">
        <f>'Aggregated Table'!$A$290</f>
        <v>NYSEG</v>
      </c>
      <c r="B293" s="119" t="str">
        <f>'Aggregated Table'!B297</f>
        <v>Aurora</v>
      </c>
      <c r="C293" s="119">
        <f>'Aggregated Table'!C297</f>
        <v>53.970999999999989</v>
      </c>
      <c r="D293" s="119">
        <f>'Aggregated Table'!D297</f>
        <v>213.59406194671172</v>
      </c>
      <c r="E293" s="119">
        <f t="shared" si="16"/>
        <v>7</v>
      </c>
    </row>
    <row r="294" spans="1:5">
      <c r="A294" s="119" t="str">
        <f>'Aggregated Table'!$A$290</f>
        <v>NYSEG</v>
      </c>
      <c r="B294" s="119" t="str">
        <f>'Aggregated Table'!B298</f>
        <v xml:space="preserve">Chenango </v>
      </c>
      <c r="C294" s="119">
        <f>'Aggregated Table'!C298</f>
        <v>28.207000000000001</v>
      </c>
      <c r="D294" s="119">
        <f>'Aggregated Table'!D298</f>
        <v>94.65098019166328</v>
      </c>
      <c r="E294" s="119">
        <f t="shared" si="16"/>
        <v>8</v>
      </c>
    </row>
    <row r="295" spans="1:5">
      <c r="A295" s="119" t="str">
        <f>'Aggregated Table'!$A$290</f>
        <v>NYSEG</v>
      </c>
      <c r="B295" s="119" t="str">
        <f>'Aggregated Table'!B299</f>
        <v>Morningside Heights</v>
      </c>
      <c r="C295" s="119">
        <f>'Aggregated Table'!C299</f>
        <v>21.094000000000001</v>
      </c>
      <c r="D295" s="119">
        <f>'Aggregated Table'!D299</f>
        <v>116.87403376589741</v>
      </c>
      <c r="E295" s="119">
        <f t="shared" si="16"/>
        <v>9</v>
      </c>
    </row>
    <row r="296" spans="1:5">
      <c r="A296" s="119" t="str">
        <f>'Aggregated Table'!$A$290</f>
        <v>NYSEG</v>
      </c>
      <c r="B296" s="119" t="str">
        <f>'Aggregated Table'!B300</f>
        <v>Nowlan Road</v>
      </c>
      <c r="C296" s="119">
        <f>'Aggregated Table'!C300</f>
        <v>29.206999999999997</v>
      </c>
      <c r="D296" s="119">
        <f>'Aggregated Table'!D300</f>
        <v>103.4472089396177</v>
      </c>
      <c r="E296" s="119">
        <f t="shared" si="16"/>
        <v>10</v>
      </c>
    </row>
    <row r="297" spans="1:5">
      <c r="A297" s="119" t="str">
        <f>'Aggregated Table'!$A$290</f>
        <v>NYSEG</v>
      </c>
      <c r="B297" s="119" t="str">
        <f>'Aggregated Table'!B301</f>
        <v>Greene</v>
      </c>
      <c r="C297" s="119">
        <f>'Aggregated Table'!C301</f>
        <v>10</v>
      </c>
      <c r="D297" s="119">
        <f>'Aggregated Table'!D301</f>
        <v>10.64159757551381</v>
      </c>
      <c r="E297" s="119">
        <f t="shared" si="16"/>
        <v>11</v>
      </c>
    </row>
    <row r="298" spans="1:5">
      <c r="A298" s="119" t="str">
        <f>'Aggregated Table'!$A$290</f>
        <v>NYSEG</v>
      </c>
      <c r="B298" s="119" t="str">
        <f>'Aggregated Table'!B302</f>
        <v>Sanataria Springs</v>
      </c>
      <c r="C298" s="119">
        <f>'Aggregated Table'!C302</f>
        <v>10</v>
      </c>
      <c r="D298" s="119">
        <f>'Aggregated Table'!D302</f>
        <v>11.360558495403357</v>
      </c>
      <c r="E298" s="119">
        <f t="shared" si="16"/>
        <v>12</v>
      </c>
    </row>
    <row r="299" spans="1:5">
      <c r="A299" s="119" t="str">
        <f>'Aggregated Table'!$A$290</f>
        <v>NYSEG</v>
      </c>
      <c r="B299" s="119" t="str">
        <f>'Aggregated Table'!B303</f>
        <v>Kattleville</v>
      </c>
      <c r="C299" s="119">
        <f>'Aggregated Table'!C303</f>
        <v>90</v>
      </c>
      <c r="D299" s="119">
        <f>'Aggregated Table'!D303</f>
        <v>20.298574845255118</v>
      </c>
      <c r="E299" s="119">
        <f t="shared" si="16"/>
        <v>13</v>
      </c>
    </row>
    <row r="300" spans="1:5">
      <c r="A300" s="119" t="str">
        <f>'Aggregated Table'!$A$290</f>
        <v>NYSEG</v>
      </c>
      <c r="B300" s="119" t="str">
        <f>'Aggregated Table'!B304</f>
        <v xml:space="preserve">Lounsberry </v>
      </c>
      <c r="C300" s="119">
        <f>'Aggregated Table'!C304</f>
        <v>22.4</v>
      </c>
      <c r="D300" s="119">
        <f>'Aggregated Table'!D304</f>
        <v>16.982428978851278</v>
      </c>
      <c r="E300" s="119">
        <f t="shared" si="16"/>
        <v>14</v>
      </c>
    </row>
    <row r="301" spans="1:5">
      <c r="A301" s="119" t="str">
        <f>'Aggregated Table'!$A$290</f>
        <v>NYSEG</v>
      </c>
      <c r="B301" s="119" t="str">
        <f>'Aggregated Table'!B305</f>
        <v>N. Endicott</v>
      </c>
      <c r="C301" s="119">
        <f>'Aggregated Table'!C305</f>
        <v>54.4</v>
      </c>
      <c r="D301" s="119">
        <f>'Aggregated Table'!D305</f>
        <v>47.300025201092204</v>
      </c>
      <c r="E301" s="119">
        <f t="shared" si="16"/>
        <v>15</v>
      </c>
    </row>
    <row r="302" spans="1:5">
      <c r="A302" s="119" t="str">
        <f>'Aggregated Table'!$A$290</f>
        <v>NYSEG</v>
      </c>
      <c r="B302" s="119" t="str">
        <f>'Aggregated Table'!B306</f>
        <v>Cantitoe</v>
      </c>
      <c r="C302" s="119">
        <f>'Aggregated Table'!C306</f>
        <v>11.7</v>
      </c>
      <c r="D302" s="119">
        <f>'Aggregated Table'!D306</f>
        <v>34.129507637438572</v>
      </c>
      <c r="E302" s="119">
        <f t="shared" si="16"/>
        <v>16</v>
      </c>
    </row>
    <row r="303" spans="1:5">
      <c r="A303" s="119" t="str">
        <f>'Aggregated Table'!$A$290</f>
        <v>NYSEG</v>
      </c>
      <c r="B303" s="119" t="str">
        <f>'Aggregated Table'!B307</f>
        <v>Pawling</v>
      </c>
      <c r="C303" s="119">
        <f>'Aggregated Table'!C307</f>
        <v>22.4</v>
      </c>
      <c r="D303" s="119">
        <f>'Aggregated Table'!D307</f>
        <v>84.104205845854423</v>
      </c>
      <c r="E303" s="119">
        <f t="shared" si="16"/>
        <v>17</v>
      </c>
    </row>
    <row r="304" spans="1:5">
      <c r="A304" s="119" t="str">
        <f>'Aggregated Table'!$A$290</f>
        <v>NYSEG</v>
      </c>
      <c r="B304" s="119" t="str">
        <f>'Aggregated Table'!B308</f>
        <v>Croton Falls</v>
      </c>
      <c r="C304" s="119">
        <f>'Aggregated Table'!C308</f>
        <v>50</v>
      </c>
      <c r="D304" s="119">
        <f>'Aggregated Table'!D308</f>
        <v>7.6081281825253733</v>
      </c>
      <c r="E304" s="119">
        <f t="shared" si="16"/>
        <v>18</v>
      </c>
    </row>
    <row r="305" spans="1:5">
      <c r="A305" s="119" t="str">
        <f>'Aggregated Table'!$A$290</f>
        <v>NYSEG</v>
      </c>
      <c r="B305" s="119" t="str">
        <f>'Aggregated Table'!B309</f>
        <v>Dingle Ridge</v>
      </c>
      <c r="C305" s="119">
        <f>'Aggregated Table'!C309</f>
        <v>38.4</v>
      </c>
      <c r="D305" s="119">
        <f>'Aggregated Table'!D309</f>
        <v>32.141227089971736</v>
      </c>
      <c r="E305" s="119">
        <f t="shared" si="16"/>
        <v>19</v>
      </c>
    </row>
    <row r="306" spans="1:5">
      <c r="A306" s="119" t="str">
        <f>'Aggregated Table'!$A$290</f>
        <v>NYSEG</v>
      </c>
      <c r="B306" s="119" t="str">
        <f>'Aggregated Table'!B310</f>
        <v>Crafts</v>
      </c>
      <c r="C306" s="119">
        <f>'Aggregated Table'!C310</f>
        <v>22.4</v>
      </c>
      <c r="D306" s="119">
        <f>'Aggregated Table'!D310</f>
        <v>16.982428978851278</v>
      </c>
      <c r="E306" s="119">
        <f t="shared" si="16"/>
        <v>20</v>
      </c>
    </row>
    <row r="307" spans="1:5">
      <c r="A307" s="119" t="str">
        <f>'Aggregated Table'!$A$290</f>
        <v>NYSEG</v>
      </c>
      <c r="B307" s="119" t="str">
        <f>'Aggregated Table'!B311</f>
        <v>Pound Ridge</v>
      </c>
      <c r="C307" s="119">
        <f>'Aggregated Table'!C311</f>
        <v>22.4</v>
      </c>
      <c r="D307" s="119">
        <f>'Aggregated Table'!D311</f>
        <v>16.982428978851278</v>
      </c>
      <c r="E307" s="119">
        <f t="shared" si="16"/>
        <v>21</v>
      </c>
    </row>
    <row r="308" spans="1:5">
      <c r="A308" s="119" t="str">
        <f>'Aggregated Table'!$A$290</f>
        <v>NYSEG</v>
      </c>
      <c r="B308" s="119" t="str">
        <f>'Aggregated Table'!B312</f>
        <v>West Elmira</v>
      </c>
      <c r="C308" s="119">
        <f>'Aggregated Table'!C312</f>
        <v>3</v>
      </c>
      <c r="D308" s="119">
        <f>'Aggregated Table'!D312</f>
        <v>27.520873963610754</v>
      </c>
      <c r="E308" s="119">
        <f t="shared" si="16"/>
        <v>22</v>
      </c>
    </row>
    <row r="309" spans="1:5">
      <c r="A309" s="119" t="str">
        <f>'Aggregated Table'!$A$290</f>
        <v>NYSEG</v>
      </c>
      <c r="B309" s="119" t="str">
        <f>'Aggregated Table'!B313</f>
        <v>Erwin Junction</v>
      </c>
      <c r="C309" s="119">
        <f>'Aggregated Table'!C313</f>
        <v>30</v>
      </c>
      <c r="D309" s="119">
        <f>'Aggregated Table'!D313</f>
        <v>20.369676893921451</v>
      </c>
      <c r="E309" s="119">
        <f t="shared" si="16"/>
        <v>23</v>
      </c>
    </row>
    <row r="310" spans="1:5">
      <c r="A310" s="119" t="str">
        <f>'Aggregated Table'!$A$290</f>
        <v>NYSEG</v>
      </c>
      <c r="B310" s="119" t="str">
        <f>'Aggregated Table'!B314</f>
        <v>Montour falls</v>
      </c>
      <c r="C310" s="119">
        <f>'Aggregated Table'!C314</f>
        <v>34.299999999999997</v>
      </c>
      <c r="D310" s="119">
        <f>'Aggregated Table'!D314</f>
        <v>69.753695391936404</v>
      </c>
      <c r="E310" s="119">
        <f t="shared" si="16"/>
        <v>24</v>
      </c>
    </row>
    <row r="311" spans="1:5">
      <c r="A311" s="119" t="str">
        <f>'Aggregated Table'!$A$290</f>
        <v>NYSEG</v>
      </c>
      <c r="B311" s="119" t="str">
        <f>'Aggregated Table'!B315</f>
        <v>From Erwin to Presho</v>
      </c>
      <c r="C311" s="119">
        <f>'Aggregated Table'!C315</f>
        <v>11</v>
      </c>
      <c r="D311" s="119">
        <f>'Aggregated Table'!D315</f>
        <v>22.049160888902495</v>
      </c>
      <c r="E311" s="119">
        <f t="shared" si="16"/>
        <v>25</v>
      </c>
    </row>
    <row r="312" spans="1:5">
      <c r="A312" s="119" t="str">
        <f>'Aggregated Table'!$A$290</f>
        <v>NYSEG</v>
      </c>
      <c r="B312" s="119" t="str">
        <f>'Aggregated Table'!B316</f>
        <v>West Erie AV</v>
      </c>
      <c r="C312" s="119">
        <f>'Aggregated Table'!C316</f>
        <v>16</v>
      </c>
      <c r="D312" s="119">
        <f>'Aggregated Table'!D316</f>
        <v>15.158798111120463</v>
      </c>
      <c r="E312" s="119">
        <f t="shared" si="16"/>
        <v>26</v>
      </c>
    </row>
    <row r="313" spans="1:5">
      <c r="A313" s="119" t="str">
        <f>'Aggregated Table'!$A$290</f>
        <v>NYSEG</v>
      </c>
      <c r="B313" s="119" t="str">
        <f>'Aggregated Table'!B317</f>
        <v>Clyde</v>
      </c>
      <c r="C313" s="119">
        <f>'Aggregated Table'!C317</f>
        <v>3.3</v>
      </c>
      <c r="D313" s="119">
        <f>'Aggregated Table'!D317</f>
        <v>31.106841210674322</v>
      </c>
      <c r="E313" s="119">
        <f t="shared" si="16"/>
        <v>27</v>
      </c>
    </row>
    <row r="314" spans="1:5">
      <c r="A314" s="119" t="str">
        <f>'Aggregated Table'!$A$290</f>
        <v>NYSEG</v>
      </c>
      <c r="B314" s="119" t="str">
        <f>'Aggregated Table'!B318</f>
        <v>Mac Dougall</v>
      </c>
      <c r="C314" s="119">
        <f>'Aggregated Table'!C318</f>
        <v>71.950999999999993</v>
      </c>
      <c r="D314" s="119">
        <f>'Aggregated Table'!D318</f>
        <v>448.63851493461596</v>
      </c>
      <c r="E314" s="119">
        <f t="shared" si="16"/>
        <v>28</v>
      </c>
    </row>
    <row r="315" spans="1:5">
      <c r="A315" s="119" t="str">
        <f>'Aggregated Table'!$A$290</f>
        <v>NYSEG</v>
      </c>
      <c r="B315" s="119" t="str">
        <f>'Aggregated Table'!B319</f>
        <v>Milo</v>
      </c>
      <c r="C315" s="119">
        <f>'Aggregated Table'!C319</f>
        <v>14</v>
      </c>
      <c r="D315" s="119">
        <f>'Aggregated Table'!D319</f>
        <v>16.505368186520794</v>
      </c>
      <c r="E315" s="119">
        <f t="shared" si="16"/>
        <v>29</v>
      </c>
    </row>
    <row r="316" spans="1:5">
      <c r="A316" s="119" t="str">
        <f>'Aggregated Table'!$A$290</f>
        <v>NYSEG</v>
      </c>
      <c r="B316" s="119" t="str">
        <f>'Aggregated Table'!B320</f>
        <v>Sleight Rd</v>
      </c>
      <c r="C316" s="119">
        <f>'Aggregated Table'!C320</f>
        <v>100</v>
      </c>
      <c r="D316" s="119">
        <f>'Aggregated Table'!D320</f>
        <v>29.404644560698369</v>
      </c>
      <c r="E316" s="119">
        <f t="shared" si="16"/>
        <v>30</v>
      </c>
    </row>
    <row r="317" spans="1:5">
      <c r="A317" s="119" t="str">
        <f>'Aggregated Table'!$A$290</f>
        <v>NYSEG</v>
      </c>
      <c r="B317" s="119" t="str">
        <f>'Aggregated Table'!B321</f>
        <v>Border City</v>
      </c>
      <c r="C317" s="119">
        <f>'Aggregated Table'!C321</f>
        <v>22.4</v>
      </c>
      <c r="D317" s="119">
        <f>'Aggregated Table'!D321</f>
        <v>16.982428978851278</v>
      </c>
      <c r="E317" s="119">
        <f t="shared" si="16"/>
        <v>31</v>
      </c>
    </row>
    <row r="318" spans="1:5">
      <c r="A318" s="119" t="str">
        <f>'Aggregated Table'!$A$290</f>
        <v>NYSEG</v>
      </c>
      <c r="B318" s="119" t="str">
        <f>'Aggregated Table'!B322</f>
        <v>Webb Crossing</v>
      </c>
      <c r="C318" s="119">
        <f>'Aggregated Table'!C322</f>
        <v>54.72199999999998</v>
      </c>
      <c r="D318" s="119">
        <f>'Aggregated Table'!D322</f>
        <v>335.84171731833891</v>
      </c>
      <c r="E318" s="119">
        <f t="shared" si="16"/>
        <v>32</v>
      </c>
    </row>
    <row r="319" spans="1:5">
      <c r="A319" s="119" t="str">
        <f>'Aggregated Table'!$A$290</f>
        <v>NYSEG</v>
      </c>
      <c r="B319" s="119" t="str">
        <f>'Aggregated Table'!B323</f>
        <v>Silver Springs</v>
      </c>
      <c r="C319" s="119">
        <f>'Aggregated Table'!C323</f>
        <v>18</v>
      </c>
      <c r="D319" s="119">
        <f>'Aggregated Table'!D323</f>
        <v>24.717158860190743</v>
      </c>
      <c r="E319" s="119">
        <f t="shared" si="16"/>
        <v>33</v>
      </c>
    </row>
    <row r="320" spans="1:5">
      <c r="A320" s="119" t="str">
        <f>'Aggregated Table'!$A$290</f>
        <v>NYSEG</v>
      </c>
      <c r="B320" s="119" t="str">
        <f>'Aggregated Table'!B324</f>
        <v>Moraine Rd</v>
      </c>
      <c r="C320" s="119">
        <f>'Aggregated Table'!C324</f>
        <v>80</v>
      </c>
      <c r="D320" s="119">
        <f>'Aggregated Table'!D324</f>
        <v>150.81835924319182</v>
      </c>
      <c r="E320" s="119">
        <f t="shared" si="16"/>
        <v>34</v>
      </c>
    </row>
    <row r="321" spans="1:5">
      <c r="A321" s="119" t="str">
        <f>'Aggregated Table'!$A$290</f>
        <v>NYSEG</v>
      </c>
      <c r="B321" s="119" t="str">
        <f>'Aggregated Table'!B325</f>
        <v xml:space="preserve">Bennett </v>
      </c>
      <c r="C321" s="119">
        <f>'Aggregated Table'!C325</f>
        <v>14</v>
      </c>
      <c r="D321" s="119">
        <f>'Aggregated Table'!D325</f>
        <v>35.460219739266748</v>
      </c>
      <c r="E321" s="119">
        <f t="shared" si="16"/>
        <v>35</v>
      </c>
    </row>
    <row r="322" spans="1:5">
      <c r="A322" s="119" t="str">
        <f>'Aggregated Table'!$A$290</f>
        <v>NYSEG</v>
      </c>
      <c r="B322" s="119" t="str">
        <f>'Aggregated Table'!B326</f>
        <v>Fourth Street</v>
      </c>
      <c r="C322" s="119">
        <f>'Aggregated Table'!C326</f>
        <v>74.599999999999994</v>
      </c>
      <c r="D322" s="119">
        <f>'Aggregated Table'!D326</f>
        <v>42.010876633030897</v>
      </c>
      <c r="E322" s="119">
        <f t="shared" si="16"/>
        <v>36</v>
      </c>
    </row>
    <row r="323" spans="1:5">
      <c r="A323" s="119" t="str">
        <f>'Aggregated Table'!$A$290</f>
        <v>NYSEG</v>
      </c>
      <c r="B323" s="119" t="str">
        <f>'Aggregated Table'!B327</f>
        <v>Coddington</v>
      </c>
      <c r="C323" s="119">
        <f>'Aggregated Table'!C327</f>
        <v>100</v>
      </c>
      <c r="D323" s="119">
        <f>'Aggregated Table'!D327</f>
        <v>34.027485647887453</v>
      </c>
      <c r="E323" s="119">
        <f t="shared" si="16"/>
        <v>37</v>
      </c>
    </row>
    <row r="324" spans="1:5">
      <c r="A324" s="119" t="str">
        <f>'Aggregated Table'!$A$290</f>
        <v>NYSEG</v>
      </c>
      <c r="B324" s="119" t="str">
        <f>'Aggregated Table'!B328</f>
        <v>Line 455</v>
      </c>
      <c r="C324" s="119">
        <f>'Aggregated Table'!C328</f>
        <v>26.8</v>
      </c>
      <c r="D324" s="119">
        <f>'Aggregated Table'!D328</f>
        <v>70.174209883785394</v>
      </c>
      <c r="E324" s="119">
        <f t="shared" ref="E324:E387" si="21">E323+1</f>
        <v>38</v>
      </c>
    </row>
    <row r="325" spans="1:5">
      <c r="A325" s="119" t="str">
        <f>'Aggregated Table'!$A$290</f>
        <v>NYSEG</v>
      </c>
      <c r="B325" s="119" t="str">
        <f>'Aggregated Table'!B329</f>
        <v>Burdett</v>
      </c>
      <c r="C325" s="119">
        <f>'Aggregated Table'!C329</f>
        <v>7.5</v>
      </c>
      <c r="D325" s="119">
        <f>'Aggregated Table'!D329</f>
        <v>23.589521243090953</v>
      </c>
      <c r="E325" s="119">
        <f t="shared" si="21"/>
        <v>39</v>
      </c>
    </row>
    <row r="326" spans="1:5">
      <c r="A326" s="119" t="str">
        <f>'Aggregated Table'!$A$290</f>
        <v>NYSEG</v>
      </c>
      <c r="B326" s="119" t="str">
        <f>'Aggregated Table'!B330</f>
        <v>County Hospital</v>
      </c>
      <c r="C326" s="119">
        <f>'Aggregated Table'!C330</f>
        <v>7</v>
      </c>
      <c r="D326" s="119">
        <f>'Aggregated Table'!D330</f>
        <v>27.300801131796977</v>
      </c>
      <c r="E326" s="119">
        <f t="shared" si="21"/>
        <v>40</v>
      </c>
    </row>
    <row r="327" spans="1:5">
      <c r="A327" s="119" t="str">
        <f>'Aggregated Table'!$A$290</f>
        <v>NYSEG</v>
      </c>
      <c r="B327" s="119" t="str">
        <f>'Aggregated Table'!B331</f>
        <v>Valois</v>
      </c>
      <c r="C327" s="119">
        <f>'Aggregated Table'!C331</f>
        <v>27.107999999999997</v>
      </c>
      <c r="D327" s="119">
        <f>'Aggregated Table'!D331</f>
        <v>35.088693184764004</v>
      </c>
      <c r="E327" s="119">
        <f t="shared" si="21"/>
        <v>41</v>
      </c>
    </row>
    <row r="328" spans="1:5">
      <c r="A328" s="119" t="str">
        <f>'Aggregated Table'!$A$290</f>
        <v>NYSEG</v>
      </c>
      <c r="B328" s="119" t="str">
        <f>'Aggregated Table'!B332</f>
        <v>Trumansburg</v>
      </c>
      <c r="C328" s="119">
        <f>'Aggregated Table'!C332</f>
        <v>33</v>
      </c>
      <c r="D328" s="119">
        <f>'Aggregated Table'!D332</f>
        <v>112.70650087275148</v>
      </c>
      <c r="E328" s="119">
        <f t="shared" si="21"/>
        <v>42</v>
      </c>
    </row>
    <row r="329" spans="1:5">
      <c r="A329" s="119" t="str">
        <f>'Aggregated Table'!$A$290</f>
        <v>NYSEG</v>
      </c>
      <c r="B329" s="119" t="str">
        <f>'Aggregated Table'!B333</f>
        <v>Willard</v>
      </c>
      <c r="C329" s="119">
        <f>'Aggregated Table'!C333</f>
        <v>100.1</v>
      </c>
      <c r="D329" s="119">
        <f>'Aggregated Table'!D333</f>
        <v>199.95139307555164</v>
      </c>
      <c r="E329" s="119">
        <f t="shared" si="21"/>
        <v>43</v>
      </c>
    </row>
    <row r="330" spans="1:5">
      <c r="A330" s="119" t="str">
        <f>'Aggregated Table'!$A$290</f>
        <v>NYSEG</v>
      </c>
      <c r="B330" s="119" t="str">
        <f>'Aggregated Table'!B334</f>
        <v>Milliken</v>
      </c>
      <c r="C330" s="119">
        <f>'Aggregated Table'!C334</f>
        <v>200</v>
      </c>
      <c r="D330" s="119">
        <f>'Aggregated Table'!D334</f>
        <v>164.20400355098516</v>
      </c>
      <c r="E330" s="119">
        <f t="shared" si="21"/>
        <v>44</v>
      </c>
    </row>
    <row r="331" spans="1:5">
      <c r="A331" s="119" t="str">
        <f>'Aggregated Table'!$A$290</f>
        <v>NYSEG</v>
      </c>
      <c r="B331" s="119" t="str">
        <f>'Aggregated Table'!B335</f>
        <v>Cayuga Heights</v>
      </c>
      <c r="C331" s="119">
        <f>'Aggregated Table'!C335</f>
        <v>36.4</v>
      </c>
      <c r="D331" s="119">
        <f>'Aggregated Table'!D335</f>
        <v>38.82675339657245</v>
      </c>
      <c r="E331" s="119">
        <f t="shared" si="21"/>
        <v>45</v>
      </c>
    </row>
    <row r="332" spans="1:5">
      <c r="A332" s="119" t="str">
        <f>'Aggregated Table'!$A$290</f>
        <v>NYSEG</v>
      </c>
      <c r="B332" s="119" t="str">
        <f>'Aggregated Table'!B336</f>
        <v>Locke</v>
      </c>
      <c r="C332" s="119">
        <f>'Aggregated Table'!C336</f>
        <v>14</v>
      </c>
      <c r="D332" s="119">
        <f>'Aggregated Table'!D336</f>
        <v>21.844324417721172</v>
      </c>
      <c r="E332" s="119">
        <f t="shared" si="21"/>
        <v>46</v>
      </c>
    </row>
    <row r="333" spans="1:5">
      <c r="A333" s="119" t="str">
        <f>'Aggregated Table'!$A$290</f>
        <v>NYSEG</v>
      </c>
      <c r="B333" s="119" t="str">
        <f>'Aggregated Table'!B337</f>
        <v>Peruville</v>
      </c>
      <c r="C333" s="119">
        <f>'Aggregated Table'!C337</f>
        <v>14</v>
      </c>
      <c r="D333" s="119">
        <f>'Aggregated Table'!D337</f>
        <v>21.844324417721172</v>
      </c>
      <c r="E333" s="119">
        <f t="shared" si="21"/>
        <v>47</v>
      </c>
    </row>
    <row r="334" spans="1:5">
      <c r="A334" s="119" t="str">
        <f>'Aggregated Table'!$A$290</f>
        <v>NYSEG</v>
      </c>
      <c r="B334" s="119" t="str">
        <f>'Aggregated Table'!B338</f>
        <v>Orchard Park</v>
      </c>
      <c r="C334" s="119">
        <f>'Aggregated Table'!C338</f>
        <v>13.042</v>
      </c>
      <c r="D334" s="119">
        <f>'Aggregated Table'!D338</f>
        <v>37.902026069374756</v>
      </c>
      <c r="E334" s="119">
        <f t="shared" si="21"/>
        <v>48</v>
      </c>
    </row>
    <row r="335" spans="1:5">
      <c r="A335" s="119" t="str">
        <f>'Aggregated Table'!$A$290</f>
        <v>NYSEG</v>
      </c>
      <c r="B335" s="119" t="str">
        <f>'Aggregated Table'!B339</f>
        <v>Erie St</v>
      </c>
      <c r="C335" s="119">
        <f>'Aggregated Table'!C339</f>
        <v>13.019999999999998</v>
      </c>
      <c r="D335" s="119">
        <f>'Aggregated Table'!D339</f>
        <v>128.75512004381056</v>
      </c>
      <c r="E335" s="119">
        <f t="shared" si="21"/>
        <v>49</v>
      </c>
    </row>
    <row r="336" spans="1:5">
      <c r="A336" s="119" t="str">
        <f>'Aggregated Table'!$A$290</f>
        <v>NYSEG</v>
      </c>
      <c r="B336" s="119" t="str">
        <f>'Aggregated Table'!B340</f>
        <v>Hamburg</v>
      </c>
      <c r="C336" s="119">
        <f>'Aggregated Table'!C340</f>
        <v>1</v>
      </c>
      <c r="D336" s="119">
        <f>'Aggregated Table'!D340</f>
        <v>66.820247935407153</v>
      </c>
      <c r="E336" s="119">
        <f t="shared" si="21"/>
        <v>50</v>
      </c>
    </row>
    <row r="337" spans="1:5">
      <c r="A337" s="119" t="str">
        <f>'Aggregated Table'!$A$290</f>
        <v>NYSEG</v>
      </c>
      <c r="B337" s="119" t="str">
        <f>'Aggregated Table'!B341</f>
        <v>Holland</v>
      </c>
      <c r="C337" s="119">
        <f>'Aggregated Table'!C341</f>
        <v>22.4</v>
      </c>
      <c r="D337" s="119">
        <f>'Aggregated Table'!D341</f>
        <v>79.041777039355594</v>
      </c>
      <c r="E337" s="119">
        <f t="shared" si="21"/>
        <v>51</v>
      </c>
    </row>
    <row r="338" spans="1:5">
      <c r="A338" s="119" t="str">
        <f>'Aggregated Table'!$A$290</f>
        <v>NYSEG</v>
      </c>
      <c r="B338" s="119" t="str">
        <f>'Aggregated Table'!B342</f>
        <v>South Park</v>
      </c>
      <c r="C338" s="119">
        <f>'Aggregated Table'!C342</f>
        <v>22.4</v>
      </c>
      <c r="D338" s="119">
        <f>'Aggregated Table'!D342</f>
        <v>14.840044960610006</v>
      </c>
      <c r="E338" s="119">
        <f t="shared" si="21"/>
        <v>52</v>
      </c>
    </row>
    <row r="339" spans="1:5">
      <c r="A339" s="119" t="str">
        <f>'Aggregated Table'!$A$290</f>
        <v>NYSEG</v>
      </c>
      <c r="B339" s="119" t="str">
        <f>'Aggregated Table'!B343</f>
        <v>Cobble Hill</v>
      </c>
      <c r="C339" s="119">
        <f>'Aggregated Table'!C343</f>
        <v>50</v>
      </c>
      <c r="D339" s="119">
        <f>'Aggregated Table'!D343</f>
        <v>51.657640517535143</v>
      </c>
      <c r="E339" s="119">
        <f t="shared" si="21"/>
        <v>53</v>
      </c>
    </row>
    <row r="340" spans="1:5">
      <c r="A340" s="119" t="str">
        <f>'Aggregated Table'!$A$290</f>
        <v>NYSEG</v>
      </c>
      <c r="B340" s="119" t="str">
        <f>'Aggregated Table'!B344</f>
        <v>Line 706</v>
      </c>
      <c r="C340" s="119">
        <f>'Aggregated Table'!C344</f>
        <v>30</v>
      </c>
      <c r="D340" s="119">
        <f>'Aggregated Table'!D344</f>
        <v>21.81999011085151</v>
      </c>
      <c r="E340" s="119">
        <f t="shared" si="21"/>
        <v>54</v>
      </c>
    </row>
    <row r="341" spans="1:5">
      <c r="A341" s="119" t="str">
        <f>'Aggregated Table'!$A$290</f>
        <v>NYSEG</v>
      </c>
      <c r="B341" s="119" t="str">
        <f>'Aggregated Table'!B345</f>
        <v>Stolle Rd.</v>
      </c>
      <c r="C341" s="119">
        <f>'Aggregated Table'!C345</f>
        <v>22.4</v>
      </c>
      <c r="D341" s="119">
        <f>'Aggregated Table'!D345</f>
        <v>16.982428978851278</v>
      </c>
      <c r="E341" s="119">
        <f t="shared" si="21"/>
        <v>55</v>
      </c>
    </row>
    <row r="342" spans="1:5">
      <c r="A342" s="119" t="str">
        <f>'Aggregated Table'!$A$290</f>
        <v>NYSEG</v>
      </c>
      <c r="B342" s="119" t="str">
        <f>'Aggregated Table'!B346</f>
        <v>Ferndale</v>
      </c>
      <c r="C342" s="119">
        <f>'Aggregated Table'!C346</f>
        <v>78</v>
      </c>
      <c r="D342" s="119">
        <f>'Aggregated Table'!D346</f>
        <v>81.072565061166884</v>
      </c>
      <c r="E342" s="119">
        <f t="shared" si="21"/>
        <v>56</v>
      </c>
    </row>
    <row r="343" spans="1:5">
      <c r="A343" s="119" t="str">
        <f>'Aggregated Table'!$A$290</f>
        <v>NYSEG</v>
      </c>
      <c r="B343" s="119" t="str">
        <f>'Aggregated Table'!B347</f>
        <v>Maplewood</v>
      </c>
      <c r="C343" s="119">
        <f>'Aggregated Table'!C347</f>
        <v>11.899999999999999</v>
      </c>
      <c r="D343" s="119">
        <f>'Aggregated Table'!D347</f>
        <v>30.108947139380639</v>
      </c>
      <c r="E343" s="119">
        <f t="shared" si="21"/>
        <v>57</v>
      </c>
    </row>
    <row r="344" spans="1:5">
      <c r="A344" s="119" t="str">
        <f>'Aggregated Table'!$A$290</f>
        <v>NYSEG</v>
      </c>
      <c r="B344" s="119" t="str">
        <f>'Aggregated Table'!B348</f>
        <v>Hilldale</v>
      </c>
      <c r="C344" s="119">
        <f>'Aggregated Table'!C348</f>
        <v>31.9</v>
      </c>
      <c r="D344" s="119">
        <f>'Aggregated Table'!D348</f>
        <v>115.07881050903028</v>
      </c>
      <c r="E344" s="119">
        <f t="shared" si="21"/>
        <v>58</v>
      </c>
    </row>
    <row r="345" spans="1:5">
      <c r="A345" s="119" t="str">
        <f>'Aggregated Table'!$A$290</f>
        <v>NYSEG</v>
      </c>
      <c r="B345" s="119" t="str">
        <f>'Aggregated Table'!B349</f>
        <v>Neversink</v>
      </c>
      <c r="C345" s="119">
        <f>'Aggregated Table'!C349</f>
        <v>21.625</v>
      </c>
      <c r="D345" s="119">
        <f>'Aggregated Table'!D349</f>
        <v>51.324687364331922</v>
      </c>
      <c r="E345" s="119">
        <f t="shared" si="21"/>
        <v>59</v>
      </c>
    </row>
    <row r="346" spans="1:5">
      <c r="A346" s="119" t="str">
        <f>'Aggregated Table'!$A$290</f>
        <v>NYSEG</v>
      </c>
      <c r="B346" s="119" t="str">
        <f>'Aggregated Table'!B350</f>
        <v>Concord</v>
      </c>
      <c r="C346" s="119">
        <f>'Aggregated Table'!C350</f>
        <v>35.599999999999994</v>
      </c>
      <c r="D346" s="119">
        <f>'Aggregated Table'!D350</f>
        <v>51.655680768065892</v>
      </c>
      <c r="E346" s="119">
        <f t="shared" si="21"/>
        <v>60</v>
      </c>
    </row>
    <row r="347" spans="1:5">
      <c r="A347" s="119" t="str">
        <f>'Aggregated Table'!$A$290</f>
        <v>NYSEG</v>
      </c>
      <c r="B347" s="119" t="str">
        <f>'Aggregated Table'!B351</f>
        <v xml:space="preserve">West Woodbourne </v>
      </c>
      <c r="C347" s="119">
        <f>'Aggregated Table'!C351</f>
        <v>87</v>
      </c>
      <c r="D347" s="119">
        <f>'Aggregated Table'!D351</f>
        <v>41.183447050902821</v>
      </c>
      <c r="E347" s="119">
        <f t="shared" si="21"/>
        <v>61</v>
      </c>
    </row>
    <row r="348" spans="1:5">
      <c r="A348" s="119" t="str">
        <f>'Aggregated Table'!$A$290</f>
        <v>NYSEG</v>
      </c>
      <c r="B348" s="119" t="str">
        <f>'Aggregated Table'!B352</f>
        <v>Mountaindale-bank</v>
      </c>
      <c r="C348" s="119">
        <f>'Aggregated Table'!C352</f>
        <v>37</v>
      </c>
      <c r="D348" s="119">
        <f>'Aggregated Table'!D352</f>
        <v>17.408128315812423</v>
      </c>
      <c r="E348" s="119">
        <f t="shared" si="21"/>
        <v>62</v>
      </c>
    </row>
    <row r="349" spans="1:5">
      <c r="A349" s="119" t="str">
        <f>'Aggregated Table'!$A$290</f>
        <v>NYSEG</v>
      </c>
      <c r="B349" s="119" t="str">
        <f>'Aggregated Table'!B353</f>
        <v>Old Falls</v>
      </c>
      <c r="C349" s="119">
        <f>'Aggregated Table'!C353</f>
        <v>14</v>
      </c>
      <c r="D349" s="119">
        <f>'Aggregated Table'!D353</f>
        <v>38.92174564023594</v>
      </c>
      <c r="E349" s="119">
        <f t="shared" si="21"/>
        <v>63</v>
      </c>
    </row>
    <row r="350" spans="1:5">
      <c r="A350" s="119" t="str">
        <f>'Aggregated Table'!$A$290</f>
        <v>NYSEG</v>
      </c>
      <c r="B350" s="119" t="str">
        <f>'Aggregated Table'!B354</f>
        <v>White Lake</v>
      </c>
      <c r="C350" s="119">
        <f>'Aggregated Table'!C354</f>
        <v>14</v>
      </c>
      <c r="D350" s="119">
        <f>'Aggregated Table'!D354</f>
        <v>23.298881076765948</v>
      </c>
      <c r="E350" s="119">
        <f t="shared" si="21"/>
        <v>64</v>
      </c>
    </row>
    <row r="351" spans="1:5">
      <c r="A351" s="119" t="str">
        <f>'Aggregated Table'!$A$290</f>
        <v>NYSEG</v>
      </c>
      <c r="B351" s="119" t="str">
        <f>'Aggregated Table'!B355</f>
        <v>Transit</v>
      </c>
      <c r="C351" s="119">
        <f>'Aggregated Table'!C355</f>
        <v>0.8</v>
      </c>
      <c r="D351" s="119">
        <f>'Aggregated Table'!D355</f>
        <v>67.733996527689115</v>
      </c>
      <c r="E351" s="119">
        <f t="shared" si="21"/>
        <v>65</v>
      </c>
    </row>
    <row r="352" spans="1:5">
      <c r="A352" s="119" t="str">
        <f>'Aggregated Table'!$A$290</f>
        <v>NYSEG</v>
      </c>
      <c r="B352" s="119" t="str">
        <f>'Aggregated Table'!B356</f>
        <v>Snows Corner Tap</v>
      </c>
      <c r="C352" s="119">
        <f>'Aggregated Table'!C356</f>
        <v>1.5</v>
      </c>
      <c r="D352" s="119">
        <f>'Aggregated Table'!D356</f>
        <v>17.847343581235684</v>
      </c>
      <c r="E352" s="119">
        <f t="shared" si="21"/>
        <v>66</v>
      </c>
    </row>
    <row r="353" spans="1:5">
      <c r="A353" s="119" t="str">
        <f>'Aggregated Table'!$A$290</f>
        <v>NYSEG</v>
      </c>
      <c r="B353" s="119" t="str">
        <f>'Aggregated Table'!B357</f>
        <v>Kline Kill</v>
      </c>
      <c r="C353" s="119">
        <f>'Aggregated Table'!C357</f>
        <v>74</v>
      </c>
      <c r="D353" s="119">
        <f>'Aggregated Table'!D357</f>
        <v>45.596460964546722</v>
      </c>
      <c r="E353" s="119">
        <f t="shared" si="21"/>
        <v>67</v>
      </c>
    </row>
    <row r="354" spans="1:5">
      <c r="A354" s="119" t="str">
        <f>'Aggregated Table'!$A$290</f>
        <v>NYSEG</v>
      </c>
      <c r="B354" s="119" t="str">
        <f>'Aggregated Table'!B358</f>
        <v>Stephentown</v>
      </c>
      <c r="C354" s="119">
        <f>'Aggregated Table'!C358</f>
        <v>11</v>
      </c>
      <c r="D354" s="119">
        <f>'Aggregated Table'!D358</f>
        <v>34.582400829660784</v>
      </c>
      <c r="E354" s="119">
        <f t="shared" si="21"/>
        <v>68</v>
      </c>
    </row>
    <row r="355" spans="1:5">
      <c r="A355" s="119" t="str">
        <f>'Aggregated Table'!$A$290</f>
        <v>NYSEG</v>
      </c>
      <c r="B355" s="119" t="str">
        <f>'Aggregated Table'!B359</f>
        <v>Falls Park</v>
      </c>
      <c r="C355" s="119">
        <f>'Aggregated Table'!C359</f>
        <v>8</v>
      </c>
      <c r="D355" s="119">
        <f>'Aggregated Table'!D359</f>
        <v>30.317596222240926</v>
      </c>
      <c r="E355" s="119">
        <f t="shared" si="21"/>
        <v>69</v>
      </c>
    </row>
    <row r="356" spans="1:5">
      <c r="A356" s="119" t="str">
        <f>'Aggregated Table'!$A$290</f>
        <v>NYSEG</v>
      </c>
      <c r="B356" s="119" t="str">
        <f>'Aggregated Table'!B360</f>
        <v>Jordanville</v>
      </c>
      <c r="C356" s="119">
        <f>'Aggregated Table'!C360</f>
        <v>0.8</v>
      </c>
      <c r="D356" s="119">
        <f>'Aggregated Table'!D360</f>
        <v>41.813776390323611</v>
      </c>
      <c r="E356" s="119">
        <f t="shared" si="21"/>
        <v>70</v>
      </c>
    </row>
    <row r="357" spans="1:5">
      <c r="A357" s="119" t="str">
        <f>'Aggregated Table'!$A$290</f>
        <v>NYSEG</v>
      </c>
      <c r="B357" s="119" t="str">
        <f>'Aggregated Table'!B361</f>
        <v>Richfield Springs</v>
      </c>
      <c r="C357" s="119">
        <f>'Aggregated Table'!C361</f>
        <v>16</v>
      </c>
      <c r="D357" s="119">
        <f>'Aggregated Table'!D361</f>
        <v>15.158798111120463</v>
      </c>
      <c r="E357" s="119">
        <f t="shared" si="21"/>
        <v>71</v>
      </c>
    </row>
    <row r="358" spans="1:5">
      <c r="A358" s="119" t="str">
        <f>'Aggregated Table'!$A$290</f>
        <v>NYSEG</v>
      </c>
      <c r="B358" s="119" t="str">
        <f>'Aggregated Table'!B362</f>
        <v>Grand Gorge</v>
      </c>
      <c r="C358" s="119">
        <f>'Aggregated Table'!C362</f>
        <v>34.299999999999997</v>
      </c>
      <c r="D358" s="119">
        <f>'Aggregated Table'!D362</f>
        <v>11.090565863739613</v>
      </c>
      <c r="E358" s="119">
        <f t="shared" si="21"/>
        <v>72</v>
      </c>
    </row>
    <row r="359" spans="1:5">
      <c r="A359" s="119" t="str">
        <f>'Aggregated Table'!$A$290</f>
        <v>NYSEG</v>
      </c>
      <c r="B359" s="119" t="str">
        <f>'Aggregated Table'!B363</f>
        <v>Kent Falls</v>
      </c>
      <c r="C359" s="119">
        <f>'Aggregated Table'!C363</f>
        <v>50</v>
      </c>
      <c r="D359" s="119">
        <f>'Aggregated Table'!D363</f>
        <v>61.206739026086616</v>
      </c>
      <c r="E359" s="119">
        <f t="shared" si="21"/>
        <v>73</v>
      </c>
    </row>
    <row r="360" spans="1:5">
      <c r="A360" s="119" t="str">
        <f>'Aggregated Table'!$A$290</f>
        <v>NYSEG</v>
      </c>
      <c r="B360" s="119" t="str">
        <f>'Aggregated Table'!B364</f>
        <v>Hyde</v>
      </c>
      <c r="C360" s="119">
        <f>'Aggregated Table'!C364</f>
        <v>5.6</v>
      </c>
      <c r="D360" s="119">
        <f>'Aggregated Table'!D364</f>
        <v>167.59646817188568</v>
      </c>
      <c r="E360" s="119">
        <f t="shared" si="21"/>
        <v>74</v>
      </c>
    </row>
    <row r="361" spans="1:5">
      <c r="A361" s="119" t="str">
        <f>'Aggregated Table'!$A$290</f>
        <v>NYSEG</v>
      </c>
      <c r="B361" s="119" t="str">
        <f>'Aggregated Table'!B365</f>
        <v>Peru</v>
      </c>
      <c r="C361" s="119">
        <f>'Aggregated Table'!C365</f>
        <v>22.4</v>
      </c>
      <c r="D361" s="119">
        <f>'Aggregated Table'!D365</f>
        <v>16.982428978851278</v>
      </c>
      <c r="E361" s="119">
        <f t="shared" si="21"/>
        <v>75</v>
      </c>
    </row>
    <row r="362" spans="1:5">
      <c r="A362" s="119" t="str">
        <f>'Aggregated Table'!$A$290</f>
        <v>NYSEG</v>
      </c>
      <c r="B362" s="119" t="str">
        <f>'Aggregated Table'!B366</f>
        <v>Sciota-Flatrock</v>
      </c>
      <c r="C362" s="119">
        <f>'Aggregated Table'!C366</f>
        <v>22.4</v>
      </c>
      <c r="D362" s="119">
        <f>'Aggregated Table'!D366</f>
        <v>16.982428978851278</v>
      </c>
      <c r="E362" s="119">
        <f t="shared" si="21"/>
        <v>76</v>
      </c>
    </row>
    <row r="363" spans="1:5">
      <c r="A363" s="119" t="str">
        <f>'Aggregated Table'!$A$290</f>
        <v>NYSEG</v>
      </c>
      <c r="B363" s="119" t="str">
        <f>'Aggregated Table'!B367</f>
        <v>Hallock Hill</v>
      </c>
      <c r="C363" s="119">
        <f>'Aggregated Table'!C367</f>
        <v>22.4</v>
      </c>
      <c r="D363" s="119">
        <f>'Aggregated Table'!D367</f>
        <v>16.982428978851278</v>
      </c>
      <c r="E363" s="119">
        <f t="shared" si="21"/>
        <v>77</v>
      </c>
    </row>
    <row r="364" spans="1:5">
      <c r="A364" s="119" t="str">
        <f>'Aggregated Table'!$A$290</f>
        <v>NYSEG</v>
      </c>
      <c r="B364" s="119" t="str">
        <f>'Aggregated Table'!B368</f>
        <v>Howard</v>
      </c>
      <c r="C364" s="119">
        <f>'Aggregated Table'!C368</f>
        <v>14</v>
      </c>
      <c r="D364" s="119">
        <f>'Aggregated Table'!D368</f>
        <v>51.097243572101164</v>
      </c>
      <c r="E364" s="119">
        <f t="shared" si="21"/>
        <v>78</v>
      </c>
    </row>
    <row r="365" spans="1:5">
      <c r="A365" s="119" t="str">
        <f>'Aggregated Table'!$A$290</f>
        <v>NYSEG</v>
      </c>
      <c r="B365" s="119" t="str">
        <f>'Aggregated Table'!B369</f>
        <v>Ashley  Rd</v>
      </c>
      <c r="C365" s="119">
        <f>'Aggregated Table'!C369</f>
        <v>16.137999999999991</v>
      </c>
      <c r="D365" s="119">
        <f>'Aggregated Table'!D369</f>
        <v>184.54526994863818</v>
      </c>
      <c r="E365" s="119">
        <f t="shared" si="21"/>
        <v>79</v>
      </c>
    </row>
    <row r="366" spans="1:5">
      <c r="A366" s="119" t="str">
        <f>'Aggregated Table'!$A$375</f>
        <v>O&amp;R</v>
      </c>
      <c r="B366" s="119" t="str">
        <f>'Aggregated Table'!B376</f>
        <v>Aluf</v>
      </c>
      <c r="C366" s="119">
        <f>'Aggregated Table'!C376</f>
        <v>16</v>
      </c>
      <c r="D366" s="119">
        <f>'Aggregated Table'!D376</f>
        <v>1.8533204143941524</v>
      </c>
      <c r="E366" s="119">
        <v>1</v>
      </c>
    </row>
    <row r="367" spans="1:5">
      <c r="A367" s="119" t="str">
        <f>'Aggregated Table'!$A$375</f>
        <v>O&amp;R</v>
      </c>
      <c r="B367" s="119" t="str">
        <f>'Aggregated Table'!B377</f>
        <v>Blooming Grove</v>
      </c>
      <c r="C367" s="119">
        <f>'Aggregated Table'!C377</f>
        <v>27.989000000000001</v>
      </c>
      <c r="D367" s="119">
        <f>'Aggregated Table'!D377</f>
        <v>27.964642424209767</v>
      </c>
      <c r="E367" s="119">
        <f t="shared" si="21"/>
        <v>2</v>
      </c>
    </row>
    <row r="368" spans="1:5">
      <c r="A368" s="119" t="str">
        <f>'Aggregated Table'!$A$375</f>
        <v>O&amp;R</v>
      </c>
      <c r="B368" s="119" t="str">
        <f>'Aggregated Table'!B378</f>
        <v>Bloomingburg (SubArea)</v>
      </c>
      <c r="C368" s="119">
        <f>'Aggregated Table'!C378</f>
        <v>16</v>
      </c>
      <c r="D368" s="119">
        <f>'Aggregated Table'!D378</f>
        <v>1.8533204143941524</v>
      </c>
      <c r="E368" s="119">
        <f t="shared" si="21"/>
        <v>3</v>
      </c>
    </row>
    <row r="369" spans="1:5">
      <c r="A369" s="119" t="str">
        <f>'Aggregated Table'!$A$375</f>
        <v>O&amp;R</v>
      </c>
      <c r="B369" s="119" t="str">
        <f>'Aggregated Table'!B379</f>
        <v>Blue Hill</v>
      </c>
      <c r="C369" s="119">
        <f>'Aggregated Table'!C379</f>
        <v>16</v>
      </c>
      <c r="D369" s="119">
        <f>'Aggregated Table'!D379</f>
        <v>1.8533204143941524</v>
      </c>
      <c r="E369" s="119">
        <f t="shared" si="21"/>
        <v>4</v>
      </c>
    </row>
    <row r="370" spans="1:5">
      <c r="A370" s="119" t="str">
        <f>'Aggregated Table'!$A$375</f>
        <v>O&amp;R</v>
      </c>
      <c r="B370" s="119" t="str">
        <f>'Aggregated Table'!B380</f>
        <v>Blue Lake</v>
      </c>
      <c r="C370" s="119">
        <f>'Aggregated Table'!C380</f>
        <v>16</v>
      </c>
      <c r="D370" s="119">
        <f>'Aggregated Table'!D380</f>
        <v>1.8533204143941524</v>
      </c>
      <c r="E370" s="119">
        <f t="shared" si="21"/>
        <v>5</v>
      </c>
    </row>
    <row r="371" spans="1:5">
      <c r="A371" s="119" t="str">
        <f>'Aggregated Table'!$A$375</f>
        <v>O&amp;R</v>
      </c>
      <c r="B371" s="119" t="str">
        <f>'Aggregated Table'!B381</f>
        <v>Bullville (SubArea)</v>
      </c>
      <c r="C371" s="119">
        <f>'Aggregated Table'!C381</f>
        <v>20.920999999999999</v>
      </c>
      <c r="D371" s="119">
        <f>'Aggregated Table'!D381</f>
        <v>56.210410239611313</v>
      </c>
      <c r="E371" s="119">
        <f t="shared" si="21"/>
        <v>6</v>
      </c>
    </row>
    <row r="372" spans="1:5">
      <c r="A372" s="119" t="str">
        <f>'Aggregated Table'!$A$375</f>
        <v>O&amp;R</v>
      </c>
      <c r="B372" s="119" t="str">
        <f>'Aggregated Table'!B382</f>
        <v>Burns</v>
      </c>
      <c r="C372" s="119">
        <f>'Aggregated Table'!C382</f>
        <v>16</v>
      </c>
      <c r="D372" s="119">
        <f>'Aggregated Table'!D382</f>
        <v>1.8533204143941524</v>
      </c>
      <c r="E372" s="119">
        <f t="shared" si="21"/>
        <v>7</v>
      </c>
    </row>
    <row r="373" spans="1:5">
      <c r="A373" s="119" t="str">
        <f>'Aggregated Table'!$A$375</f>
        <v>O&amp;R</v>
      </c>
      <c r="B373" s="119" t="str">
        <f>'Aggregated Table'!B383</f>
        <v>Chester</v>
      </c>
      <c r="C373" s="119">
        <f>'Aggregated Table'!C383</f>
        <v>16</v>
      </c>
      <c r="D373" s="119">
        <f>'Aggregated Table'!D383</f>
        <v>1.8533204143941524</v>
      </c>
      <c r="E373" s="119">
        <f t="shared" si="21"/>
        <v>8</v>
      </c>
    </row>
    <row r="374" spans="1:5">
      <c r="A374" s="119" t="str">
        <f>'Aggregated Table'!$A$375</f>
        <v>O&amp;R</v>
      </c>
      <c r="B374" s="119" t="str">
        <f>'Aggregated Table'!B384</f>
        <v>Chester 34.5KV</v>
      </c>
      <c r="C374" s="119">
        <f>'Aggregated Table'!C384</f>
        <v>16</v>
      </c>
      <c r="D374" s="119">
        <f>'Aggregated Table'!D384</f>
        <v>1.8533204143941524</v>
      </c>
      <c r="E374" s="119">
        <f t="shared" si="21"/>
        <v>9</v>
      </c>
    </row>
    <row r="375" spans="1:5">
      <c r="A375" s="119" t="str">
        <f>'Aggregated Table'!$A$375</f>
        <v>O&amp;R</v>
      </c>
      <c r="B375" s="119" t="str">
        <f>'Aggregated Table'!B385</f>
        <v>Congers</v>
      </c>
      <c r="C375" s="119">
        <f>'Aggregated Table'!C385</f>
        <v>16</v>
      </c>
      <c r="D375" s="119">
        <f>'Aggregated Table'!D385</f>
        <v>1.8533204143941524</v>
      </c>
      <c r="E375" s="119">
        <f t="shared" si="21"/>
        <v>10</v>
      </c>
    </row>
    <row r="376" spans="1:5">
      <c r="A376" s="119" t="str">
        <f>'Aggregated Table'!$A$375</f>
        <v>O&amp;R</v>
      </c>
      <c r="B376" s="119" t="str">
        <f>'Aggregated Table'!B386</f>
        <v>Corporate Drive</v>
      </c>
      <c r="C376" s="119">
        <f>'Aggregated Table'!C386</f>
        <v>18.109000000000002</v>
      </c>
      <c r="D376" s="119">
        <f>'Aggregated Table'!D386</f>
        <v>38.888302198696564</v>
      </c>
      <c r="E376" s="119">
        <f t="shared" si="21"/>
        <v>11</v>
      </c>
    </row>
    <row r="377" spans="1:5">
      <c r="A377" s="119" t="str">
        <f>'Aggregated Table'!$A$375</f>
        <v>O&amp;R</v>
      </c>
      <c r="B377" s="119" t="str">
        <f>'Aggregated Table'!B387</f>
        <v>Cuddebackville</v>
      </c>
      <c r="C377" s="119">
        <f>'Aggregated Table'!C387</f>
        <v>16</v>
      </c>
      <c r="D377" s="119">
        <f>'Aggregated Table'!D387</f>
        <v>1.8533204143941524</v>
      </c>
      <c r="E377" s="119">
        <f t="shared" si="21"/>
        <v>12</v>
      </c>
    </row>
    <row r="378" spans="1:5">
      <c r="A378" s="119" t="str">
        <f>'Aggregated Table'!$A$375</f>
        <v>O&amp;R</v>
      </c>
      <c r="B378" s="119" t="str">
        <f>'Aggregated Table'!B388</f>
        <v>Dean (SubArea)</v>
      </c>
      <c r="C378" s="119">
        <f>'Aggregated Table'!C388</f>
        <v>18.812000000000001</v>
      </c>
      <c r="D378" s="119">
        <f>'Aggregated Table'!D388</f>
        <v>24.848106072256581</v>
      </c>
      <c r="E378" s="119">
        <f t="shared" si="21"/>
        <v>13</v>
      </c>
    </row>
    <row r="379" spans="1:5">
      <c r="A379" s="119" t="str">
        <f>'Aggregated Table'!$A$375</f>
        <v>O&amp;R</v>
      </c>
      <c r="B379" s="119" t="str">
        <f>'Aggregated Table'!B389</f>
        <v>Deer Park</v>
      </c>
      <c r="C379" s="119">
        <f>'Aggregated Table'!C389</f>
        <v>16</v>
      </c>
      <c r="D379" s="119">
        <f>'Aggregated Table'!D389</f>
        <v>1.8533204143941524</v>
      </c>
      <c r="E379" s="119">
        <f t="shared" si="21"/>
        <v>14</v>
      </c>
    </row>
    <row r="380" spans="1:5">
      <c r="A380" s="119" t="str">
        <f>'Aggregated Table'!$A$375</f>
        <v>O&amp;R</v>
      </c>
      <c r="B380" s="119" t="str">
        <f>'Aggregated Table'!B390</f>
        <v>Deer Park 34.5KV</v>
      </c>
      <c r="C380" s="119">
        <f>'Aggregated Table'!C390</f>
        <v>16</v>
      </c>
      <c r="D380" s="119">
        <f>'Aggregated Table'!D390</f>
        <v>1.8533204143941524</v>
      </c>
      <c r="E380" s="119">
        <f t="shared" si="21"/>
        <v>15</v>
      </c>
    </row>
    <row r="381" spans="1:5">
      <c r="A381" s="119" t="str">
        <f>'Aggregated Table'!$A$375</f>
        <v>O&amp;R</v>
      </c>
      <c r="B381" s="119" t="str">
        <f>'Aggregated Table'!B391</f>
        <v>East Wallkill</v>
      </c>
      <c r="C381" s="119">
        <f>'Aggregated Table'!C391</f>
        <v>18.812000000000001</v>
      </c>
      <c r="D381" s="119">
        <f>'Aggregated Table'!D391</f>
        <v>11.727225728859844</v>
      </c>
      <c r="E381" s="119">
        <f t="shared" si="21"/>
        <v>16</v>
      </c>
    </row>
    <row r="382" spans="1:5">
      <c r="A382" s="119" t="str">
        <f>'Aggregated Table'!$A$375</f>
        <v>O&amp;R</v>
      </c>
      <c r="B382" s="119" t="str">
        <f>'Aggregated Table'!B392</f>
        <v>Grassy Point</v>
      </c>
      <c r="C382" s="119">
        <f>'Aggregated Table'!C392</f>
        <v>16</v>
      </c>
      <c r="D382" s="119">
        <f>'Aggregated Table'!D392</f>
        <v>1.8533204143941524</v>
      </c>
      <c r="E382" s="119">
        <f t="shared" si="21"/>
        <v>17</v>
      </c>
    </row>
    <row r="383" spans="1:5">
      <c r="A383" s="119" t="str">
        <f>'Aggregated Table'!$A$375</f>
        <v>O&amp;R</v>
      </c>
      <c r="B383" s="119" t="str">
        <f>'Aggregated Table'!B393</f>
        <v>Harriman</v>
      </c>
      <c r="C383" s="119">
        <f>'Aggregated Table'!C393</f>
        <v>16</v>
      </c>
      <c r="D383" s="119">
        <f>'Aggregated Table'!D393</f>
        <v>1.8533204143941524</v>
      </c>
      <c r="E383" s="119">
        <f t="shared" si="21"/>
        <v>18</v>
      </c>
    </row>
    <row r="384" spans="1:5">
      <c r="A384" s="119" t="str">
        <f>'Aggregated Table'!$A$375</f>
        <v>O&amp;R</v>
      </c>
      <c r="B384" s="119" t="str">
        <f>'Aggregated Table'!B394</f>
        <v>Harriman-34.5KV</v>
      </c>
      <c r="C384" s="119">
        <f>'Aggregated Table'!C394</f>
        <v>16</v>
      </c>
      <c r="D384" s="119">
        <f>'Aggregated Table'!D394</f>
        <v>1.8533204143941524</v>
      </c>
      <c r="E384" s="119">
        <f t="shared" si="21"/>
        <v>19</v>
      </c>
    </row>
    <row r="385" spans="1:5">
      <c r="A385" s="119" t="str">
        <f>'Aggregated Table'!$A$375</f>
        <v>O&amp;R</v>
      </c>
      <c r="B385" s="119" t="str">
        <f>'Aggregated Table'!B395</f>
        <v>Hartley Road</v>
      </c>
      <c r="C385" s="119">
        <f>'Aggregated Table'!C395</f>
        <v>16</v>
      </c>
      <c r="D385" s="119">
        <f>'Aggregated Table'!D395</f>
        <v>1.8533204143941524</v>
      </c>
      <c r="E385" s="119">
        <f t="shared" si="21"/>
        <v>20</v>
      </c>
    </row>
    <row r="386" spans="1:5">
      <c r="A386" s="119" t="str">
        <f>'Aggregated Table'!$A$375</f>
        <v>O&amp;R</v>
      </c>
      <c r="B386" s="119" t="str">
        <f>'Aggregated Table'!B396</f>
        <v>Highland Falls (SubArea)</v>
      </c>
      <c r="C386" s="119">
        <f>'Aggregated Table'!C396</f>
        <v>16</v>
      </c>
      <c r="D386" s="119">
        <f>'Aggregated Table'!D396</f>
        <v>1.8533204143941524</v>
      </c>
      <c r="E386" s="119">
        <f t="shared" si="21"/>
        <v>21</v>
      </c>
    </row>
    <row r="387" spans="1:5">
      <c r="A387" s="119" t="str">
        <f>'Aggregated Table'!$A$375</f>
        <v>O&amp;R</v>
      </c>
      <c r="B387" s="119" t="str">
        <f>'Aggregated Table'!B397</f>
        <v>Hillburn</v>
      </c>
      <c r="C387" s="119">
        <f>'Aggregated Table'!C397</f>
        <v>16</v>
      </c>
      <c r="D387" s="119">
        <f>'Aggregated Table'!D397</f>
        <v>1.8533204143941524</v>
      </c>
      <c r="E387" s="119">
        <f t="shared" si="21"/>
        <v>22</v>
      </c>
    </row>
    <row r="388" spans="1:5">
      <c r="A388" s="119" t="str">
        <f>'Aggregated Table'!$A$375</f>
        <v>O&amp;R</v>
      </c>
      <c r="B388" s="119" t="str">
        <f>'Aggregated Table'!B398</f>
        <v>Hunt</v>
      </c>
      <c r="C388" s="119">
        <f>'Aggregated Table'!C398</f>
        <v>16</v>
      </c>
      <c r="D388" s="119">
        <f>'Aggregated Table'!D398</f>
        <v>1.8533204143941524</v>
      </c>
      <c r="E388" s="119">
        <f t="shared" ref="E388:E451" si="22">E387+1</f>
        <v>23</v>
      </c>
    </row>
    <row r="389" spans="1:5">
      <c r="A389" s="119" t="str">
        <f>'Aggregated Table'!$A$375</f>
        <v>O&amp;R</v>
      </c>
      <c r="B389" s="119" t="str">
        <f>'Aggregated Table'!B399</f>
        <v>Lake Road</v>
      </c>
      <c r="C389" s="119">
        <f>'Aggregated Table'!C399</f>
        <v>16</v>
      </c>
      <c r="D389" s="119">
        <f>'Aggregated Table'!D399</f>
        <v>1.8533204143941524</v>
      </c>
      <c r="E389" s="119">
        <f t="shared" si="22"/>
        <v>24</v>
      </c>
    </row>
    <row r="390" spans="1:5">
      <c r="A390" s="119" t="str">
        <f>'Aggregated Table'!$A$375</f>
        <v>O&amp;R</v>
      </c>
      <c r="B390" s="119" t="str">
        <f>'Aggregated Table'!B400</f>
        <v>Lederle</v>
      </c>
      <c r="C390" s="119">
        <f>'Aggregated Table'!C400</f>
        <v>16</v>
      </c>
      <c r="D390" s="119">
        <f>'Aggregated Table'!D400</f>
        <v>1.8533204143941524</v>
      </c>
      <c r="E390" s="119">
        <f t="shared" si="22"/>
        <v>25</v>
      </c>
    </row>
    <row r="391" spans="1:5">
      <c r="A391" s="119" t="str">
        <f>'Aggregated Table'!$A$375</f>
        <v>O&amp;R</v>
      </c>
      <c r="B391" s="119" t="str">
        <f>'Aggregated Table'!B401</f>
        <v>Little Tor</v>
      </c>
      <c r="C391" s="119">
        <f>'Aggregated Table'!C401</f>
        <v>122.39999999999999</v>
      </c>
      <c r="D391" s="119">
        <f>'Aggregated Table'!D401</f>
        <v>11.936103566535374</v>
      </c>
      <c r="E391" s="119">
        <f t="shared" si="22"/>
        <v>26</v>
      </c>
    </row>
    <row r="392" spans="1:5">
      <c r="A392" s="119" t="str">
        <f>'Aggregated Table'!$A$375</f>
        <v>O&amp;R</v>
      </c>
      <c r="B392" s="119" t="str">
        <f>'Aggregated Table'!B402</f>
        <v>Mongaup</v>
      </c>
      <c r="C392" s="119">
        <f>'Aggregated Table'!C402</f>
        <v>18.109000000000002</v>
      </c>
      <c r="D392" s="119">
        <f>'Aggregated Table'!D402</f>
        <v>90.969622243516753</v>
      </c>
      <c r="E392" s="119">
        <f t="shared" si="22"/>
        <v>27</v>
      </c>
    </row>
    <row r="393" spans="1:5">
      <c r="A393" s="119" t="str">
        <f>'Aggregated Table'!$A$375</f>
        <v>O&amp;R</v>
      </c>
      <c r="B393" s="119" t="str">
        <f>'Aggregated Table'!B403</f>
        <v>Monroe</v>
      </c>
      <c r="C393" s="119">
        <f>'Aggregated Table'!C403</f>
        <v>16</v>
      </c>
      <c r="D393" s="119">
        <f>'Aggregated Table'!D403</f>
        <v>1.8533204143941524</v>
      </c>
      <c r="E393" s="119">
        <f t="shared" si="22"/>
        <v>28</v>
      </c>
    </row>
    <row r="394" spans="1:5">
      <c r="A394" s="119" t="str">
        <f>'Aggregated Table'!$A$375</f>
        <v>O&amp;R</v>
      </c>
      <c r="B394" s="119" t="str">
        <f>'Aggregated Table'!B404</f>
        <v>Monsey</v>
      </c>
      <c r="C394" s="119">
        <f>'Aggregated Table'!C404</f>
        <v>16</v>
      </c>
      <c r="D394" s="119">
        <f>'Aggregated Table'!D404</f>
        <v>1.8533204143941524</v>
      </c>
      <c r="E394" s="119">
        <f t="shared" si="22"/>
        <v>29</v>
      </c>
    </row>
    <row r="395" spans="1:5">
      <c r="A395" s="119" t="str">
        <f>'Aggregated Table'!$A$375</f>
        <v>O&amp;R</v>
      </c>
      <c r="B395" s="119" t="str">
        <f>'Aggregated Table'!B405</f>
        <v>Nanuet</v>
      </c>
      <c r="C395" s="119">
        <f>'Aggregated Table'!C405</f>
        <v>16</v>
      </c>
      <c r="D395" s="119">
        <f>'Aggregated Table'!D405</f>
        <v>1.8533204143941524</v>
      </c>
      <c r="E395" s="119">
        <f t="shared" si="22"/>
        <v>30</v>
      </c>
    </row>
    <row r="396" spans="1:5">
      <c r="A396" s="119" t="str">
        <f>'Aggregated Table'!$A$375</f>
        <v>O&amp;R</v>
      </c>
      <c r="B396" s="119" t="str">
        <f>'Aggregated Table'!B406</f>
        <v>New Hempstead</v>
      </c>
      <c r="C396" s="119">
        <f>'Aggregated Table'!C406</f>
        <v>105.3</v>
      </c>
      <c r="D396" s="119">
        <f>'Aggregated Table'!D406</f>
        <v>7.5583615276430054</v>
      </c>
      <c r="E396" s="119">
        <f t="shared" si="22"/>
        <v>31</v>
      </c>
    </row>
    <row r="397" spans="1:5">
      <c r="A397" s="119" t="str">
        <f>'Aggregated Table'!$A$375</f>
        <v>O&amp;R</v>
      </c>
      <c r="B397" s="119" t="str">
        <f>'Aggregated Table'!B407</f>
        <v>Oak St.</v>
      </c>
      <c r="C397" s="119">
        <f>'Aggregated Table'!C407</f>
        <v>95.8</v>
      </c>
      <c r="D397" s="119">
        <f>'Aggregated Table'!D407</f>
        <v>18.309792022590418</v>
      </c>
      <c r="E397" s="119">
        <f t="shared" si="22"/>
        <v>32</v>
      </c>
    </row>
    <row r="398" spans="1:5">
      <c r="A398" s="119" t="str">
        <f>'Aggregated Table'!$A$375</f>
        <v>O&amp;R</v>
      </c>
      <c r="B398" s="119" t="str">
        <f>'Aggregated Table'!B408</f>
        <v>Orangeburg</v>
      </c>
      <c r="C398" s="119">
        <f>'Aggregated Table'!C408</f>
        <v>16</v>
      </c>
      <c r="D398" s="119">
        <f>'Aggregated Table'!D408</f>
        <v>1.8533204143941524</v>
      </c>
      <c r="E398" s="119">
        <f t="shared" si="22"/>
        <v>33</v>
      </c>
    </row>
    <row r="399" spans="1:5">
      <c r="A399" s="119" t="str">
        <f>'Aggregated Table'!$A$375</f>
        <v>O&amp;R</v>
      </c>
      <c r="B399" s="119" t="str">
        <f>'Aggregated Table'!B409</f>
        <v>Otisville (SubArea)</v>
      </c>
      <c r="C399" s="119">
        <f>'Aggregated Table'!C409</f>
        <v>18.109000000000002</v>
      </c>
      <c r="D399" s="119">
        <f>'Aggregated Table'!D409</f>
        <v>48.614722029622143</v>
      </c>
      <c r="E399" s="119">
        <f t="shared" si="22"/>
        <v>34</v>
      </c>
    </row>
    <row r="400" spans="1:5">
      <c r="A400" s="119" t="str">
        <f>'Aggregated Table'!$A$375</f>
        <v>O&amp;R</v>
      </c>
      <c r="B400" s="119" t="str">
        <f>'Aggregated Table'!B410</f>
        <v>Port Jervis</v>
      </c>
      <c r="C400" s="119">
        <f>'Aggregated Table'!C410</f>
        <v>18.109000000000002</v>
      </c>
      <c r="D400" s="119">
        <f>'Aggregated Table'!D410</f>
        <v>13.618338438743271</v>
      </c>
      <c r="E400" s="119">
        <f t="shared" si="22"/>
        <v>35</v>
      </c>
    </row>
    <row r="401" spans="1:5">
      <c r="A401" s="119" t="str">
        <f>'Aggregated Table'!$A$375</f>
        <v>O&amp;R</v>
      </c>
      <c r="B401" s="119" t="str">
        <f>'Aggregated Table'!B411</f>
        <v>Rio-34.5KV</v>
      </c>
      <c r="C401" s="119">
        <f>'Aggregated Table'!C411</f>
        <v>16</v>
      </c>
      <c r="D401" s="119">
        <f>'Aggregated Table'!D411</f>
        <v>1.8533204143941524</v>
      </c>
      <c r="E401" s="119">
        <f t="shared" si="22"/>
        <v>36</v>
      </c>
    </row>
    <row r="402" spans="1:5">
      <c r="A402" s="119" t="str">
        <f>'Aggregated Table'!$A$375</f>
        <v>O&amp;R</v>
      </c>
      <c r="B402" s="119" t="str">
        <f>'Aggregated Table'!B412</f>
        <v>Rockland Sewer</v>
      </c>
      <c r="C402" s="119">
        <f>'Aggregated Table'!C412</f>
        <v>16</v>
      </c>
      <c r="D402" s="119">
        <f>'Aggregated Table'!D412</f>
        <v>1.8533204143941524</v>
      </c>
      <c r="E402" s="119">
        <f t="shared" si="22"/>
        <v>37</v>
      </c>
    </row>
    <row r="403" spans="1:5">
      <c r="A403" s="119" t="str">
        <f>'Aggregated Table'!$A$375</f>
        <v>O&amp;R</v>
      </c>
      <c r="B403" s="119" t="str">
        <f>'Aggregated Table'!B413</f>
        <v>Shoemaker</v>
      </c>
      <c r="C403" s="119">
        <f>'Aggregated Table'!C413</f>
        <v>16</v>
      </c>
      <c r="D403" s="119">
        <f>'Aggregated Table'!D413</f>
        <v>1.8533204143941524</v>
      </c>
      <c r="E403" s="119">
        <f t="shared" si="22"/>
        <v>38</v>
      </c>
    </row>
    <row r="404" spans="1:5">
      <c r="A404" s="119" t="str">
        <f>'Aggregated Table'!$A$375</f>
        <v>O&amp;R</v>
      </c>
      <c r="B404" s="119" t="str">
        <f>'Aggregated Table'!B414</f>
        <v>Shoemaker-34.5KV</v>
      </c>
      <c r="C404" s="119">
        <f>'Aggregated Table'!C414</f>
        <v>16</v>
      </c>
      <c r="D404" s="119">
        <f>'Aggregated Table'!D414</f>
        <v>1.8533204143941524</v>
      </c>
      <c r="E404" s="119">
        <f t="shared" si="22"/>
        <v>39</v>
      </c>
    </row>
    <row r="405" spans="1:5">
      <c r="A405" s="119" t="str">
        <f>'Aggregated Table'!$A$375</f>
        <v>O&amp;R</v>
      </c>
      <c r="B405" s="119" t="str">
        <f>'Aggregated Table'!B415</f>
        <v>Silver Lake</v>
      </c>
      <c r="C405" s="119">
        <f>'Aggregated Table'!C415</f>
        <v>16</v>
      </c>
      <c r="D405" s="119">
        <f>'Aggregated Table'!D415</f>
        <v>1.8533204143941524</v>
      </c>
      <c r="E405" s="119">
        <f t="shared" si="22"/>
        <v>40</v>
      </c>
    </row>
    <row r="406" spans="1:5">
      <c r="A406" s="119" t="str">
        <f>'Aggregated Table'!$A$375</f>
        <v>O&amp;R</v>
      </c>
      <c r="B406" s="119" t="str">
        <f>'Aggregated Table'!B416</f>
        <v>Sloatsburg</v>
      </c>
      <c r="C406" s="119">
        <f>'Aggregated Table'!C416</f>
        <v>98.649999999999991</v>
      </c>
      <c r="D406" s="119">
        <f>'Aggregated Table'!D416</f>
        <v>24.477482972474181</v>
      </c>
      <c r="E406" s="119">
        <f t="shared" si="22"/>
        <v>41</v>
      </c>
    </row>
    <row r="407" spans="1:5">
      <c r="A407" s="119" t="str">
        <f>'Aggregated Table'!$A$375</f>
        <v>O&amp;R</v>
      </c>
      <c r="B407" s="119" t="str">
        <f>'Aggregated Table'!B417</f>
        <v>Snake Hill</v>
      </c>
      <c r="C407" s="119">
        <f>'Aggregated Table'!C417</f>
        <v>16</v>
      </c>
      <c r="D407" s="119">
        <f>'Aggregated Table'!D417</f>
        <v>1.8533204143941524</v>
      </c>
      <c r="E407" s="119">
        <f t="shared" si="22"/>
        <v>42</v>
      </c>
    </row>
    <row r="408" spans="1:5">
      <c r="A408" s="119" t="str">
        <f>'Aggregated Table'!$A$375</f>
        <v>O&amp;R</v>
      </c>
      <c r="B408" s="119" t="str">
        <f>'Aggregated Table'!B418</f>
        <v>South Goshen</v>
      </c>
      <c r="C408" s="119">
        <f>'Aggregated Table'!C418</f>
        <v>103.39999999999999</v>
      </c>
      <c r="D408" s="119">
        <f>'Aggregated Table'!D418</f>
        <v>44.106659690236022</v>
      </c>
      <c r="E408" s="119">
        <f t="shared" si="22"/>
        <v>43</v>
      </c>
    </row>
    <row r="409" spans="1:5">
      <c r="A409" s="119" t="str">
        <f>'Aggregated Table'!$A$375</f>
        <v>O&amp;R</v>
      </c>
      <c r="B409" s="119" t="str">
        <f>'Aggregated Table'!B419</f>
        <v>South Goshen 34.5KV</v>
      </c>
      <c r="C409" s="119">
        <f>'Aggregated Table'!C419</f>
        <v>16</v>
      </c>
      <c r="D409" s="119">
        <f>'Aggregated Table'!D419</f>
        <v>1.8533204143941524</v>
      </c>
      <c r="E409" s="119">
        <f t="shared" si="22"/>
        <v>44</v>
      </c>
    </row>
    <row r="410" spans="1:5">
      <c r="A410" s="119" t="str">
        <f>'Aggregated Table'!$A$375</f>
        <v>O&amp;R</v>
      </c>
      <c r="B410" s="119" t="str">
        <f>'Aggregated Table'!B420</f>
        <v>Sparkill</v>
      </c>
      <c r="C410" s="119">
        <f>'Aggregated Table'!C420</f>
        <v>16</v>
      </c>
      <c r="D410" s="119">
        <f>'Aggregated Table'!D420</f>
        <v>1.8533204143941524</v>
      </c>
      <c r="E410" s="119">
        <f t="shared" si="22"/>
        <v>45</v>
      </c>
    </row>
    <row r="411" spans="1:5">
      <c r="A411" s="119" t="str">
        <f>'Aggregated Table'!$A$375</f>
        <v>O&amp;R</v>
      </c>
      <c r="B411" s="119" t="str">
        <f>'Aggregated Table'!B421</f>
        <v>State School</v>
      </c>
      <c r="C411" s="119">
        <f>'Aggregated Table'!C421</f>
        <v>16</v>
      </c>
      <c r="D411" s="119">
        <f>'Aggregated Table'!D421</f>
        <v>1.8533204143941524</v>
      </c>
      <c r="E411" s="119">
        <f t="shared" si="22"/>
        <v>46</v>
      </c>
    </row>
    <row r="412" spans="1:5">
      <c r="A412" s="119" t="str">
        <f>'Aggregated Table'!$A$375</f>
        <v>O&amp;R</v>
      </c>
      <c r="B412" s="119" t="str">
        <f>'Aggregated Table'!B422</f>
        <v>Sterling Forest</v>
      </c>
      <c r="C412" s="119">
        <f>'Aggregated Table'!C422</f>
        <v>25.518999999999998</v>
      </c>
      <c r="D412" s="119">
        <f>'Aggregated Table'!D422</f>
        <v>23.985663449536517</v>
      </c>
      <c r="E412" s="119">
        <f t="shared" si="22"/>
        <v>47</v>
      </c>
    </row>
    <row r="413" spans="1:5">
      <c r="A413" s="119" t="str">
        <f>'Aggregated Table'!$A$375</f>
        <v>O&amp;R</v>
      </c>
      <c r="B413" s="119" t="str">
        <f>'Aggregated Table'!B423</f>
        <v>Stony Point</v>
      </c>
      <c r="C413" s="119">
        <f>'Aggregated Table'!C423</f>
        <v>21.623999999999999</v>
      </c>
      <c r="D413" s="119">
        <f>'Aggregated Table'!D423</f>
        <v>22.293129888049641</v>
      </c>
      <c r="E413" s="119">
        <f t="shared" si="22"/>
        <v>48</v>
      </c>
    </row>
    <row r="414" spans="1:5">
      <c r="A414" s="119" t="str">
        <f>'Aggregated Table'!$A$375</f>
        <v>O&amp;R</v>
      </c>
      <c r="B414" s="119" t="str">
        <f>'Aggregated Table'!B424</f>
        <v>Summitville (SubArea)</v>
      </c>
      <c r="C414" s="119">
        <f>'Aggregated Table'!C424</f>
        <v>18.109000000000002</v>
      </c>
      <c r="D414" s="119">
        <f>'Aggregated Table'!D424</f>
        <v>29.012307056215924</v>
      </c>
      <c r="E414" s="119">
        <f t="shared" si="22"/>
        <v>49</v>
      </c>
    </row>
    <row r="415" spans="1:5">
      <c r="A415" s="119" t="str">
        <f>'Aggregated Table'!$A$375</f>
        <v>O&amp;R</v>
      </c>
      <c r="B415" s="119" t="str">
        <f>'Aggregated Table'!B425</f>
        <v>Swinging Bridge</v>
      </c>
      <c r="C415" s="119">
        <f>'Aggregated Table'!C425</f>
        <v>16</v>
      </c>
      <c r="D415" s="119">
        <f>'Aggregated Table'!D425</f>
        <v>1.8533204143941524</v>
      </c>
      <c r="E415" s="119">
        <f t="shared" si="22"/>
        <v>50</v>
      </c>
    </row>
    <row r="416" spans="1:5">
      <c r="A416" s="119" t="str">
        <f>'Aggregated Table'!$A$375</f>
        <v>O&amp;R</v>
      </c>
      <c r="B416" s="119" t="str">
        <f>'Aggregated Table'!B426</f>
        <v>Tallman</v>
      </c>
      <c r="C416" s="119">
        <f>'Aggregated Table'!C426</f>
        <v>19.515000000000001</v>
      </c>
      <c r="D416" s="119">
        <f>'Aggregated Table'!D426</f>
        <v>24.649503701817789</v>
      </c>
      <c r="E416" s="119">
        <f t="shared" si="22"/>
        <v>51</v>
      </c>
    </row>
    <row r="417" spans="1:5">
      <c r="A417" s="119" t="str">
        <f>'Aggregated Table'!$A$375</f>
        <v>O&amp;R</v>
      </c>
      <c r="B417" s="119" t="str">
        <f>'Aggregated Table'!B427</f>
        <v>Washington Heights</v>
      </c>
      <c r="C417" s="119">
        <f>'Aggregated Table'!C427</f>
        <v>16</v>
      </c>
      <c r="D417" s="119">
        <f>'Aggregated Table'!D427</f>
        <v>1.8533204143941524</v>
      </c>
      <c r="E417" s="119">
        <f t="shared" si="22"/>
        <v>52</v>
      </c>
    </row>
    <row r="418" spans="1:5">
      <c r="A418" s="119" t="str">
        <f>'Aggregated Table'!$A$375</f>
        <v>O&amp;R</v>
      </c>
      <c r="B418" s="119" t="str">
        <f>'Aggregated Table'!B428</f>
        <v>Washington Heights 34.5KV</v>
      </c>
      <c r="C418" s="119">
        <f>'Aggregated Table'!C428</f>
        <v>16</v>
      </c>
      <c r="D418" s="119">
        <f>'Aggregated Table'!D428</f>
        <v>1.8533204143941524</v>
      </c>
      <c r="E418" s="119">
        <f t="shared" si="22"/>
        <v>53</v>
      </c>
    </row>
    <row r="419" spans="1:5">
      <c r="A419" s="119" t="str">
        <f>'Aggregated Table'!$A$375</f>
        <v>O&amp;R</v>
      </c>
      <c r="B419" s="119" t="str">
        <f>'Aggregated Table'!B429</f>
        <v>West Haverstraw</v>
      </c>
      <c r="C419" s="119">
        <f>'Aggregated Table'!C429</f>
        <v>16</v>
      </c>
      <c r="D419" s="119">
        <f>'Aggregated Table'!D429</f>
        <v>1.8533204143941524</v>
      </c>
      <c r="E419" s="119">
        <f t="shared" si="22"/>
        <v>54</v>
      </c>
    </row>
    <row r="420" spans="1:5">
      <c r="A420" s="119" t="str">
        <f>'Aggregated Table'!$A$375</f>
        <v>O&amp;R</v>
      </c>
      <c r="B420" s="119" t="str">
        <f>'Aggregated Table'!B430</f>
        <v>West Nyack</v>
      </c>
      <c r="C420" s="119">
        <f>'Aggregated Table'!C430</f>
        <v>293.39999999999998</v>
      </c>
      <c r="D420" s="119">
        <f>'Aggregated Table'!D430</f>
        <v>24.471553663245658</v>
      </c>
      <c r="E420" s="119">
        <f t="shared" si="22"/>
        <v>55</v>
      </c>
    </row>
    <row r="421" spans="1:5">
      <c r="A421" s="119" t="str">
        <f>'Aggregated Table'!$A$375</f>
        <v>O&amp;R</v>
      </c>
      <c r="B421" s="119" t="str">
        <f>'Aggregated Table'!B431</f>
        <v>Westtown</v>
      </c>
      <c r="C421" s="119">
        <f>'Aggregated Table'!C431</f>
        <v>16</v>
      </c>
      <c r="D421" s="119">
        <f>'Aggregated Table'!D431</f>
        <v>1.8533204143941524</v>
      </c>
      <c r="E421" s="119">
        <f t="shared" si="22"/>
        <v>56</v>
      </c>
    </row>
    <row r="422" spans="1:5">
      <c r="A422" s="119" t="str">
        <f>'Aggregated Table'!$A$375</f>
        <v>O&amp;R</v>
      </c>
      <c r="B422" s="119" t="str">
        <f>'Aggregated Table'!B432</f>
        <v>Wisner</v>
      </c>
      <c r="C422" s="119">
        <f>'Aggregated Table'!C432</f>
        <v>16</v>
      </c>
      <c r="D422" s="119">
        <f>'Aggregated Table'!D432</f>
        <v>1.8533204143941524</v>
      </c>
      <c r="E422" s="119">
        <f t="shared" si="22"/>
        <v>57</v>
      </c>
    </row>
    <row r="423" spans="1:5">
      <c r="A423" s="119" t="str">
        <f>'Aggregated Table'!$A$375</f>
        <v>O&amp;R</v>
      </c>
      <c r="B423" s="119" t="str">
        <f>'Aggregated Table'!B433</f>
        <v>Wurstboro (SubArea)</v>
      </c>
      <c r="C423" s="119">
        <f>'Aggregated Table'!C433</f>
        <v>18.4605</v>
      </c>
      <c r="D423" s="119">
        <f>'Aggregated Table'!D433</f>
        <v>136.2434405896735</v>
      </c>
      <c r="E423" s="119">
        <f t="shared" si="22"/>
        <v>58</v>
      </c>
    </row>
    <row r="424" spans="1:5">
      <c r="A424" s="119" t="str">
        <f>'Aggregated Table'!$A$375</f>
        <v>O&amp;R</v>
      </c>
      <c r="B424" s="119" t="str">
        <f>'Aggregated Table'!B434</f>
        <v>Viola Road</v>
      </c>
      <c r="C424" s="119">
        <f>'Aggregated Table'!C434</f>
        <v>175.6</v>
      </c>
      <c r="D424" s="119">
        <f>'Aggregated Table'!D434</f>
        <v>72.246788918458265</v>
      </c>
      <c r="E424" s="119">
        <f t="shared" si="22"/>
        <v>59</v>
      </c>
    </row>
    <row r="425" spans="1:5">
      <c r="A425" s="119" t="str">
        <f>'Aggregated Table'!$A$435</f>
        <v>RGE</v>
      </c>
      <c r="B425" s="119">
        <f>'Aggregated Table'!B436</f>
        <v>154</v>
      </c>
      <c r="C425" s="119">
        <f>'Aggregated Table'!C436</f>
        <v>109.66499999999999</v>
      </c>
      <c r="D425" s="119">
        <f>'Aggregated Table'!D436</f>
        <v>92.096067860683917</v>
      </c>
      <c r="E425" s="119">
        <v>1</v>
      </c>
    </row>
    <row r="426" spans="1:5">
      <c r="A426" s="119" t="str">
        <f>'Aggregated Table'!$A$435</f>
        <v>RGE</v>
      </c>
      <c r="B426" s="119">
        <f>'Aggregated Table'!B437</f>
        <v>127</v>
      </c>
      <c r="C426" s="119">
        <f>'Aggregated Table'!C437</f>
        <v>50.760000000000005</v>
      </c>
      <c r="D426" s="119">
        <f>'Aggregated Table'!D437</f>
        <v>77.156213688562687</v>
      </c>
      <c r="E426" s="119">
        <f t="shared" si="22"/>
        <v>2</v>
      </c>
    </row>
    <row r="427" spans="1:5">
      <c r="A427" s="119" t="str">
        <f>'Aggregated Table'!$A$435</f>
        <v>RGE</v>
      </c>
      <c r="B427" s="119">
        <f>'Aggregated Table'!B438</f>
        <v>122</v>
      </c>
      <c r="C427" s="119">
        <f>'Aggregated Table'!C438</f>
        <v>66.599999999999994</v>
      </c>
      <c r="D427" s="119">
        <f>'Aggregated Table'!D438</f>
        <v>59.621036964770298</v>
      </c>
      <c r="E427" s="119">
        <f t="shared" si="22"/>
        <v>3</v>
      </c>
    </row>
    <row r="428" spans="1:5">
      <c r="A428" s="119" t="str">
        <f>'Aggregated Table'!$A$435</f>
        <v>RGE</v>
      </c>
      <c r="B428" s="119">
        <f>'Aggregated Table'!B439</f>
        <v>156</v>
      </c>
      <c r="C428" s="119">
        <f>'Aggregated Table'!C439</f>
        <v>20.25</v>
      </c>
      <c r="D428" s="119">
        <f>'Aggregated Table'!D439</f>
        <v>10.214617376953118</v>
      </c>
      <c r="E428" s="119">
        <f t="shared" si="22"/>
        <v>4</v>
      </c>
    </row>
    <row r="429" spans="1:5">
      <c r="A429" s="119" t="str">
        <f>'Aggregated Table'!$A$435</f>
        <v>RGE</v>
      </c>
      <c r="B429" s="119">
        <f>'Aggregated Table'!B440</f>
        <v>45</v>
      </c>
      <c r="C429" s="119">
        <f>'Aggregated Table'!C440</f>
        <v>46.800000000000004</v>
      </c>
      <c r="D429" s="119">
        <f>'Aggregated Table'!D440</f>
        <v>135.62805784581735</v>
      </c>
      <c r="E429" s="119">
        <f t="shared" si="22"/>
        <v>5</v>
      </c>
    </row>
    <row r="430" spans="1:5">
      <c r="A430" s="119" t="str">
        <f>'Aggregated Table'!$A$435</f>
        <v>RGE</v>
      </c>
      <c r="B430" s="119">
        <f>'Aggregated Table'!B441</f>
        <v>16</v>
      </c>
      <c r="C430" s="119">
        <f>'Aggregated Table'!C441</f>
        <v>20.772000000000002</v>
      </c>
      <c r="D430" s="119">
        <f>'Aggregated Table'!D441</f>
        <v>171.77955856129279</v>
      </c>
      <c r="E430" s="119">
        <f t="shared" si="22"/>
        <v>6</v>
      </c>
    </row>
    <row r="431" spans="1:5">
      <c r="A431" s="119" t="str">
        <f>'Aggregated Table'!$A$435</f>
        <v>RGE</v>
      </c>
      <c r="B431" s="119">
        <f>'Aggregated Table'!B442</f>
        <v>424</v>
      </c>
      <c r="C431" s="119">
        <f>'Aggregated Table'!C442</f>
        <v>24.390000000000004</v>
      </c>
      <c r="D431" s="119">
        <f>'Aggregated Table'!D442</f>
        <v>74.830073688537325</v>
      </c>
      <c r="E431" s="119">
        <f t="shared" si="22"/>
        <v>7</v>
      </c>
    </row>
    <row r="432" spans="1:5">
      <c r="A432" s="119" t="str">
        <f>'Aggregated Table'!$A$435</f>
        <v>RGE</v>
      </c>
      <c r="B432" s="119">
        <f>'Aggregated Table'!B443</f>
        <v>89</v>
      </c>
      <c r="C432" s="119">
        <f>'Aggregated Table'!C443</f>
        <v>90.9</v>
      </c>
      <c r="D432" s="119">
        <f>'Aggregated Table'!D443</f>
        <v>131.02232411406402</v>
      </c>
      <c r="E432" s="119">
        <f t="shared" si="22"/>
        <v>8</v>
      </c>
    </row>
    <row r="433" spans="1:5">
      <c r="A433" s="119" t="str">
        <f>'Aggregated Table'!$A$435</f>
        <v>RGE</v>
      </c>
      <c r="B433" s="119">
        <f>'Aggregated Table'!B444</f>
        <v>255</v>
      </c>
      <c r="C433" s="119">
        <f>'Aggregated Table'!C444</f>
        <v>152.10000000000002</v>
      </c>
      <c r="D433" s="119">
        <f>'Aggregated Table'!D444</f>
        <v>67.750215705099507</v>
      </c>
      <c r="E433" s="119">
        <f t="shared" si="22"/>
        <v>9</v>
      </c>
    </row>
    <row r="434" spans="1:5">
      <c r="A434" s="119" t="str">
        <f>'Aggregated Table'!$A$435</f>
        <v>RGE</v>
      </c>
      <c r="B434" s="119">
        <f>'Aggregated Table'!B445</f>
        <v>124</v>
      </c>
      <c r="C434" s="119">
        <f>'Aggregated Table'!C445</f>
        <v>116.28000000000002</v>
      </c>
      <c r="D434" s="119">
        <f>'Aggregated Table'!D445</f>
        <v>66.412346527869559</v>
      </c>
      <c r="E434" s="119">
        <f t="shared" si="22"/>
        <v>10</v>
      </c>
    </row>
    <row r="435" spans="1:5">
      <c r="A435" s="119" t="str">
        <f>'Aggregated Table'!$A$435</f>
        <v>RGE</v>
      </c>
      <c r="B435" s="119">
        <f>'Aggregated Table'!B446</f>
        <v>19</v>
      </c>
      <c r="C435" s="119">
        <f>'Aggregated Table'!C446</f>
        <v>117</v>
      </c>
      <c r="D435" s="119">
        <f>'Aggregated Table'!D446</f>
        <v>87.623652109532884</v>
      </c>
      <c r="E435" s="119">
        <f t="shared" si="22"/>
        <v>11</v>
      </c>
    </row>
    <row r="436" spans="1:5">
      <c r="A436" s="119" t="str">
        <f>'Aggregated Table'!$A$435</f>
        <v>RGE</v>
      </c>
      <c r="B436" s="119">
        <f>'Aggregated Table'!B447</f>
        <v>29</v>
      </c>
      <c r="C436" s="119">
        <f>'Aggregated Table'!C447</f>
        <v>124.2</v>
      </c>
      <c r="D436" s="119">
        <f>'Aggregated Table'!D447</f>
        <v>94.769052360082711</v>
      </c>
      <c r="E436" s="119">
        <f t="shared" si="22"/>
        <v>12</v>
      </c>
    </row>
    <row r="437" spans="1:5">
      <c r="A437" s="119" t="str">
        <f>'Aggregated Table'!$A$435</f>
        <v>RGE</v>
      </c>
      <c r="B437" s="119">
        <f>'Aggregated Table'!B448</f>
        <v>49</v>
      </c>
      <c r="C437" s="119">
        <f>'Aggregated Table'!C448</f>
        <v>120.15</v>
      </c>
      <c r="D437" s="119">
        <f>'Aggregated Table'!D448</f>
        <v>88.075951632312112</v>
      </c>
      <c r="E437" s="119">
        <f t="shared" si="22"/>
        <v>13</v>
      </c>
    </row>
    <row r="438" spans="1:5">
      <c r="A438" s="119" t="str">
        <f>'Aggregated Table'!$A$435</f>
        <v>RGE</v>
      </c>
      <c r="B438" s="119">
        <f>'Aggregated Table'!B449</f>
        <v>81</v>
      </c>
      <c r="C438" s="119">
        <f>'Aggregated Table'!C449</f>
        <v>117</v>
      </c>
      <c r="D438" s="119">
        <f>'Aggregated Table'!D449</f>
        <v>82.642924062635629</v>
      </c>
      <c r="E438" s="119">
        <f t="shared" si="22"/>
        <v>14</v>
      </c>
    </row>
    <row r="439" spans="1:5">
      <c r="A439" s="119" t="str">
        <f>'Aggregated Table'!$A$435</f>
        <v>RGE</v>
      </c>
      <c r="B439" s="119">
        <f>'Aggregated Table'!B450</f>
        <v>103</v>
      </c>
      <c r="C439" s="119">
        <f>'Aggregated Table'!C450</f>
        <v>117</v>
      </c>
      <c r="D439" s="119">
        <f>'Aggregated Table'!D450</f>
        <v>74.391046368158484</v>
      </c>
      <c r="E439" s="119">
        <f t="shared" si="22"/>
        <v>15</v>
      </c>
    </row>
    <row r="440" spans="1:5">
      <c r="A440" s="119" t="str">
        <f>'Aggregated Table'!$A$435</f>
        <v>RGE</v>
      </c>
      <c r="B440" s="119">
        <f>'Aggregated Table'!B451</f>
        <v>23</v>
      </c>
      <c r="C440" s="119">
        <f>'Aggregated Table'!C451</f>
        <v>99</v>
      </c>
      <c r="D440" s="119">
        <f>'Aggregated Table'!D451</f>
        <v>17.736691718548286</v>
      </c>
      <c r="E440" s="119">
        <f t="shared" si="22"/>
        <v>16</v>
      </c>
    </row>
    <row r="441" spans="1:5">
      <c r="A441" s="119" t="str">
        <f>'Aggregated Table'!$A$435</f>
        <v>RGE</v>
      </c>
      <c r="B441" s="119">
        <f>'Aggregated Table'!B452</f>
        <v>55</v>
      </c>
      <c r="C441" s="119">
        <f>'Aggregated Table'!C452</f>
        <v>167.4</v>
      </c>
      <c r="D441" s="119">
        <f>'Aggregated Table'!D452</f>
        <v>68.106915252089991</v>
      </c>
      <c r="E441" s="119">
        <f t="shared" si="22"/>
        <v>17</v>
      </c>
    </row>
    <row r="442" spans="1:5">
      <c r="A442" s="119" t="str">
        <f>'Aggregated Table'!$A$435</f>
        <v>RGE</v>
      </c>
      <c r="B442" s="119">
        <f>'Aggregated Table'!B453</f>
        <v>62</v>
      </c>
      <c r="C442" s="119">
        <f>'Aggregated Table'!C453</f>
        <v>157.13999999999999</v>
      </c>
      <c r="D442" s="119">
        <f>'Aggregated Table'!D453</f>
        <v>62.930861997025694</v>
      </c>
      <c r="E442" s="119">
        <f t="shared" si="22"/>
        <v>18</v>
      </c>
    </row>
    <row r="443" spans="1:5">
      <c r="A443" s="119" t="str">
        <f>'Aggregated Table'!$A$435</f>
        <v>RGE</v>
      </c>
      <c r="B443" s="119">
        <f>'Aggregated Table'!B454</f>
        <v>109</v>
      </c>
      <c r="C443" s="119">
        <f>'Aggregated Table'!C454</f>
        <v>135</v>
      </c>
      <c r="D443" s="119">
        <f>'Aggregated Table'!D454</f>
        <v>57.063882838284904</v>
      </c>
      <c r="E443" s="119">
        <f t="shared" si="22"/>
        <v>19</v>
      </c>
    </row>
    <row r="444" spans="1:5">
      <c r="A444" s="119" t="str">
        <f>'Aggregated Table'!$A$435</f>
        <v>RGE</v>
      </c>
      <c r="B444" s="119">
        <f>'Aggregated Table'!B455</f>
        <v>58</v>
      </c>
      <c r="C444" s="119">
        <f>'Aggregated Table'!C455</f>
        <v>32.760000000000005</v>
      </c>
      <c r="D444" s="119">
        <f>'Aggregated Table'!D455</f>
        <v>84.340470271012379</v>
      </c>
      <c r="E444" s="119">
        <f t="shared" si="22"/>
        <v>20</v>
      </c>
    </row>
    <row r="445" spans="1:5">
      <c r="A445" s="119" t="str">
        <f>'Aggregated Table'!$A$435</f>
        <v>RGE</v>
      </c>
      <c r="B445" s="119">
        <f>'Aggregated Table'!B456</f>
        <v>117</v>
      </c>
      <c r="C445" s="119">
        <f>'Aggregated Table'!C456</f>
        <v>7.2</v>
      </c>
      <c r="D445" s="119">
        <f>'Aggregated Table'!D456</f>
        <v>8.1071738424032294</v>
      </c>
      <c r="E445" s="119">
        <f t="shared" si="22"/>
        <v>21</v>
      </c>
    </row>
    <row r="446" spans="1:5">
      <c r="A446" s="119" t="str">
        <f>'Aggregated Table'!$A$435</f>
        <v>RGE</v>
      </c>
      <c r="B446" s="119">
        <f>'Aggregated Table'!B457</f>
        <v>230</v>
      </c>
      <c r="C446" s="119">
        <f>'Aggregated Table'!C457</f>
        <v>73.53</v>
      </c>
      <c r="D446" s="119">
        <f>'Aggregated Table'!D457</f>
        <v>190.66236919767223</v>
      </c>
      <c r="E446" s="119">
        <f t="shared" si="22"/>
        <v>22</v>
      </c>
    </row>
    <row r="447" spans="1:5">
      <c r="A447" s="119" t="str">
        <f>'Aggregated Table'!$A$435</f>
        <v>RGE</v>
      </c>
      <c r="B447" s="119">
        <f>'Aggregated Table'!B458</f>
        <v>60</v>
      </c>
      <c r="C447" s="119">
        <f>'Aggregated Table'!C458</f>
        <v>12.6</v>
      </c>
      <c r="D447" s="119">
        <f>'Aggregated Table'!D458</f>
        <v>6.3833337514667656</v>
      </c>
      <c r="E447" s="119">
        <f t="shared" si="22"/>
        <v>23</v>
      </c>
    </row>
    <row r="448" spans="1:5">
      <c r="A448" s="119" t="str">
        <f>'Aggregated Table'!$A$435</f>
        <v>RGE</v>
      </c>
      <c r="B448" s="119">
        <f>'Aggregated Table'!B459</f>
        <v>74</v>
      </c>
      <c r="C448" s="119">
        <f>'Aggregated Table'!C459</f>
        <v>18.900000000000002</v>
      </c>
      <c r="D448" s="119">
        <f>'Aggregated Table'!D459</f>
        <v>3.0545920571679694</v>
      </c>
      <c r="E448" s="119">
        <f t="shared" si="22"/>
        <v>24</v>
      </c>
    </row>
    <row r="449" spans="1:5">
      <c r="A449" s="119" t="str">
        <f>'Aggregated Table'!$A$435</f>
        <v>RGE</v>
      </c>
      <c r="B449" s="119">
        <f>'Aggregated Table'!B460</f>
        <v>420</v>
      </c>
      <c r="C449" s="119">
        <f>'Aggregated Table'!C460</f>
        <v>25.2</v>
      </c>
      <c r="D449" s="119">
        <f>'Aggregated Table'!D460</f>
        <v>3.0545920571679694</v>
      </c>
      <c r="E449" s="119">
        <f t="shared" si="22"/>
        <v>25</v>
      </c>
    </row>
    <row r="450" spans="1:5">
      <c r="A450" s="119" t="str">
        <f>'Aggregated Table'!$A$435</f>
        <v>RGE</v>
      </c>
      <c r="B450" s="119">
        <f>'Aggregated Table'!B461</f>
        <v>136</v>
      </c>
      <c r="C450" s="119">
        <f>'Aggregated Table'!C461</f>
        <v>14.4</v>
      </c>
      <c r="D450" s="119">
        <f>'Aggregated Table'!D461</f>
        <v>2.6727680500219742</v>
      </c>
      <c r="E450" s="119">
        <f t="shared" si="22"/>
        <v>26</v>
      </c>
    </row>
    <row r="451" spans="1:5">
      <c r="A451" s="119" t="str">
        <f>'Aggregated Table'!$A$435</f>
        <v>RGE</v>
      </c>
      <c r="B451" s="119">
        <f>'Aggregated Table'!B462</f>
        <v>46</v>
      </c>
      <c r="C451" s="119">
        <f>'Aggregated Table'!C462</f>
        <v>49.5</v>
      </c>
      <c r="D451" s="119">
        <f>'Aggregated Table'!D462</f>
        <v>68.485867761409352</v>
      </c>
      <c r="E451" s="119">
        <f t="shared" si="22"/>
        <v>27</v>
      </c>
    </row>
    <row r="452" spans="1:5">
      <c r="A452" s="119" t="str">
        <f>'Aggregated Table'!$A$435</f>
        <v>RGE</v>
      </c>
      <c r="B452" s="119">
        <f>'Aggregated Table'!B463</f>
        <v>65</v>
      </c>
      <c r="C452" s="119">
        <f>'Aggregated Table'!C463</f>
        <v>192.60000000000002</v>
      </c>
      <c r="D452" s="119">
        <f>'Aggregated Table'!D463</f>
        <v>86.728055976739626</v>
      </c>
      <c r="E452" s="119">
        <f t="shared" ref="E452:E470" si="23">E451+1</f>
        <v>28</v>
      </c>
    </row>
    <row r="453" spans="1:5">
      <c r="A453" s="119" t="str">
        <f>'Aggregated Table'!$A$435</f>
        <v>RGE</v>
      </c>
      <c r="B453" s="119">
        <f>'Aggregated Table'!B464</f>
        <v>69</v>
      </c>
      <c r="C453" s="119">
        <f>'Aggregated Table'!C464</f>
        <v>78.84</v>
      </c>
      <c r="D453" s="119">
        <f>'Aggregated Table'!D464</f>
        <v>19.771158190949997</v>
      </c>
      <c r="E453" s="119">
        <f t="shared" si="23"/>
        <v>29</v>
      </c>
    </row>
    <row r="454" spans="1:5">
      <c r="A454" s="119" t="str">
        <f>'Aggregated Table'!$A$435</f>
        <v>RGE</v>
      </c>
      <c r="B454" s="119">
        <f>'Aggregated Table'!B465</f>
        <v>70</v>
      </c>
      <c r="C454" s="119">
        <f>'Aggregated Table'!C465</f>
        <v>118.8</v>
      </c>
      <c r="D454" s="119">
        <f>'Aggregated Table'!D465</f>
        <v>61.86601049765374</v>
      </c>
      <c r="E454" s="119">
        <f t="shared" si="23"/>
        <v>30</v>
      </c>
    </row>
    <row r="455" spans="1:5">
      <c r="A455" s="119" t="str">
        <f>'Aggregated Table'!$A$435</f>
        <v>RGE</v>
      </c>
      <c r="B455" s="119">
        <f>'Aggregated Table'!B466</f>
        <v>71</v>
      </c>
      <c r="C455" s="119">
        <f>'Aggregated Table'!C466</f>
        <v>63.36</v>
      </c>
      <c r="D455" s="119">
        <f>'Aggregated Table'!D466</f>
        <v>43.588650462003201</v>
      </c>
      <c r="E455" s="119">
        <f t="shared" si="23"/>
        <v>31</v>
      </c>
    </row>
    <row r="456" spans="1:5">
      <c r="A456" s="119" t="str">
        <f>'Aggregated Table'!$A$435</f>
        <v>RGE</v>
      </c>
      <c r="B456" s="119">
        <f>'Aggregated Table'!B467</f>
        <v>93</v>
      </c>
      <c r="C456" s="119">
        <f>'Aggregated Table'!C467</f>
        <v>111.24000000000001</v>
      </c>
      <c r="D456" s="119">
        <f>'Aggregated Table'!D467</f>
        <v>35.799465400690309</v>
      </c>
      <c r="E456" s="119">
        <f t="shared" si="23"/>
        <v>32</v>
      </c>
    </row>
    <row r="457" spans="1:5">
      <c r="A457" s="119" t="str">
        <f>'Aggregated Table'!$A$435</f>
        <v>RGE</v>
      </c>
      <c r="B457" s="119">
        <f>'Aggregated Table'!B468</f>
        <v>112</v>
      </c>
      <c r="C457" s="119">
        <f>'Aggregated Table'!C468</f>
        <v>72.900000000000006</v>
      </c>
      <c r="D457" s="119">
        <f>'Aggregated Table'!D468</f>
        <v>23.292496874190686</v>
      </c>
      <c r="E457" s="119">
        <f t="shared" si="23"/>
        <v>33</v>
      </c>
    </row>
    <row r="458" spans="1:5">
      <c r="A458" s="119" t="str">
        <f>'Aggregated Table'!$A$435</f>
        <v>RGE</v>
      </c>
      <c r="B458" s="119">
        <f>'Aggregated Table'!B469</f>
        <v>126</v>
      </c>
      <c r="C458" s="119">
        <f>'Aggregated Table'!C469</f>
        <v>129.6</v>
      </c>
      <c r="D458" s="119">
        <f>'Aggregated Table'!D469</f>
        <v>78.252008728381696</v>
      </c>
      <c r="E458" s="119">
        <f t="shared" si="23"/>
        <v>34</v>
      </c>
    </row>
    <row r="459" spans="1:5">
      <c r="A459" s="119" t="str">
        <f>'Aggregated Table'!$A$435</f>
        <v>RGE</v>
      </c>
      <c r="B459" s="119">
        <f>'Aggregated Table'!B470</f>
        <v>72</v>
      </c>
      <c r="C459" s="119">
        <f>'Aggregated Table'!C470</f>
        <v>18.900000000000002</v>
      </c>
      <c r="D459" s="119">
        <f>'Aggregated Table'!D470</f>
        <v>14.68129332066586</v>
      </c>
      <c r="E459" s="119">
        <f t="shared" si="23"/>
        <v>35</v>
      </c>
    </row>
    <row r="460" spans="1:5">
      <c r="A460" s="119" t="str">
        <f>'Aggregated Table'!$A$435</f>
        <v>RGE</v>
      </c>
      <c r="B460" s="119">
        <f>'Aggregated Table'!B471</f>
        <v>115</v>
      </c>
      <c r="C460" s="119">
        <f>'Aggregated Table'!C471</f>
        <v>30.6</v>
      </c>
      <c r="D460" s="119">
        <f>'Aggregated Table'!D471</f>
        <v>22.721450486034168</v>
      </c>
      <c r="E460" s="119">
        <f t="shared" si="23"/>
        <v>36</v>
      </c>
    </row>
    <row r="461" spans="1:5">
      <c r="A461" s="119" t="str">
        <f>'Aggregated Table'!$A$435</f>
        <v>RGE</v>
      </c>
      <c r="B461" s="119">
        <f>'Aggregated Table'!B472</f>
        <v>216</v>
      </c>
      <c r="C461" s="119">
        <f>'Aggregated Table'!C472</f>
        <v>54</v>
      </c>
      <c r="D461" s="119">
        <f>'Aggregated Table'!D472</f>
        <v>24.940059569099141</v>
      </c>
      <c r="E461" s="119">
        <f t="shared" si="23"/>
        <v>37</v>
      </c>
    </row>
    <row r="462" spans="1:5">
      <c r="A462" s="119" t="str">
        <f>'Aggregated Table'!$A$435</f>
        <v>RGE</v>
      </c>
      <c r="B462" s="119">
        <f>'Aggregated Table'!B473</f>
        <v>104</v>
      </c>
      <c r="C462" s="119">
        <f>'Aggregated Table'!C473</f>
        <v>16.2</v>
      </c>
      <c r="D462" s="119">
        <f>'Aggregated Table'!D473</f>
        <v>13.732727193945239</v>
      </c>
      <c r="E462" s="119">
        <f t="shared" si="23"/>
        <v>38</v>
      </c>
    </row>
    <row r="463" spans="1:5">
      <c r="A463" s="119" t="str">
        <f>'Aggregated Table'!$A$435</f>
        <v>RGE</v>
      </c>
      <c r="B463" s="119" t="str">
        <f>'Aggregated Table'!B474</f>
        <v>Line 739</v>
      </c>
      <c r="C463" s="119">
        <f>'Aggregated Table'!C474</f>
        <v>6.3</v>
      </c>
      <c r="D463" s="119">
        <f>'Aggregated Table'!D474</f>
        <v>6.8748504503297072</v>
      </c>
      <c r="E463" s="119">
        <f t="shared" si="23"/>
        <v>39</v>
      </c>
    </row>
    <row r="464" spans="1:5">
      <c r="A464" s="119" t="str">
        <f>'Aggregated Table'!$A$435</f>
        <v>RGE</v>
      </c>
      <c r="B464" s="119" t="str">
        <f>'Aggregated Table'!B475</f>
        <v>Line 764</v>
      </c>
      <c r="C464" s="119">
        <f>'Aggregated Table'!C475</f>
        <v>12.6</v>
      </c>
      <c r="D464" s="119">
        <f>'Aggregated Table'!D475</f>
        <v>9.1664672671062775</v>
      </c>
      <c r="E464" s="119">
        <f t="shared" si="23"/>
        <v>40</v>
      </c>
    </row>
    <row r="465" spans="1:5">
      <c r="A465" s="119" t="str">
        <f>'Aggregated Table'!$A$435</f>
        <v>RGE</v>
      </c>
      <c r="B465" s="119">
        <f>'Aggregated Table'!B476</f>
        <v>762</v>
      </c>
      <c r="C465" s="119">
        <f>'Aggregated Table'!C476</f>
        <v>19.8</v>
      </c>
      <c r="D465" s="119">
        <f>'Aggregated Table'!D476</f>
        <v>20.614037227498308</v>
      </c>
      <c r="E465" s="119">
        <f t="shared" si="23"/>
        <v>41</v>
      </c>
    </row>
    <row r="466" spans="1:5">
      <c r="A466" s="119" t="str">
        <f>'Aggregated Table'!$A$435</f>
        <v>RGE</v>
      </c>
      <c r="B466" s="119">
        <f>'Aggregated Table'!B477</f>
        <v>567</v>
      </c>
      <c r="C466" s="119">
        <f>'Aggregated Table'!C477</f>
        <v>19.8</v>
      </c>
      <c r="D466" s="119">
        <f>'Aggregated Table'!D477</f>
        <v>20.178293927418515</v>
      </c>
      <c r="E466" s="119">
        <f t="shared" si="23"/>
        <v>42</v>
      </c>
    </row>
    <row r="467" spans="1:5">
      <c r="A467" s="119" t="str">
        <f>'Aggregated Table'!$A$435</f>
        <v>RGE</v>
      </c>
      <c r="B467" s="119">
        <f>'Aggregated Table'!B478</f>
        <v>769</v>
      </c>
      <c r="C467" s="119">
        <f>'Aggregated Table'!C478</f>
        <v>118.8</v>
      </c>
      <c r="D467" s="119">
        <f>'Aggregated Table'!D478</f>
        <v>25.207497743194917</v>
      </c>
      <c r="E467" s="119">
        <f t="shared" si="23"/>
        <v>43</v>
      </c>
    </row>
    <row r="468" spans="1:5">
      <c r="A468" s="119" t="str">
        <f>'Aggregated Table'!$A$435</f>
        <v>RGE</v>
      </c>
      <c r="B468" s="119">
        <f>'Aggregated Table'!B479</f>
        <v>766</v>
      </c>
      <c r="C468" s="119">
        <f>'Aggregated Table'!C479</f>
        <v>18</v>
      </c>
      <c r="D468" s="119">
        <f>'Aggregated Table'!D479</f>
        <v>25.28208192084729</v>
      </c>
      <c r="E468" s="119">
        <f t="shared" si="23"/>
        <v>44</v>
      </c>
    </row>
    <row r="469" spans="1:5">
      <c r="A469" s="119" t="str">
        <f>'Aggregated Table'!$A$435</f>
        <v>RGE</v>
      </c>
      <c r="B469" s="119">
        <f>'Aggregated Table'!B480</f>
        <v>246</v>
      </c>
      <c r="C469" s="119">
        <f>'Aggregated Table'!C480</f>
        <v>12.6</v>
      </c>
      <c r="D469" s="119">
        <f>'Aggregated Table'!D480</f>
        <v>15.36252779059889</v>
      </c>
      <c r="E469" s="119">
        <f t="shared" si="23"/>
        <v>45</v>
      </c>
    </row>
    <row r="470" spans="1:5">
      <c r="A470" s="119" t="str">
        <f>'Aggregated Table'!$A$435</f>
        <v>RGE</v>
      </c>
      <c r="B470" s="119">
        <f>'Aggregated Table'!B481</f>
        <v>205</v>
      </c>
      <c r="C470" s="119">
        <f>'Aggregated Table'!C481</f>
        <v>15.434999999999999</v>
      </c>
      <c r="D470" s="119">
        <f>'Aggregated Table'!D481</f>
        <v>18.324599273762111</v>
      </c>
      <c r="E470" s="119">
        <f t="shared" si="23"/>
        <v>46</v>
      </c>
    </row>
  </sheetData>
  <pageMargins left="0.7" right="0.7" top="0.75" bottom="0.75" header="0.3" footer="0.3"/>
  <pageSetup scale="38" fitToHeight="4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A9D3A-F190-4F46-9817-2BAB22BE8CFD}">
  <sheetPr>
    <pageSetUpPr fitToPage="1"/>
  </sheetPr>
  <dimension ref="B1:Q170"/>
  <sheetViews>
    <sheetView workbookViewId="0">
      <selection activeCell="B137" sqref="B137"/>
    </sheetView>
  </sheetViews>
  <sheetFormatPr defaultColWidth="9.140625" defaultRowHeight="15"/>
  <cols>
    <col min="1" max="10" width="9.140625" style="155"/>
    <col min="11" max="11" width="15" style="155" customWidth="1"/>
    <col min="12" max="13" width="9.140625" style="155"/>
    <col min="14" max="14" width="9.42578125" style="155" bestFit="1" customWidth="1"/>
    <col min="15" max="15" width="8.85546875" style="155" bestFit="1" customWidth="1"/>
    <col min="16" max="16" width="9.42578125" style="155" bestFit="1" customWidth="1"/>
    <col min="17" max="16384" width="9.140625" style="155"/>
  </cols>
  <sheetData>
    <row r="1" spans="2:17">
      <c r="B1" s="154"/>
    </row>
    <row r="2" spans="2:17">
      <c r="B2" s="155" t="s">
        <v>1605</v>
      </c>
    </row>
    <row r="3" spans="2:17">
      <c r="B3" s="80"/>
    </row>
    <row r="4" spans="2:17">
      <c r="B4" s="155" t="s">
        <v>1626</v>
      </c>
    </row>
    <row r="5" spans="2:17">
      <c r="B5" s="155" t="s">
        <v>837</v>
      </c>
    </row>
    <row r="8" spans="2:17">
      <c r="B8" s="155" t="s">
        <v>828</v>
      </c>
    </row>
    <row r="9" spans="2:17">
      <c r="B9" s="155" t="s">
        <v>921</v>
      </c>
      <c r="Q9" s="101"/>
    </row>
    <row r="10" spans="2:17">
      <c r="B10" s="155" t="s">
        <v>920</v>
      </c>
    </row>
    <row r="12" spans="2:17">
      <c r="B12" s="155" t="s">
        <v>918</v>
      </c>
    </row>
    <row r="13" spans="2:17">
      <c r="B13" s="155" t="s">
        <v>829</v>
      </c>
    </row>
    <row r="14" spans="2:17">
      <c r="B14" s="155" t="s">
        <v>830</v>
      </c>
    </row>
    <row r="15" spans="2:17">
      <c r="B15" s="155" t="s">
        <v>1628</v>
      </c>
    </row>
    <row r="16" spans="2:17">
      <c r="B16" s="155" t="s">
        <v>1629</v>
      </c>
    </row>
    <row r="17" spans="2:2">
      <c r="B17" s="155" t="s">
        <v>919</v>
      </c>
    </row>
    <row r="19" spans="2:2">
      <c r="B19" s="155" t="s">
        <v>1624</v>
      </c>
    </row>
    <row r="20" spans="2:2">
      <c r="B20" s="155" t="s">
        <v>922</v>
      </c>
    </row>
    <row r="22" spans="2:2">
      <c r="B22" s="155" t="s">
        <v>1625</v>
      </c>
    </row>
    <row r="23" spans="2:2">
      <c r="B23" s="155" t="s">
        <v>1606</v>
      </c>
    </row>
    <row r="25" spans="2:2">
      <c r="B25" s="155" t="s">
        <v>831</v>
      </c>
    </row>
    <row r="26" spans="2:2">
      <c r="B26" s="155" t="s">
        <v>832</v>
      </c>
    </row>
    <row r="27" spans="2:2">
      <c r="B27" s="155" t="s">
        <v>833</v>
      </c>
    </row>
    <row r="28" spans="2:2">
      <c r="B28" s="155" t="s">
        <v>834</v>
      </c>
    </row>
    <row r="29" spans="2:2">
      <c r="B29" s="155" t="s">
        <v>1747</v>
      </c>
    </row>
    <row r="32" spans="2:2">
      <c r="B32" s="155" t="s">
        <v>835</v>
      </c>
    </row>
    <row r="34" spans="2:2">
      <c r="B34" s="155" t="s">
        <v>908</v>
      </c>
    </row>
    <row r="35" spans="2:2">
      <c r="B35" s="155" t="s">
        <v>909</v>
      </c>
    </row>
    <row r="36" spans="2:2">
      <c r="B36" s="155" t="s">
        <v>910</v>
      </c>
    </row>
    <row r="37" spans="2:2">
      <c r="B37" s="155" t="s">
        <v>911</v>
      </c>
    </row>
    <row r="38" spans="2:2">
      <c r="B38" s="155" t="s">
        <v>912</v>
      </c>
    </row>
    <row r="39" spans="2:2">
      <c r="B39" s="155" t="s">
        <v>913</v>
      </c>
    </row>
    <row r="42" spans="2:2">
      <c r="B42" s="155" t="s">
        <v>836</v>
      </c>
    </row>
    <row r="45" spans="2:2">
      <c r="B45" s="155" t="s">
        <v>838</v>
      </c>
    </row>
    <row r="46" spans="2:2">
      <c r="B46" s="155" t="s">
        <v>839</v>
      </c>
    </row>
    <row r="47" spans="2:2">
      <c r="B47" s="155" t="s">
        <v>840</v>
      </c>
    </row>
    <row r="50" spans="2:2">
      <c r="B50" s="155" t="s">
        <v>848</v>
      </c>
    </row>
    <row r="51" spans="2:2">
      <c r="B51" s="155" t="s">
        <v>849</v>
      </c>
    </row>
    <row r="52" spans="2:2">
      <c r="B52" s="155" t="s">
        <v>850</v>
      </c>
    </row>
    <row r="53" spans="2:2">
      <c r="B53" s="155" t="s">
        <v>851</v>
      </c>
    </row>
    <row r="54" spans="2:2">
      <c r="B54" s="155" t="s">
        <v>852</v>
      </c>
    </row>
    <row r="55" spans="2:2">
      <c r="B55" s="155" t="s">
        <v>853</v>
      </c>
    </row>
    <row r="59" spans="2:2">
      <c r="B59" s="155" t="s">
        <v>842</v>
      </c>
    </row>
    <row r="60" spans="2:2">
      <c r="B60" s="155" t="s">
        <v>843</v>
      </c>
    </row>
    <row r="61" spans="2:2">
      <c r="B61" s="155" t="s">
        <v>844</v>
      </c>
    </row>
    <row r="62" spans="2:2">
      <c r="B62" s="155" t="s">
        <v>845</v>
      </c>
    </row>
    <row r="63" spans="2:2">
      <c r="B63" s="155" t="s">
        <v>846</v>
      </c>
    </row>
    <row r="64" spans="2:2">
      <c r="B64" s="155" t="s">
        <v>847</v>
      </c>
    </row>
    <row r="69" spans="2:2">
      <c r="B69" s="155" t="s">
        <v>854</v>
      </c>
    </row>
    <row r="70" spans="2:2">
      <c r="B70" s="155" t="s">
        <v>855</v>
      </c>
    </row>
    <row r="71" spans="2:2">
      <c r="B71" s="155" t="s">
        <v>856</v>
      </c>
    </row>
    <row r="72" spans="2:2">
      <c r="B72" s="155" t="s">
        <v>857</v>
      </c>
    </row>
    <row r="74" spans="2:2">
      <c r="B74" s="155" t="s">
        <v>859</v>
      </c>
    </row>
    <row r="75" spans="2:2">
      <c r="B75" s="155" t="s">
        <v>1627</v>
      </c>
    </row>
    <row r="76" spans="2:2">
      <c r="B76" s="155" t="s">
        <v>1630</v>
      </c>
    </row>
    <row r="77" spans="2:2">
      <c r="B77" s="155" t="s">
        <v>1631</v>
      </c>
    </row>
    <row r="78" spans="2:2">
      <c r="B78" s="155" t="s">
        <v>1632</v>
      </c>
    </row>
    <row r="79" spans="2:2">
      <c r="B79" s="155" t="s">
        <v>1633</v>
      </c>
    </row>
    <row r="81" spans="2:2">
      <c r="B81" s="155" t="s">
        <v>858</v>
      </c>
    </row>
    <row r="82" spans="2:2">
      <c r="B82" s="155" t="s">
        <v>1627</v>
      </c>
    </row>
    <row r="83" spans="2:2">
      <c r="B83" s="155" t="s">
        <v>1634</v>
      </c>
    </row>
    <row r="84" spans="2:2">
      <c r="B84" s="155" t="s">
        <v>1635</v>
      </c>
    </row>
    <row r="85" spans="2:2">
      <c r="B85" s="155" t="s">
        <v>1636</v>
      </c>
    </row>
    <row r="86" spans="2:2">
      <c r="B86" s="155" t="s">
        <v>1637</v>
      </c>
    </row>
    <row r="88" spans="2:2">
      <c r="B88" s="155" t="s">
        <v>914</v>
      </c>
    </row>
    <row r="89" spans="2:2">
      <c r="B89" s="155" t="s">
        <v>1627</v>
      </c>
    </row>
    <row r="90" spans="2:2">
      <c r="B90" s="155" t="s">
        <v>1638</v>
      </c>
    </row>
    <row r="91" spans="2:2">
      <c r="B91" s="155" t="s">
        <v>1639</v>
      </c>
    </row>
    <row r="92" spans="2:2">
      <c r="B92" s="155" t="s">
        <v>1640</v>
      </c>
    </row>
    <row r="93" spans="2:2">
      <c r="B93" s="155" t="s">
        <v>1641</v>
      </c>
    </row>
    <row r="95" spans="2:2">
      <c r="B95" s="155" t="s">
        <v>915</v>
      </c>
    </row>
    <row r="96" spans="2:2">
      <c r="B96" s="155" t="s">
        <v>1627</v>
      </c>
    </row>
    <row r="97" spans="2:2">
      <c r="B97" s="155" t="s">
        <v>1642</v>
      </c>
    </row>
    <row r="98" spans="2:2">
      <c r="B98" s="155" t="s">
        <v>1643</v>
      </c>
    </row>
    <row r="99" spans="2:2">
      <c r="B99" s="155" t="s">
        <v>1644</v>
      </c>
    </row>
    <row r="100" spans="2:2">
      <c r="B100" s="155" t="s">
        <v>1645</v>
      </c>
    </row>
    <row r="102" spans="2:2">
      <c r="B102" s="155" t="s">
        <v>916</v>
      </c>
    </row>
    <row r="103" spans="2:2">
      <c r="B103" s="155" t="s">
        <v>1627</v>
      </c>
    </row>
    <row r="104" spans="2:2">
      <c r="B104" s="155" t="s">
        <v>1646</v>
      </c>
    </row>
    <row r="105" spans="2:2">
      <c r="B105" s="155" t="s">
        <v>1647</v>
      </c>
    </row>
    <row r="106" spans="2:2">
      <c r="B106" s="155" t="s">
        <v>1648</v>
      </c>
    </row>
    <row r="107" spans="2:2">
      <c r="B107" s="155" t="s">
        <v>1649</v>
      </c>
    </row>
    <row r="109" spans="2:2">
      <c r="B109" s="155" t="s">
        <v>917</v>
      </c>
    </row>
    <row r="110" spans="2:2">
      <c r="B110" s="155" t="s">
        <v>1627</v>
      </c>
    </row>
    <row r="111" spans="2:2">
      <c r="B111" s="155" t="s">
        <v>1650</v>
      </c>
    </row>
    <row r="112" spans="2:2">
      <c r="B112" s="155" t="s">
        <v>1651</v>
      </c>
    </row>
    <row r="113" spans="2:2">
      <c r="B113" s="155" t="s">
        <v>1652</v>
      </c>
    </row>
    <row r="114" spans="2:2">
      <c r="B114" s="155" t="s">
        <v>1653</v>
      </c>
    </row>
    <row r="117" spans="2:2">
      <c r="B117" s="155" t="s">
        <v>1748</v>
      </c>
    </row>
    <row r="120" spans="2:2">
      <c r="B120" s="155" t="s">
        <v>860</v>
      </c>
    </row>
    <row r="121" spans="2:2">
      <c r="B121" s="155" t="s">
        <v>861</v>
      </c>
    </row>
    <row r="124" spans="2:2">
      <c r="B124" s="155" t="s">
        <v>1607</v>
      </c>
    </row>
    <row r="125" spans="2:2">
      <c r="B125" s="155" t="s">
        <v>1608</v>
      </c>
    </row>
    <row r="130" spans="2:2">
      <c r="B130" s="155" t="s">
        <v>1609</v>
      </c>
    </row>
    <row r="131" spans="2:2">
      <c r="B131" s="155" t="s">
        <v>1610</v>
      </c>
    </row>
    <row r="132" spans="2:2">
      <c r="B132" s="155" t="s">
        <v>1611</v>
      </c>
    </row>
    <row r="133" spans="2:2">
      <c r="B133" s="155" t="s">
        <v>1612</v>
      </c>
    </row>
    <row r="134" spans="2:2">
      <c r="B134" s="155" t="s">
        <v>1613</v>
      </c>
    </row>
    <row r="135" spans="2:2">
      <c r="B135" s="155" t="s">
        <v>1614</v>
      </c>
    </row>
    <row r="140" spans="2:2">
      <c r="B140" s="155" t="s">
        <v>1615</v>
      </c>
    </row>
    <row r="141" spans="2:2">
      <c r="B141" s="155" t="s">
        <v>1616</v>
      </c>
    </row>
    <row r="144" spans="2:2">
      <c r="B144" s="155" t="s">
        <v>1617</v>
      </c>
    </row>
    <row r="145" spans="2:2">
      <c r="B145" s="155" t="s">
        <v>1616</v>
      </c>
    </row>
    <row r="147" spans="2:2">
      <c r="B147" s="155" t="s">
        <v>1618</v>
      </c>
    </row>
    <row r="148" spans="2:2">
      <c r="B148" s="155" t="s">
        <v>1619</v>
      </c>
    </row>
    <row r="150" spans="2:2">
      <c r="B150" s="155" t="s">
        <v>1620</v>
      </c>
    </row>
    <row r="151" spans="2:2">
      <c r="B151" s="155" t="s">
        <v>1621</v>
      </c>
    </row>
    <row r="156" spans="2:2">
      <c r="B156" s="155" t="s">
        <v>1623</v>
      </c>
    </row>
    <row r="157" spans="2:2">
      <c r="B157" s="155" t="s">
        <v>1654</v>
      </c>
    </row>
    <row r="158" spans="2:2">
      <c r="B158" s="155" t="s">
        <v>1655</v>
      </c>
    </row>
    <row r="159" spans="2:2">
      <c r="B159" s="155" t="s">
        <v>1656</v>
      </c>
    </row>
    <row r="160" spans="2:2">
      <c r="B160" s="155" t="s">
        <v>1657</v>
      </c>
    </row>
    <row r="161" spans="2:2">
      <c r="B161" s="155" t="s">
        <v>1658</v>
      </c>
    </row>
    <row r="162" spans="2:2">
      <c r="B162" s="155" t="s">
        <v>1659</v>
      </c>
    </row>
    <row r="164" spans="2:2">
      <c r="B164" s="155" t="s">
        <v>1622</v>
      </c>
    </row>
    <row r="169" spans="2:2">
      <c r="B169" s="155" t="s">
        <v>1749</v>
      </c>
    </row>
    <row r="170" spans="2:2">
      <c r="B170" s="155" t="s">
        <v>1750</v>
      </c>
    </row>
  </sheetData>
  <pageMargins left="0.7" right="0.7" top="0.75" bottom="0.75" header="0.3" footer="0.3"/>
  <pageSetup scale="63" fitToHeight="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03726-9949-4AF9-BF32-095293C08C2F}">
  <sheetPr>
    <pageSetUpPr fitToPage="1"/>
  </sheetPr>
  <dimension ref="A1:X1188"/>
  <sheetViews>
    <sheetView workbookViewId="0"/>
  </sheetViews>
  <sheetFormatPr defaultColWidth="9.140625" defaultRowHeight="15"/>
  <cols>
    <col min="1" max="1" width="100.5703125" style="155" customWidth="1"/>
    <col min="2" max="14" width="9.140625" style="155"/>
    <col min="15" max="15" width="13.42578125" style="155" customWidth="1"/>
    <col min="16" max="16" width="11.42578125" style="155" customWidth="1"/>
    <col min="17" max="19" width="9.140625" style="155"/>
    <col min="20" max="20" width="10.5703125" style="155" customWidth="1"/>
    <col min="21" max="16384" width="9.140625" style="155"/>
  </cols>
  <sheetData>
    <row r="1" spans="1:1" ht="15.75">
      <c r="A1" s="79"/>
    </row>
    <row r="2" spans="1:1" ht="24" customHeight="1">
      <c r="A2" s="244" t="s">
        <v>749</v>
      </c>
    </row>
    <row r="3" spans="1:1" ht="22.5" customHeight="1">
      <c r="A3" s="244" t="s">
        <v>750</v>
      </c>
    </row>
    <row r="4" spans="1:1" ht="20.45" customHeight="1">
      <c r="A4" s="244" t="s">
        <v>751</v>
      </c>
    </row>
    <row r="5" spans="1:1" ht="15.75">
      <c r="A5" s="79" t="s">
        <v>752</v>
      </c>
    </row>
    <row r="6" spans="1:1" ht="15.75">
      <c r="A6" s="79" t="s">
        <v>753</v>
      </c>
    </row>
    <row r="7" spans="1:1" ht="15.75">
      <c r="A7" s="79" t="s">
        <v>754</v>
      </c>
    </row>
    <row r="8" spans="1:1" ht="15.75">
      <c r="A8" s="79" t="s">
        <v>755</v>
      </c>
    </row>
    <row r="9" spans="1:1" ht="15.75">
      <c r="A9" s="79" t="s">
        <v>756</v>
      </c>
    </row>
    <row r="10" spans="1:1" ht="15.75">
      <c r="A10" s="79" t="s">
        <v>757</v>
      </c>
    </row>
    <row r="11" spans="1:1" ht="15.75">
      <c r="A11" s="79"/>
    </row>
    <row r="12" spans="1:1" ht="15.75">
      <c r="A12" s="79" t="s">
        <v>758</v>
      </c>
    </row>
    <row r="13" spans="1:1" ht="15.75">
      <c r="A13" s="79" t="s">
        <v>906</v>
      </c>
    </row>
    <row r="14" spans="1:1" ht="15.75">
      <c r="A14" s="79" t="s">
        <v>907</v>
      </c>
    </row>
    <row r="15" spans="1:1" ht="15.75">
      <c r="A15" s="79" t="s">
        <v>759</v>
      </c>
    </row>
    <row r="16" spans="1:1" ht="15.75">
      <c r="A16" s="79"/>
    </row>
    <row r="17" spans="1:1" ht="15.75">
      <c r="A17" s="79" t="s">
        <v>760</v>
      </c>
    </row>
    <row r="18" spans="1:1" ht="15.75">
      <c r="A18" s="79" t="s">
        <v>761</v>
      </c>
    </row>
    <row r="19" spans="1:1" ht="15.75">
      <c r="A19" s="79" t="s">
        <v>762</v>
      </c>
    </row>
    <row r="20" spans="1:1" ht="15.75">
      <c r="A20" s="79" t="s">
        <v>763</v>
      </c>
    </row>
    <row r="21" spans="1:1" ht="15.75">
      <c r="A21" s="79"/>
    </row>
    <row r="22" spans="1:1" ht="15.75">
      <c r="A22" s="79" t="s">
        <v>764</v>
      </c>
    </row>
    <row r="23" spans="1:1" ht="15.75">
      <c r="A23" s="79"/>
    </row>
    <row r="24" spans="1:1" ht="15.75">
      <c r="A24" s="79" t="s">
        <v>1661</v>
      </c>
    </row>
    <row r="25" spans="1:1" ht="15.75">
      <c r="A25" s="79"/>
    </row>
    <row r="26" spans="1:1" ht="15.75">
      <c r="A26" s="79" t="s">
        <v>765</v>
      </c>
    </row>
    <row r="27" spans="1:1" ht="15.75">
      <c r="A27" s="79" t="s">
        <v>765</v>
      </c>
    </row>
    <row r="28" spans="1:1" ht="15.75">
      <c r="A28" s="79" t="s">
        <v>765</v>
      </c>
    </row>
    <row r="29" spans="1:1" ht="15.75">
      <c r="A29" s="79" t="s">
        <v>1752</v>
      </c>
    </row>
    <row r="30" spans="1:1" ht="15.75">
      <c r="A30" s="79"/>
    </row>
    <row r="31" spans="1:1" ht="15.75">
      <c r="A31" s="79" t="s">
        <v>765</v>
      </c>
    </row>
    <row r="32" spans="1:1" ht="15.75">
      <c r="A32" s="79" t="s">
        <v>786</v>
      </c>
    </row>
    <row r="33" spans="1:1" ht="15.75">
      <c r="A33" s="79" t="s">
        <v>923</v>
      </c>
    </row>
    <row r="34" spans="1:1" ht="15.75">
      <c r="A34" s="79"/>
    </row>
    <row r="35" spans="1:1" ht="15.75">
      <c r="A35" s="79" t="s">
        <v>765</v>
      </c>
    </row>
    <row r="36" spans="1:1" ht="15.75">
      <c r="A36" s="79" t="s">
        <v>765</v>
      </c>
    </row>
    <row r="37" spans="1:1" ht="15.75">
      <c r="A37" s="79" t="s">
        <v>765</v>
      </c>
    </row>
    <row r="38" spans="1:1" ht="15.75">
      <c r="A38" s="79" t="s">
        <v>765</v>
      </c>
    </row>
    <row r="39" spans="1:1" ht="15.75">
      <c r="A39" s="79" t="s">
        <v>765</v>
      </c>
    </row>
    <row r="40" spans="1:1" ht="15.75">
      <c r="A40" s="79" t="s">
        <v>766</v>
      </c>
    </row>
    <row r="41" spans="1:1" ht="15.75">
      <c r="A41" s="79"/>
    </row>
    <row r="42" spans="1:1" ht="15.75">
      <c r="A42" s="79" t="s">
        <v>765</v>
      </c>
    </row>
    <row r="43" spans="1:1" ht="15.75">
      <c r="A43" s="79" t="s">
        <v>924</v>
      </c>
    </row>
    <row r="44" spans="1:1" ht="15.75">
      <c r="A44" s="79"/>
    </row>
    <row r="45" spans="1:1" ht="15.75">
      <c r="A45" s="79" t="s">
        <v>765</v>
      </c>
    </row>
    <row r="46" spans="1:1" ht="15.75">
      <c r="A46" s="79" t="s">
        <v>925</v>
      </c>
    </row>
    <row r="47" spans="1:1" ht="15.75">
      <c r="A47" s="79" t="s">
        <v>926</v>
      </c>
    </row>
    <row r="48" spans="1:1" ht="15.75">
      <c r="A48" s="79"/>
    </row>
    <row r="49" spans="1:1" ht="15.75">
      <c r="A49" s="79" t="s">
        <v>765</v>
      </c>
    </row>
    <row r="50" spans="1:1" ht="15.75">
      <c r="A50" s="79" t="s">
        <v>765</v>
      </c>
    </row>
    <row r="51" spans="1:1" ht="15.75">
      <c r="A51" s="79" t="s">
        <v>765</v>
      </c>
    </row>
    <row r="52" spans="1:1" ht="15.75">
      <c r="A52" s="79" t="s">
        <v>927</v>
      </c>
    </row>
    <row r="53" spans="1:1" ht="15.75">
      <c r="A53" s="79"/>
    </row>
    <row r="54" spans="1:1" ht="15.75">
      <c r="A54" s="79" t="s">
        <v>765</v>
      </c>
    </row>
    <row r="55" spans="1:1" ht="15.75">
      <c r="A55" s="79" t="s">
        <v>767</v>
      </c>
    </row>
    <row r="56" spans="1:1" ht="15.75">
      <c r="A56" s="79" t="s">
        <v>928</v>
      </c>
    </row>
    <row r="57" spans="1:1" ht="15.75">
      <c r="A57" s="79"/>
    </row>
    <row r="58" spans="1:1" ht="15.75">
      <c r="A58" s="79" t="s">
        <v>765</v>
      </c>
    </row>
    <row r="59" spans="1:1" ht="15.75">
      <c r="A59" s="79" t="s">
        <v>768</v>
      </c>
    </row>
    <row r="60" spans="1:1" ht="15.75">
      <c r="A60" s="79" t="s">
        <v>928</v>
      </c>
    </row>
    <row r="61" spans="1:1" ht="15.75">
      <c r="A61" s="79"/>
    </row>
    <row r="62" spans="1:1" ht="15.75">
      <c r="A62" s="79" t="s">
        <v>765</v>
      </c>
    </row>
    <row r="63" spans="1:1" ht="15.75">
      <c r="A63" s="79" t="s">
        <v>1753</v>
      </c>
    </row>
    <row r="64" spans="1:1" ht="15.75">
      <c r="A64" s="79" t="s">
        <v>928</v>
      </c>
    </row>
    <row r="65" spans="1:1" ht="15.75">
      <c r="A65" s="79"/>
    </row>
    <row r="66" spans="1:1" ht="15.75">
      <c r="A66" s="79" t="s">
        <v>765</v>
      </c>
    </row>
    <row r="67" spans="1:1" ht="15.75">
      <c r="A67" s="79" t="s">
        <v>1754</v>
      </c>
    </row>
    <row r="68" spans="1:1" ht="15.75">
      <c r="A68" s="79" t="s">
        <v>928</v>
      </c>
    </row>
    <row r="69" spans="1:1" ht="15.75">
      <c r="A69" s="79"/>
    </row>
    <row r="70" spans="1:1" ht="15.75">
      <c r="A70" s="79" t="s">
        <v>765</v>
      </c>
    </row>
    <row r="71" spans="1:1" ht="15.75">
      <c r="A71" s="79" t="s">
        <v>929</v>
      </c>
    </row>
    <row r="72" spans="1:1" ht="15.75">
      <c r="A72" s="79"/>
    </row>
    <row r="73" spans="1:1" ht="15.75">
      <c r="A73" s="79" t="s">
        <v>765</v>
      </c>
    </row>
    <row r="74" spans="1:1" ht="15.75">
      <c r="A74" s="79" t="s">
        <v>765</v>
      </c>
    </row>
    <row r="75" spans="1:1" ht="15.75">
      <c r="A75" s="79" t="s">
        <v>765</v>
      </c>
    </row>
    <row r="76" spans="1:1" ht="15.75">
      <c r="A76" s="79" t="s">
        <v>1755</v>
      </c>
    </row>
    <row r="77" spans="1:1" ht="15.75">
      <c r="A77" s="79"/>
    </row>
    <row r="78" spans="1:1" ht="15.75">
      <c r="A78" s="79" t="s">
        <v>765</v>
      </c>
    </row>
    <row r="79" spans="1:1" ht="15.75">
      <c r="A79" s="79" t="s">
        <v>931</v>
      </c>
    </row>
    <row r="80" spans="1:1" ht="15.75">
      <c r="A80" s="79"/>
    </row>
    <row r="81" spans="1:1" ht="15.75">
      <c r="A81" s="79" t="s">
        <v>932</v>
      </c>
    </row>
    <row r="82" spans="1:1" ht="15.75">
      <c r="A82" s="79" t="s">
        <v>933</v>
      </c>
    </row>
    <row r="83" spans="1:1" ht="15.75">
      <c r="A83" s="79" t="s">
        <v>934</v>
      </c>
    </row>
    <row r="84" spans="1:1" ht="15.75">
      <c r="A84" s="79" t="s">
        <v>935</v>
      </c>
    </row>
    <row r="85" spans="1:1" ht="15.75">
      <c r="A85" s="79" t="s">
        <v>936</v>
      </c>
    </row>
    <row r="86" spans="1:1" ht="15.75">
      <c r="A86" s="79" t="s">
        <v>937</v>
      </c>
    </row>
    <row r="87" spans="1:1" ht="15.75">
      <c r="A87" s="79" t="s">
        <v>938</v>
      </c>
    </row>
    <row r="88" spans="1:1" ht="15.75">
      <c r="A88" s="79" t="s">
        <v>939</v>
      </c>
    </row>
    <row r="89" spans="1:1" ht="15.75">
      <c r="A89" s="79" t="s">
        <v>940</v>
      </c>
    </row>
    <row r="90" spans="1:1" ht="15.75">
      <c r="A90" s="79" t="s">
        <v>930</v>
      </c>
    </row>
    <row r="91" spans="1:1" ht="15.75">
      <c r="A91" s="79" t="s">
        <v>941</v>
      </c>
    </row>
    <row r="92" spans="1:1" ht="15.75">
      <c r="A92" s="79" t="s">
        <v>932</v>
      </c>
    </row>
    <row r="93" spans="1:1" ht="15.75">
      <c r="A93" s="79"/>
    </row>
    <row r="94" spans="1:1" ht="15.75">
      <c r="A94" s="79" t="s">
        <v>765</v>
      </c>
    </row>
    <row r="95" spans="1:1" ht="15.75">
      <c r="A95" s="79" t="s">
        <v>765</v>
      </c>
    </row>
    <row r="96" spans="1:1" ht="15.75">
      <c r="A96" s="79" t="s">
        <v>765</v>
      </c>
    </row>
    <row r="97" spans="1:1" ht="15.75">
      <c r="A97" s="79" t="s">
        <v>1756</v>
      </c>
    </row>
    <row r="98" spans="1:1" ht="15.75">
      <c r="A98" s="79"/>
    </row>
    <row r="99" spans="1:1" ht="15.75">
      <c r="A99" s="79" t="s">
        <v>765</v>
      </c>
    </row>
    <row r="100" spans="1:1" ht="15.75">
      <c r="A100" s="79" t="s">
        <v>1662</v>
      </c>
    </row>
    <row r="101" spans="1:1" ht="15.75">
      <c r="A101" s="79" t="s">
        <v>928</v>
      </c>
    </row>
    <row r="102" spans="1:1" ht="15.75">
      <c r="A102" s="79"/>
    </row>
    <row r="103" spans="1:1" ht="15.75">
      <c r="A103" s="79" t="s">
        <v>765</v>
      </c>
    </row>
    <row r="104" spans="1:1" ht="15.75">
      <c r="A104" s="79" t="s">
        <v>765</v>
      </c>
    </row>
    <row r="105" spans="1:1" ht="15.75">
      <c r="A105" s="79" t="s">
        <v>765</v>
      </c>
    </row>
    <row r="106" spans="1:1" ht="15.75">
      <c r="A106" s="79" t="s">
        <v>769</v>
      </c>
    </row>
    <row r="107" spans="1:1" ht="15.75">
      <c r="A107" s="79" t="s">
        <v>928</v>
      </c>
    </row>
    <row r="108" spans="1:1" ht="15.75">
      <c r="A108" s="79"/>
    </row>
    <row r="109" spans="1:1" ht="15.75">
      <c r="A109" s="79" t="s">
        <v>765</v>
      </c>
    </row>
    <row r="110" spans="1:1" ht="15.75">
      <c r="A110" s="79" t="s">
        <v>770</v>
      </c>
    </row>
    <row r="111" spans="1:1" ht="15.75">
      <c r="A111" s="79"/>
    </row>
    <row r="112" spans="1:1" ht="15.75">
      <c r="A112" s="79" t="s">
        <v>765</v>
      </c>
    </row>
    <row r="113" spans="1:1" ht="15.75">
      <c r="A113" s="79" t="s">
        <v>771</v>
      </c>
    </row>
    <row r="114" spans="1:1" ht="15.75">
      <c r="A114" s="79"/>
    </row>
    <row r="115" spans="1:1" ht="15.75">
      <c r="A115" s="79" t="s">
        <v>765</v>
      </c>
    </row>
    <row r="116" spans="1:1" ht="15.75">
      <c r="A116" s="79" t="s">
        <v>772</v>
      </c>
    </row>
    <row r="117" spans="1:1" ht="15.75">
      <c r="A117" s="79" t="s">
        <v>1757</v>
      </c>
    </row>
    <row r="118" spans="1:1" ht="15.75">
      <c r="A118" s="79"/>
    </row>
    <row r="119" spans="1:1" ht="15.75">
      <c r="A119" s="79" t="s">
        <v>765</v>
      </c>
    </row>
    <row r="120" spans="1:1" ht="15.75">
      <c r="A120" s="79" t="s">
        <v>1758</v>
      </c>
    </row>
    <row r="121" spans="1:1" ht="15.75">
      <c r="A121" s="79"/>
    </row>
    <row r="122" spans="1:1" ht="15.75">
      <c r="A122" s="79" t="s">
        <v>765</v>
      </c>
    </row>
    <row r="123" spans="1:1" ht="15.75">
      <c r="A123" s="79" t="s">
        <v>765</v>
      </c>
    </row>
    <row r="124" spans="1:1" ht="15.75">
      <c r="A124" s="79" t="s">
        <v>765</v>
      </c>
    </row>
    <row r="125" spans="1:1" ht="15.75">
      <c r="A125" s="79" t="s">
        <v>765</v>
      </c>
    </row>
    <row r="126" spans="1:1" ht="15.75">
      <c r="A126" s="79" t="s">
        <v>765</v>
      </c>
    </row>
    <row r="127" spans="1:1" ht="15.75">
      <c r="A127" s="79" t="s">
        <v>773</v>
      </c>
    </row>
    <row r="128" spans="1:1" ht="15.75">
      <c r="A128" s="79"/>
    </row>
    <row r="129" spans="1:1" ht="15.75">
      <c r="A129" s="79" t="s">
        <v>765</v>
      </c>
    </row>
    <row r="130" spans="1:1" ht="15.75">
      <c r="A130" s="79" t="s">
        <v>765</v>
      </c>
    </row>
    <row r="131" spans="1:1" ht="15.75">
      <c r="A131" s="79" t="s">
        <v>765</v>
      </c>
    </row>
    <row r="132" spans="1:1" ht="15.75">
      <c r="A132" s="79" t="s">
        <v>774</v>
      </c>
    </row>
    <row r="133" spans="1:1" ht="15.75">
      <c r="A133" s="79" t="s">
        <v>775</v>
      </c>
    </row>
    <row r="134" spans="1:1" ht="15.75">
      <c r="A134" s="79"/>
    </row>
    <row r="135" spans="1:1" ht="15.75">
      <c r="A135" s="79" t="s">
        <v>765</v>
      </c>
    </row>
    <row r="136" spans="1:1" ht="15.75">
      <c r="A136" s="79" t="s">
        <v>776</v>
      </c>
    </row>
    <row r="137" spans="1:1" ht="15.75">
      <c r="A137" s="79" t="s">
        <v>777</v>
      </c>
    </row>
    <row r="138" spans="1:1" ht="15.75">
      <c r="A138" s="79"/>
    </row>
    <row r="139" spans="1:1" ht="15.75">
      <c r="A139" s="79" t="s">
        <v>765</v>
      </c>
    </row>
    <row r="140" spans="1:1" ht="15.75">
      <c r="A140" s="79" t="s">
        <v>778</v>
      </c>
    </row>
    <row r="141" spans="1:1" ht="15.75">
      <c r="A141" s="79" t="s">
        <v>779</v>
      </c>
    </row>
    <row r="142" spans="1:1" ht="15.75">
      <c r="A142" s="79"/>
    </row>
    <row r="143" spans="1:1" ht="15.75">
      <c r="A143" s="79" t="s">
        <v>765</v>
      </c>
    </row>
    <row r="144" spans="1:1" ht="15.75">
      <c r="A144" s="79" t="s">
        <v>780</v>
      </c>
    </row>
    <row r="145" spans="1:1" ht="15.75">
      <c r="A145" s="79" t="s">
        <v>821</v>
      </c>
    </row>
    <row r="146" spans="1:1" ht="15.75">
      <c r="A146" s="79"/>
    </row>
    <row r="147" spans="1:1" ht="15.75">
      <c r="A147" s="79" t="s">
        <v>765</v>
      </c>
    </row>
    <row r="148" spans="1:1" ht="15.75">
      <c r="A148" s="79" t="s">
        <v>781</v>
      </c>
    </row>
    <row r="149" spans="1:1" ht="15.75">
      <c r="A149" s="79" t="s">
        <v>782</v>
      </c>
    </row>
    <row r="150" spans="1:1" ht="15.75">
      <c r="A150" s="79"/>
    </row>
    <row r="151" spans="1:1" ht="15.75">
      <c r="A151" s="79" t="s">
        <v>765</v>
      </c>
    </row>
    <row r="152" spans="1:1" ht="15.75">
      <c r="A152" s="79" t="s">
        <v>783</v>
      </c>
    </row>
    <row r="153" spans="1:1" ht="15.75">
      <c r="A153" s="79" t="s">
        <v>784</v>
      </c>
    </row>
    <row r="154" spans="1:1" ht="15.75">
      <c r="A154" s="79"/>
    </row>
    <row r="155" spans="1:1" ht="15.75">
      <c r="A155" s="79" t="s">
        <v>765</v>
      </c>
    </row>
    <row r="156" spans="1:1" ht="15.75">
      <c r="A156" s="79" t="s">
        <v>765</v>
      </c>
    </row>
    <row r="157" spans="1:1" ht="15.75">
      <c r="A157" s="79" t="s">
        <v>765</v>
      </c>
    </row>
    <row r="158" spans="1:1" ht="15.75">
      <c r="A158" s="79" t="s">
        <v>765</v>
      </c>
    </row>
    <row r="159" spans="1:1" ht="15.75">
      <c r="A159" s="79" t="s">
        <v>765</v>
      </c>
    </row>
    <row r="160" spans="1:1" ht="15.75">
      <c r="A160" s="79" t="s">
        <v>765</v>
      </c>
    </row>
    <row r="161" spans="1:1" ht="15.75">
      <c r="A161" s="79" t="s">
        <v>785</v>
      </c>
    </row>
    <row r="162" spans="1:1" ht="15.75">
      <c r="A162" s="79"/>
    </row>
    <row r="163" spans="1:1" ht="15.75">
      <c r="A163" s="79" t="s">
        <v>765</v>
      </c>
    </row>
    <row r="164" spans="1:1" ht="15.75">
      <c r="A164" s="79" t="s">
        <v>765</v>
      </c>
    </row>
    <row r="165" spans="1:1" ht="15.75">
      <c r="A165" s="79" t="s">
        <v>765</v>
      </c>
    </row>
    <row r="166" spans="1:1" ht="15.75">
      <c r="A166" s="79" t="s">
        <v>765</v>
      </c>
    </row>
    <row r="167" spans="1:1" ht="15.75">
      <c r="A167" s="79" t="s">
        <v>765</v>
      </c>
    </row>
    <row r="168" spans="1:1" ht="15.75">
      <c r="A168" s="79" t="s">
        <v>765</v>
      </c>
    </row>
    <row r="169" spans="1:1" ht="15.75">
      <c r="A169" s="79" t="s">
        <v>765</v>
      </c>
    </row>
    <row r="170" spans="1:1" ht="15.75">
      <c r="A170" s="79" t="s">
        <v>787</v>
      </c>
    </row>
    <row r="171" spans="1:1" ht="15.75">
      <c r="A171" s="79"/>
    </row>
    <row r="172" spans="1:1" ht="15.75">
      <c r="A172" s="79" t="s">
        <v>765</v>
      </c>
    </row>
    <row r="173" spans="1:1" ht="15.75">
      <c r="A173" s="79" t="s">
        <v>788</v>
      </c>
    </row>
    <row r="174" spans="1:1" ht="15.75">
      <c r="A174" s="79"/>
    </row>
    <row r="175" spans="1:1" ht="15.75">
      <c r="A175" s="79" t="s">
        <v>765</v>
      </c>
    </row>
    <row r="176" spans="1:1" ht="15.75">
      <c r="A176" s="79" t="s">
        <v>789</v>
      </c>
    </row>
    <row r="177" spans="1:1" ht="15.75">
      <c r="A177" s="79"/>
    </row>
    <row r="178" spans="1:1" ht="15.75">
      <c r="A178" s="79" t="s">
        <v>765</v>
      </c>
    </row>
    <row r="179" spans="1:1" ht="15.75">
      <c r="A179" s="79" t="s">
        <v>765</v>
      </c>
    </row>
    <row r="180" spans="1:1" ht="15.75">
      <c r="A180" s="79" t="s">
        <v>765</v>
      </c>
    </row>
    <row r="181" spans="1:1" ht="15.75">
      <c r="A181" s="79" t="s">
        <v>765</v>
      </c>
    </row>
    <row r="182" spans="1:1" ht="15.75">
      <c r="A182" s="79" t="s">
        <v>765</v>
      </c>
    </row>
    <row r="183" spans="1:1" ht="15.75">
      <c r="A183" s="79" t="s">
        <v>765</v>
      </c>
    </row>
    <row r="184" spans="1:1" ht="15.75">
      <c r="A184" s="79" t="s">
        <v>765</v>
      </c>
    </row>
    <row r="185" spans="1:1" ht="15.75">
      <c r="A185" s="79" t="s">
        <v>765</v>
      </c>
    </row>
    <row r="186" spans="1:1" ht="15.75">
      <c r="A186" s="79" t="s">
        <v>801</v>
      </c>
    </row>
    <row r="187" spans="1:1" ht="15.75">
      <c r="A187" s="79"/>
    </row>
    <row r="188" spans="1:1" ht="15.75">
      <c r="A188" s="79" t="s">
        <v>802</v>
      </c>
    </row>
    <row r="189" spans="1:1" ht="15.75">
      <c r="A189" s="79" t="s">
        <v>803</v>
      </c>
    </row>
    <row r="190" spans="1:1" ht="15.75">
      <c r="A190" s="79" t="s">
        <v>804</v>
      </c>
    </row>
    <row r="191" spans="1:1" ht="15.75">
      <c r="A191" s="79"/>
    </row>
    <row r="192" spans="1:1" ht="15.75">
      <c r="A192" s="79" t="s">
        <v>765</v>
      </c>
    </row>
    <row r="193" spans="1:1" ht="15.75">
      <c r="A193" s="79" t="s">
        <v>805</v>
      </c>
    </row>
    <row r="194" spans="1:1" ht="15.75">
      <c r="A194" s="79"/>
    </row>
    <row r="195" spans="1:1" ht="15.75">
      <c r="A195" s="79" t="s">
        <v>802</v>
      </c>
    </row>
    <row r="196" spans="1:1" ht="15.75">
      <c r="A196" s="79" t="s">
        <v>803</v>
      </c>
    </row>
    <row r="197" spans="1:1" ht="15.75">
      <c r="A197" s="79" t="s">
        <v>806</v>
      </c>
    </row>
    <row r="198" spans="1:1" ht="15.75">
      <c r="A198" s="79"/>
    </row>
    <row r="199" spans="1:1" ht="15.75">
      <c r="A199" s="79" t="s">
        <v>765</v>
      </c>
    </row>
    <row r="200" spans="1:1" ht="15.75">
      <c r="A200" s="79" t="s">
        <v>807</v>
      </c>
    </row>
    <row r="201" spans="1:1" ht="15.75">
      <c r="A201" s="79"/>
    </row>
    <row r="202" spans="1:1" ht="15.75">
      <c r="A202" s="79" t="s">
        <v>802</v>
      </c>
    </row>
    <row r="203" spans="1:1" ht="15.75">
      <c r="A203" s="79" t="s">
        <v>803</v>
      </c>
    </row>
    <row r="204" spans="1:1" ht="15.75">
      <c r="A204" s="79" t="s">
        <v>1663</v>
      </c>
    </row>
    <row r="205" spans="1:1" ht="15.75">
      <c r="A205" s="79"/>
    </row>
    <row r="206" spans="1:1" ht="15.75">
      <c r="A206" s="79" t="s">
        <v>765</v>
      </c>
    </row>
    <row r="207" spans="1:1" ht="15.75">
      <c r="A207" s="79" t="s">
        <v>808</v>
      </c>
    </row>
    <row r="208" spans="1:1" ht="15.75">
      <c r="A208" s="79"/>
    </row>
    <row r="209" spans="1:1" ht="15.75">
      <c r="A209" s="79" t="s">
        <v>802</v>
      </c>
    </row>
    <row r="210" spans="1:1" ht="15.75">
      <c r="A210" s="79" t="s">
        <v>803</v>
      </c>
    </row>
    <row r="211" spans="1:1" ht="15.75">
      <c r="A211" s="79" t="s">
        <v>809</v>
      </c>
    </row>
    <row r="212" spans="1:1" ht="15.75">
      <c r="A212" s="79"/>
    </row>
    <row r="213" spans="1:1" ht="15.75">
      <c r="A213" s="79" t="s">
        <v>765</v>
      </c>
    </row>
    <row r="214" spans="1:1" ht="15.75">
      <c r="A214" s="79" t="s">
        <v>810</v>
      </c>
    </row>
    <row r="215" spans="1:1" ht="15.75">
      <c r="A215" s="79"/>
    </row>
    <row r="216" spans="1:1" ht="15.75">
      <c r="A216" s="79" t="s">
        <v>802</v>
      </c>
    </row>
    <row r="217" spans="1:1" ht="15.75">
      <c r="A217" s="79" t="s">
        <v>803</v>
      </c>
    </row>
    <row r="218" spans="1:1" ht="15.75">
      <c r="A218" s="79" t="s">
        <v>1664</v>
      </c>
    </row>
    <row r="219" spans="1:1" ht="15.75">
      <c r="A219" s="79"/>
    </row>
    <row r="220" spans="1:1" ht="15.75">
      <c r="A220" s="79" t="s">
        <v>765</v>
      </c>
    </row>
    <row r="221" spans="1:1" ht="15.75">
      <c r="A221" s="79" t="s">
        <v>811</v>
      </c>
    </row>
    <row r="222" spans="1:1" ht="15.75">
      <c r="A222" s="79"/>
    </row>
    <row r="223" spans="1:1" ht="15.75">
      <c r="A223" s="79" t="s">
        <v>802</v>
      </c>
    </row>
    <row r="224" spans="1:1" ht="15.75">
      <c r="A224" s="79" t="s">
        <v>803</v>
      </c>
    </row>
    <row r="225" spans="1:1" ht="15.75">
      <c r="A225" s="79" t="s">
        <v>812</v>
      </c>
    </row>
    <row r="226" spans="1:1" ht="15.75">
      <c r="A226" s="79"/>
    </row>
    <row r="227" spans="1:1" ht="15.75">
      <c r="A227" s="79" t="s">
        <v>765</v>
      </c>
    </row>
    <row r="228" spans="1:1" ht="15.75">
      <c r="A228" s="79" t="s">
        <v>765</v>
      </c>
    </row>
    <row r="229" spans="1:1" ht="15.75">
      <c r="A229" s="79" t="s">
        <v>765</v>
      </c>
    </row>
    <row r="230" spans="1:1" ht="15.75">
      <c r="A230" s="79" t="s">
        <v>765</v>
      </c>
    </row>
    <row r="231" spans="1:1" ht="15.75">
      <c r="A231" s="79" t="s">
        <v>765</v>
      </c>
    </row>
    <row r="232" spans="1:1" ht="15.75">
      <c r="A232" s="79" t="s">
        <v>765</v>
      </c>
    </row>
    <row r="233" spans="1:1" ht="15.75">
      <c r="A233" s="79" t="s">
        <v>765</v>
      </c>
    </row>
    <row r="234" spans="1:1" ht="15.75">
      <c r="A234" s="79" t="s">
        <v>765</v>
      </c>
    </row>
    <row r="235" spans="1:1" ht="15.75">
      <c r="A235" s="79" t="s">
        <v>765</v>
      </c>
    </row>
    <row r="236" spans="1:1" ht="15.75">
      <c r="A236" s="79" t="s">
        <v>765</v>
      </c>
    </row>
    <row r="237" spans="1:1" ht="15.75">
      <c r="A237" s="79" t="s">
        <v>765</v>
      </c>
    </row>
    <row r="238" spans="1:1" ht="15.75">
      <c r="A238" s="79" t="s">
        <v>765</v>
      </c>
    </row>
    <row r="239" spans="1:1" ht="15.75">
      <c r="A239" s="79" t="s">
        <v>765</v>
      </c>
    </row>
    <row r="240" spans="1:1" ht="15.75">
      <c r="A240" s="79" t="s">
        <v>790</v>
      </c>
    </row>
    <row r="241" spans="1:1" ht="15.75">
      <c r="A241" s="79"/>
    </row>
    <row r="242" spans="1:1" ht="15.75">
      <c r="A242" s="79" t="s">
        <v>791</v>
      </c>
    </row>
    <row r="243" spans="1:1" ht="15.75">
      <c r="A243" s="79" t="s">
        <v>792</v>
      </c>
    </row>
    <row r="244" spans="1:1" ht="15.75">
      <c r="A244" s="79" t="s">
        <v>793</v>
      </c>
    </row>
    <row r="245" spans="1:1" ht="15.75">
      <c r="A245" s="79"/>
    </row>
    <row r="246" spans="1:1" ht="15.75">
      <c r="A246" s="79" t="s">
        <v>765</v>
      </c>
    </row>
    <row r="247" spans="1:1" ht="15.75">
      <c r="A247" s="79" t="s">
        <v>794</v>
      </c>
    </row>
    <row r="248" spans="1:1" ht="15.75">
      <c r="A248" s="79"/>
    </row>
    <row r="249" spans="1:1" ht="15.75">
      <c r="A249" s="79" t="s">
        <v>791</v>
      </c>
    </row>
    <row r="250" spans="1:1" ht="15.75">
      <c r="A250" s="79" t="s">
        <v>792</v>
      </c>
    </row>
    <row r="251" spans="1:1" ht="15.75">
      <c r="A251" s="79" t="s">
        <v>1665</v>
      </c>
    </row>
    <row r="252" spans="1:1" ht="15.75">
      <c r="A252" s="79"/>
    </row>
    <row r="253" spans="1:1" ht="15.75">
      <c r="A253" s="79" t="s">
        <v>765</v>
      </c>
    </row>
    <row r="254" spans="1:1" ht="15.75">
      <c r="A254" s="79" t="s">
        <v>795</v>
      </c>
    </row>
    <row r="255" spans="1:1" ht="15.75">
      <c r="A255" s="79"/>
    </row>
    <row r="256" spans="1:1" ht="15.75">
      <c r="A256" s="79" t="s">
        <v>791</v>
      </c>
    </row>
    <row r="257" spans="1:1" ht="15.75">
      <c r="A257" s="79" t="s">
        <v>792</v>
      </c>
    </row>
    <row r="258" spans="1:1" ht="15.75">
      <c r="A258" s="79" t="s">
        <v>1666</v>
      </c>
    </row>
    <row r="259" spans="1:1" ht="15.75">
      <c r="A259" s="79"/>
    </row>
    <row r="260" spans="1:1" ht="15.75">
      <c r="A260" s="79" t="s">
        <v>765</v>
      </c>
    </row>
    <row r="261" spans="1:1" ht="15.75">
      <c r="A261" s="79" t="s">
        <v>796</v>
      </c>
    </row>
    <row r="262" spans="1:1" ht="15.75">
      <c r="A262" s="79"/>
    </row>
    <row r="263" spans="1:1" ht="15.75">
      <c r="A263" s="79" t="s">
        <v>791</v>
      </c>
    </row>
    <row r="264" spans="1:1" ht="15.75">
      <c r="A264" s="79" t="s">
        <v>792</v>
      </c>
    </row>
    <row r="265" spans="1:1" ht="15.75">
      <c r="A265" s="79" t="s">
        <v>797</v>
      </c>
    </row>
    <row r="266" spans="1:1" ht="15.75">
      <c r="A266" s="79"/>
    </row>
    <row r="267" spans="1:1" ht="15.75">
      <c r="A267" s="79" t="s">
        <v>765</v>
      </c>
    </row>
    <row r="268" spans="1:1" ht="15.75">
      <c r="A268" s="79" t="s">
        <v>798</v>
      </c>
    </row>
    <row r="269" spans="1:1" ht="15.75">
      <c r="A269" s="79"/>
    </row>
    <row r="270" spans="1:1" ht="15.75">
      <c r="A270" s="79" t="s">
        <v>791</v>
      </c>
    </row>
    <row r="271" spans="1:1" ht="15.75">
      <c r="A271" s="79" t="s">
        <v>792</v>
      </c>
    </row>
    <row r="272" spans="1:1" ht="15.75">
      <c r="A272" s="79" t="s">
        <v>1667</v>
      </c>
    </row>
    <row r="273" spans="1:1" ht="15.75">
      <c r="A273" s="79"/>
    </row>
    <row r="274" spans="1:1" ht="15.75">
      <c r="A274" s="79" t="s">
        <v>765</v>
      </c>
    </row>
    <row r="275" spans="1:1" ht="15.75">
      <c r="A275" s="79" t="s">
        <v>799</v>
      </c>
    </row>
    <row r="276" spans="1:1" ht="15.75">
      <c r="A276" s="79"/>
    </row>
    <row r="277" spans="1:1" ht="15.75">
      <c r="A277" s="79" t="s">
        <v>791</v>
      </c>
    </row>
    <row r="278" spans="1:1" ht="15.75">
      <c r="A278" s="79" t="s">
        <v>792</v>
      </c>
    </row>
    <row r="279" spans="1:1" ht="15.75">
      <c r="A279" s="79" t="s">
        <v>800</v>
      </c>
    </row>
    <row r="280" spans="1:1" ht="15.75">
      <c r="A280" s="79"/>
    </row>
    <row r="281" spans="1:1" ht="15.75">
      <c r="A281" s="79" t="s">
        <v>765</v>
      </c>
    </row>
    <row r="282" spans="1:1" ht="15.75">
      <c r="A282" s="79" t="s">
        <v>765</v>
      </c>
    </row>
    <row r="283" spans="1:1" ht="15.75">
      <c r="A283" s="79" t="s">
        <v>765</v>
      </c>
    </row>
    <row r="284" spans="1:1" ht="15.75">
      <c r="A284" s="79" t="s">
        <v>765</v>
      </c>
    </row>
    <row r="285" spans="1:1" ht="15.75">
      <c r="A285" s="79" t="s">
        <v>765</v>
      </c>
    </row>
    <row r="286" spans="1:1" ht="15.75">
      <c r="A286" s="79" t="s">
        <v>765</v>
      </c>
    </row>
    <row r="287" spans="1:1" ht="15.75">
      <c r="A287" s="79" t="s">
        <v>765</v>
      </c>
    </row>
    <row r="288" spans="1:1" ht="15.75">
      <c r="A288" s="79" t="s">
        <v>765</v>
      </c>
    </row>
    <row r="289" spans="1:1" ht="15.75">
      <c r="A289" s="79" t="s">
        <v>765</v>
      </c>
    </row>
    <row r="290" spans="1:1" ht="15.75">
      <c r="A290" s="79" t="s">
        <v>813</v>
      </c>
    </row>
    <row r="291" spans="1:1" ht="15.75">
      <c r="A291" s="79"/>
    </row>
    <row r="292" spans="1:1" ht="15.75">
      <c r="A292" s="79" t="s">
        <v>765</v>
      </c>
    </row>
    <row r="293" spans="1:1" ht="15.75">
      <c r="A293" s="79" t="s">
        <v>814</v>
      </c>
    </row>
    <row r="294" spans="1:1" ht="15.75">
      <c r="A294" s="79"/>
    </row>
    <row r="295" spans="1:1" ht="15.75">
      <c r="A295" s="79" t="s">
        <v>765</v>
      </c>
    </row>
    <row r="296" spans="1:1" ht="15.75">
      <c r="A296" s="79" t="s">
        <v>815</v>
      </c>
    </row>
    <row r="297" spans="1:1" ht="15.75">
      <c r="A297" s="79"/>
    </row>
    <row r="298" spans="1:1" ht="15.75">
      <c r="A298" s="79" t="s">
        <v>765</v>
      </c>
    </row>
    <row r="299" spans="1:1" ht="15.75">
      <c r="A299" s="79" t="s">
        <v>816</v>
      </c>
    </row>
    <row r="300" spans="1:1" ht="15.75">
      <c r="A300" s="79"/>
    </row>
    <row r="301" spans="1:1" ht="15.75">
      <c r="A301" s="79" t="s">
        <v>765</v>
      </c>
    </row>
    <row r="302" spans="1:1" ht="15.75">
      <c r="A302" s="79" t="s">
        <v>765</v>
      </c>
    </row>
    <row r="303" spans="1:1" ht="15.75">
      <c r="A303" s="79" t="s">
        <v>765</v>
      </c>
    </row>
    <row r="304" spans="1:1" ht="15.75">
      <c r="A304" s="79" t="s">
        <v>817</v>
      </c>
    </row>
    <row r="305" spans="1:1" ht="15.75">
      <c r="A305" s="79"/>
    </row>
    <row r="306" spans="1:1" ht="15.75">
      <c r="A306" s="79" t="s">
        <v>791</v>
      </c>
    </row>
    <row r="307" spans="1:1" ht="15.75">
      <c r="A307" s="79" t="s">
        <v>792</v>
      </c>
    </row>
    <row r="308" spans="1:1" ht="15.75">
      <c r="A308" s="79" t="s">
        <v>1665</v>
      </c>
    </row>
    <row r="309" spans="1:1" ht="15.75">
      <c r="A309" s="79"/>
    </row>
    <row r="310" spans="1:1" ht="15.75">
      <c r="A310" s="79" t="s">
        <v>765</v>
      </c>
    </row>
    <row r="311" spans="1:1" ht="15.75">
      <c r="A311" s="79" t="s">
        <v>1759</v>
      </c>
    </row>
    <row r="312" spans="1:1" ht="15.75">
      <c r="A312" s="79" t="s">
        <v>1760</v>
      </c>
    </row>
    <row r="313" spans="1:1" ht="15.75">
      <c r="A313" s="79"/>
    </row>
    <row r="314" spans="1:1" ht="15.75">
      <c r="A314" s="79" t="s">
        <v>765</v>
      </c>
    </row>
    <row r="315" spans="1:1" ht="15.75">
      <c r="A315" s="79" t="s">
        <v>1761</v>
      </c>
    </row>
    <row r="316" spans="1:1" ht="15.75">
      <c r="A316" s="79" t="s">
        <v>784</v>
      </c>
    </row>
    <row r="317" spans="1:1" ht="15.75">
      <c r="A317" s="79"/>
    </row>
    <row r="318" spans="1:1" ht="15.75">
      <c r="A318" s="79" t="s">
        <v>765</v>
      </c>
    </row>
    <row r="319" spans="1:1" ht="15.75">
      <c r="A319" s="79" t="s">
        <v>1762</v>
      </c>
    </row>
    <row r="320" spans="1:1" ht="15.75">
      <c r="A320" s="79" t="s">
        <v>784</v>
      </c>
    </row>
    <row r="321" spans="1:1" ht="15.75">
      <c r="A321" s="79"/>
    </row>
    <row r="322" spans="1:1" ht="15.75">
      <c r="A322" s="79" t="s">
        <v>765</v>
      </c>
    </row>
    <row r="323" spans="1:1" ht="15.75">
      <c r="A323" s="79" t="s">
        <v>1763</v>
      </c>
    </row>
    <row r="324" spans="1:1" ht="15.75">
      <c r="A324" s="79" t="s">
        <v>784</v>
      </c>
    </row>
    <row r="325" spans="1:1" ht="15.75">
      <c r="A325" s="79"/>
    </row>
    <row r="326" spans="1:1" ht="15.75">
      <c r="A326" s="79" t="s">
        <v>765</v>
      </c>
    </row>
    <row r="327" spans="1:1" ht="15.75">
      <c r="A327" s="79" t="s">
        <v>1764</v>
      </c>
    </row>
    <row r="328" spans="1:1" ht="15.75">
      <c r="A328" s="79" t="s">
        <v>784</v>
      </c>
    </row>
    <row r="329" spans="1:1" ht="15.75">
      <c r="A329" s="79"/>
    </row>
    <row r="330" spans="1:1" ht="15.75">
      <c r="A330" s="79" t="s">
        <v>765</v>
      </c>
    </row>
    <row r="331" spans="1:1" ht="15.75">
      <c r="A331" s="79" t="s">
        <v>765</v>
      </c>
    </row>
    <row r="332" spans="1:1" ht="15.75">
      <c r="A332" s="79" t="s">
        <v>765</v>
      </c>
    </row>
    <row r="333" spans="1:1" ht="15.75">
      <c r="A333" s="79" t="s">
        <v>818</v>
      </c>
    </row>
    <row r="334" spans="1:1" ht="15.75">
      <c r="A334" s="79"/>
    </row>
    <row r="335" spans="1:1" ht="15.75">
      <c r="A335" s="79" t="s">
        <v>791</v>
      </c>
    </row>
    <row r="336" spans="1:1" ht="15.75">
      <c r="A336" s="79" t="s">
        <v>792</v>
      </c>
    </row>
    <row r="337" spans="1:1" ht="15.75">
      <c r="A337" s="79" t="s">
        <v>793</v>
      </c>
    </row>
    <row r="338" spans="1:1" ht="15.75">
      <c r="A338" s="79"/>
    </row>
    <row r="339" spans="1:1" ht="15.75">
      <c r="A339" s="79" t="s">
        <v>765</v>
      </c>
    </row>
    <row r="340" spans="1:1" ht="15.75">
      <c r="A340" s="79" t="s">
        <v>1759</v>
      </c>
    </row>
    <row r="341" spans="1:1" ht="15.75">
      <c r="A341" s="79" t="s">
        <v>1765</v>
      </c>
    </row>
    <row r="342" spans="1:1" ht="15.75">
      <c r="A342" s="79"/>
    </row>
    <row r="343" spans="1:1" ht="15.75">
      <c r="A343" s="79" t="s">
        <v>765</v>
      </c>
    </row>
    <row r="344" spans="1:1" ht="15.75">
      <c r="A344" s="79" t="s">
        <v>1766</v>
      </c>
    </row>
    <row r="345" spans="1:1" ht="15.75">
      <c r="A345" s="79" t="s">
        <v>777</v>
      </c>
    </row>
    <row r="346" spans="1:1" ht="15.75">
      <c r="A346" s="79"/>
    </row>
    <row r="347" spans="1:1" ht="15.75">
      <c r="A347" s="79" t="s">
        <v>765</v>
      </c>
    </row>
    <row r="348" spans="1:1" ht="15.75">
      <c r="A348" s="79" t="s">
        <v>1767</v>
      </c>
    </row>
    <row r="349" spans="1:1" ht="15.75">
      <c r="A349" s="79" t="s">
        <v>777</v>
      </c>
    </row>
    <row r="350" spans="1:1" ht="15.75">
      <c r="A350" s="79"/>
    </row>
    <row r="351" spans="1:1" ht="15.75">
      <c r="A351" s="79" t="s">
        <v>765</v>
      </c>
    </row>
    <row r="352" spans="1:1" ht="15.75">
      <c r="A352" s="79" t="s">
        <v>1768</v>
      </c>
    </row>
    <row r="353" spans="1:1" ht="15.75">
      <c r="A353" s="79" t="s">
        <v>777</v>
      </c>
    </row>
    <row r="354" spans="1:1" ht="15.75">
      <c r="A354" s="79"/>
    </row>
    <row r="355" spans="1:1" ht="15.75">
      <c r="A355" s="79" t="s">
        <v>765</v>
      </c>
    </row>
    <row r="356" spans="1:1" ht="15.75">
      <c r="A356" s="79" t="s">
        <v>1769</v>
      </c>
    </row>
    <row r="357" spans="1:1" ht="15.75">
      <c r="A357" s="79" t="s">
        <v>777</v>
      </c>
    </row>
    <row r="358" spans="1:1" ht="15.75">
      <c r="A358" s="79"/>
    </row>
    <row r="359" spans="1:1" ht="15.75">
      <c r="A359" s="79" t="s">
        <v>765</v>
      </c>
    </row>
    <row r="360" spans="1:1" ht="15.75">
      <c r="A360" s="79" t="s">
        <v>765</v>
      </c>
    </row>
    <row r="361" spans="1:1" ht="15.75">
      <c r="A361" s="79" t="s">
        <v>765</v>
      </c>
    </row>
    <row r="362" spans="1:1" ht="15.75">
      <c r="A362" s="79" t="s">
        <v>819</v>
      </c>
    </row>
    <row r="363" spans="1:1" ht="15.75">
      <c r="A363" s="79"/>
    </row>
    <row r="364" spans="1:1" ht="15.75">
      <c r="A364" s="79" t="s">
        <v>791</v>
      </c>
    </row>
    <row r="365" spans="1:1" ht="15.75">
      <c r="A365" s="79" t="s">
        <v>792</v>
      </c>
    </row>
    <row r="366" spans="1:1" ht="15.75">
      <c r="A366" s="79" t="s">
        <v>797</v>
      </c>
    </row>
    <row r="367" spans="1:1" ht="15.75">
      <c r="A367" s="79"/>
    </row>
    <row r="368" spans="1:1" ht="15.75">
      <c r="A368" s="79" t="s">
        <v>765</v>
      </c>
    </row>
    <row r="369" spans="1:1" ht="15.75">
      <c r="A369" s="79" t="s">
        <v>1759</v>
      </c>
    </row>
    <row r="370" spans="1:1" ht="15.75">
      <c r="A370" s="79" t="s">
        <v>1770</v>
      </c>
    </row>
    <row r="371" spans="1:1" ht="15.75">
      <c r="A371" s="79"/>
    </row>
    <row r="372" spans="1:1" ht="15.75">
      <c r="A372" s="79" t="s">
        <v>765</v>
      </c>
    </row>
    <row r="373" spans="1:1" ht="15.75">
      <c r="A373" s="79" t="s">
        <v>1771</v>
      </c>
    </row>
    <row r="374" spans="1:1" ht="15.75">
      <c r="A374" s="79" t="s">
        <v>779</v>
      </c>
    </row>
    <row r="375" spans="1:1" ht="15.75">
      <c r="A375" s="79"/>
    </row>
    <row r="376" spans="1:1" ht="15.75">
      <c r="A376" s="79" t="s">
        <v>765</v>
      </c>
    </row>
    <row r="377" spans="1:1" ht="15.75">
      <c r="A377" s="79" t="s">
        <v>1772</v>
      </c>
    </row>
    <row r="378" spans="1:1" ht="15.75">
      <c r="A378" s="79" t="s">
        <v>779</v>
      </c>
    </row>
    <row r="379" spans="1:1" ht="15.75">
      <c r="A379" s="79"/>
    </row>
    <row r="380" spans="1:1" ht="15.75">
      <c r="A380" s="79" t="s">
        <v>765</v>
      </c>
    </row>
    <row r="381" spans="1:1" ht="15.75">
      <c r="A381" s="79" t="s">
        <v>1773</v>
      </c>
    </row>
    <row r="382" spans="1:1" ht="15.75">
      <c r="A382" s="79" t="s">
        <v>779</v>
      </c>
    </row>
    <row r="383" spans="1:1" ht="15.75">
      <c r="A383" s="79"/>
    </row>
    <row r="384" spans="1:1" ht="15.75">
      <c r="A384" s="79" t="s">
        <v>765</v>
      </c>
    </row>
    <row r="385" spans="1:1" ht="15.75">
      <c r="A385" s="79" t="s">
        <v>1774</v>
      </c>
    </row>
    <row r="386" spans="1:1" ht="15.75">
      <c r="A386" s="79" t="s">
        <v>779</v>
      </c>
    </row>
    <row r="387" spans="1:1" ht="15.75">
      <c r="A387" s="79"/>
    </row>
    <row r="388" spans="1:1" ht="15.75">
      <c r="A388" s="79" t="s">
        <v>765</v>
      </c>
    </row>
    <row r="389" spans="1:1" ht="15.75">
      <c r="A389" s="79" t="s">
        <v>765</v>
      </c>
    </row>
    <row r="390" spans="1:1" ht="15.75">
      <c r="A390" s="79" t="s">
        <v>765</v>
      </c>
    </row>
    <row r="391" spans="1:1" ht="15.75">
      <c r="A391" s="79" t="s">
        <v>820</v>
      </c>
    </row>
    <row r="392" spans="1:1" ht="15.75">
      <c r="A392" s="79"/>
    </row>
    <row r="393" spans="1:1" ht="15.75">
      <c r="A393" s="79" t="s">
        <v>791</v>
      </c>
    </row>
    <row r="394" spans="1:1" ht="15.75">
      <c r="A394" s="79" t="s">
        <v>792</v>
      </c>
    </row>
    <row r="395" spans="1:1" ht="15.75">
      <c r="A395" s="79" t="s">
        <v>1666</v>
      </c>
    </row>
    <row r="396" spans="1:1" ht="15.75">
      <c r="A396" s="79"/>
    </row>
    <row r="397" spans="1:1" ht="15.75">
      <c r="A397" s="79" t="s">
        <v>765</v>
      </c>
    </row>
    <row r="398" spans="1:1" ht="15.75">
      <c r="A398" s="79" t="s">
        <v>1759</v>
      </c>
    </row>
    <row r="399" spans="1:1" ht="15.75">
      <c r="A399" s="79" t="s">
        <v>1775</v>
      </c>
    </row>
    <row r="400" spans="1:1" ht="15.75">
      <c r="A400" s="79"/>
    </row>
    <row r="401" spans="1:1" ht="15.75">
      <c r="A401" s="79" t="s">
        <v>765</v>
      </c>
    </row>
    <row r="402" spans="1:1" ht="15.75">
      <c r="A402" s="79" t="s">
        <v>1776</v>
      </c>
    </row>
    <row r="403" spans="1:1" ht="15.75">
      <c r="A403" s="79" t="s">
        <v>821</v>
      </c>
    </row>
    <row r="404" spans="1:1" ht="15.75">
      <c r="A404" s="79"/>
    </row>
    <row r="405" spans="1:1" ht="15.75">
      <c r="A405" s="79" t="s">
        <v>765</v>
      </c>
    </row>
    <row r="406" spans="1:1" ht="15.75">
      <c r="A406" s="79" t="s">
        <v>1777</v>
      </c>
    </row>
    <row r="407" spans="1:1" ht="15.75">
      <c r="A407" s="79" t="s">
        <v>821</v>
      </c>
    </row>
    <row r="408" spans="1:1" ht="15.75">
      <c r="A408" s="79"/>
    </row>
    <row r="409" spans="1:1" ht="15.75">
      <c r="A409" s="79" t="s">
        <v>765</v>
      </c>
    </row>
    <row r="410" spans="1:1" ht="15.75">
      <c r="A410" s="79" t="s">
        <v>1778</v>
      </c>
    </row>
    <row r="411" spans="1:1" ht="15.75">
      <c r="A411" s="79" t="s">
        <v>821</v>
      </c>
    </row>
    <row r="412" spans="1:1" ht="15.75">
      <c r="A412" s="79"/>
    </row>
    <row r="413" spans="1:1" ht="15.75">
      <c r="A413" s="79" t="s">
        <v>765</v>
      </c>
    </row>
    <row r="414" spans="1:1" ht="15.75">
      <c r="A414" s="79" t="s">
        <v>1779</v>
      </c>
    </row>
    <row r="415" spans="1:1" ht="15.75">
      <c r="A415" s="79" t="s">
        <v>821</v>
      </c>
    </row>
    <row r="416" spans="1:1" ht="15.75">
      <c r="A416" s="79"/>
    </row>
    <row r="417" spans="1:1" ht="15.75">
      <c r="A417" s="79" t="s">
        <v>765</v>
      </c>
    </row>
    <row r="418" spans="1:1" ht="15.75">
      <c r="A418" s="79" t="s">
        <v>765</v>
      </c>
    </row>
    <row r="419" spans="1:1" ht="15.75">
      <c r="A419" s="79" t="s">
        <v>765</v>
      </c>
    </row>
    <row r="420" spans="1:1" ht="15.75">
      <c r="A420" s="79" t="s">
        <v>822</v>
      </c>
    </row>
    <row r="421" spans="1:1" ht="15.75">
      <c r="A421" s="79"/>
    </row>
    <row r="422" spans="1:1" ht="15.75">
      <c r="A422" s="79" t="s">
        <v>791</v>
      </c>
    </row>
    <row r="423" spans="1:1" ht="15.75">
      <c r="A423" s="79" t="s">
        <v>792</v>
      </c>
    </row>
    <row r="424" spans="1:1" ht="15.75">
      <c r="A424" s="79" t="s">
        <v>1667</v>
      </c>
    </row>
    <row r="425" spans="1:1" ht="15.75">
      <c r="A425" s="79"/>
    </row>
    <row r="426" spans="1:1" ht="15.75">
      <c r="A426" s="79" t="s">
        <v>765</v>
      </c>
    </row>
    <row r="427" spans="1:1" ht="15.75">
      <c r="A427" s="79" t="s">
        <v>1759</v>
      </c>
    </row>
    <row r="428" spans="1:1" ht="15.75">
      <c r="A428" s="79" t="s">
        <v>1780</v>
      </c>
    </row>
    <row r="429" spans="1:1" ht="15.75">
      <c r="A429" s="79"/>
    </row>
    <row r="430" spans="1:1" ht="15.75">
      <c r="A430" s="79" t="s">
        <v>765</v>
      </c>
    </row>
    <row r="431" spans="1:1" ht="15.75">
      <c r="A431" s="79" t="s">
        <v>1781</v>
      </c>
    </row>
    <row r="432" spans="1:1" ht="15.75">
      <c r="A432" s="79" t="s">
        <v>782</v>
      </c>
    </row>
    <row r="433" spans="1:1" ht="15.75">
      <c r="A433" s="79"/>
    </row>
    <row r="434" spans="1:1" ht="15.75">
      <c r="A434" s="79" t="s">
        <v>765</v>
      </c>
    </row>
    <row r="435" spans="1:1" ht="15.75">
      <c r="A435" s="79" t="s">
        <v>1782</v>
      </c>
    </row>
    <row r="436" spans="1:1" ht="15.75">
      <c r="A436" s="79" t="s">
        <v>782</v>
      </c>
    </row>
    <row r="437" spans="1:1" ht="15.75">
      <c r="A437" s="79"/>
    </row>
    <row r="438" spans="1:1" ht="15.75">
      <c r="A438" s="79" t="s">
        <v>765</v>
      </c>
    </row>
    <row r="439" spans="1:1" ht="15.75">
      <c r="A439" s="79" t="s">
        <v>1783</v>
      </c>
    </row>
    <row r="440" spans="1:1" ht="15.75">
      <c r="A440" s="79" t="s">
        <v>782</v>
      </c>
    </row>
    <row r="441" spans="1:1" ht="15.75">
      <c r="A441" s="79"/>
    </row>
    <row r="442" spans="1:1" ht="15.75">
      <c r="A442" s="79" t="s">
        <v>765</v>
      </c>
    </row>
    <row r="443" spans="1:1" ht="15.75">
      <c r="A443" s="79" t="s">
        <v>1784</v>
      </c>
    </row>
    <row r="444" spans="1:1" ht="15.75">
      <c r="A444" s="79" t="s">
        <v>782</v>
      </c>
    </row>
    <row r="445" spans="1:1" ht="15.75">
      <c r="A445" s="79"/>
    </row>
    <row r="446" spans="1:1" ht="15.75">
      <c r="A446" s="79" t="s">
        <v>765</v>
      </c>
    </row>
    <row r="447" spans="1:1" ht="15.75">
      <c r="A447" s="79" t="s">
        <v>765</v>
      </c>
    </row>
    <row r="448" spans="1:1" ht="15.75">
      <c r="A448" s="79" t="s">
        <v>765</v>
      </c>
    </row>
    <row r="449" spans="1:1" ht="15.75">
      <c r="A449" s="79" t="s">
        <v>823</v>
      </c>
    </row>
    <row r="450" spans="1:1" ht="15.75">
      <c r="A450" s="79"/>
    </row>
    <row r="451" spans="1:1" ht="15.75">
      <c r="A451" s="79" t="s">
        <v>791</v>
      </c>
    </row>
    <row r="452" spans="1:1" ht="15.75">
      <c r="A452" s="79" t="s">
        <v>792</v>
      </c>
    </row>
    <row r="453" spans="1:1" ht="15.75">
      <c r="A453" s="79" t="s">
        <v>800</v>
      </c>
    </row>
    <row r="454" spans="1:1" ht="15.75">
      <c r="A454" s="79"/>
    </row>
    <row r="455" spans="1:1" ht="15.75">
      <c r="A455" s="79" t="s">
        <v>765</v>
      </c>
    </row>
    <row r="456" spans="1:1" ht="15.75">
      <c r="A456" s="79" t="s">
        <v>1759</v>
      </c>
    </row>
    <row r="457" spans="1:1" ht="15.75">
      <c r="A457" s="79" t="s">
        <v>1785</v>
      </c>
    </row>
    <row r="458" spans="1:1" ht="15.75">
      <c r="A458" s="79"/>
    </row>
    <row r="459" spans="1:1" ht="15.75">
      <c r="A459" s="79" t="s">
        <v>765</v>
      </c>
    </row>
    <row r="460" spans="1:1" ht="15.75">
      <c r="A460" s="79" t="s">
        <v>1786</v>
      </c>
    </row>
    <row r="461" spans="1:1" ht="15.75">
      <c r="A461" s="79" t="s">
        <v>784</v>
      </c>
    </row>
    <row r="462" spans="1:1" ht="15.75">
      <c r="A462" s="79"/>
    </row>
    <row r="463" spans="1:1" ht="15.75">
      <c r="A463" s="79" t="s">
        <v>765</v>
      </c>
    </row>
    <row r="464" spans="1:1" ht="15.75">
      <c r="A464" s="79" t="s">
        <v>1787</v>
      </c>
    </row>
    <row r="465" spans="1:1" ht="15.75">
      <c r="A465" s="79" t="s">
        <v>784</v>
      </c>
    </row>
    <row r="466" spans="1:1" ht="15.75">
      <c r="A466" s="79"/>
    </row>
    <row r="467" spans="1:1" ht="15.75">
      <c r="A467" s="79" t="s">
        <v>765</v>
      </c>
    </row>
    <row r="468" spans="1:1" ht="15.75">
      <c r="A468" s="79" t="s">
        <v>1788</v>
      </c>
    </row>
    <row r="469" spans="1:1" ht="15.75">
      <c r="A469" s="79" t="s">
        <v>784</v>
      </c>
    </row>
    <row r="470" spans="1:1" ht="15.75">
      <c r="A470" s="79"/>
    </row>
    <row r="471" spans="1:1" ht="15.75">
      <c r="A471" s="79" t="s">
        <v>765</v>
      </c>
    </row>
    <row r="472" spans="1:1" ht="15.75">
      <c r="A472" s="79" t="s">
        <v>1789</v>
      </c>
    </row>
    <row r="473" spans="1:1" ht="15.75">
      <c r="A473" s="79" t="s">
        <v>784</v>
      </c>
    </row>
    <row r="474" spans="1:1" ht="15.75">
      <c r="A474" s="79"/>
    </row>
    <row r="475" spans="1:1" ht="15.75">
      <c r="A475" s="79" t="s">
        <v>765</v>
      </c>
    </row>
    <row r="476" spans="1:1" ht="15.75">
      <c r="A476" s="79" t="s">
        <v>765</v>
      </c>
    </row>
    <row r="477" spans="1:1" ht="15.75">
      <c r="A477" s="79" t="s">
        <v>765</v>
      </c>
    </row>
    <row r="478" spans="1:1" ht="15.75">
      <c r="A478" s="79" t="s">
        <v>765</v>
      </c>
    </row>
    <row r="479" spans="1:1" ht="15.75">
      <c r="A479" s="79" t="s">
        <v>765</v>
      </c>
    </row>
    <row r="480" spans="1:1" ht="15.75">
      <c r="A480" s="79" t="s">
        <v>1790</v>
      </c>
    </row>
    <row r="481" spans="1:1" ht="15.75">
      <c r="A481" s="79"/>
    </row>
    <row r="482" spans="1:1" ht="15.75">
      <c r="A482" s="79" t="s">
        <v>765</v>
      </c>
    </row>
    <row r="483" spans="1:1" ht="15.75">
      <c r="A483" s="79" t="s">
        <v>765</v>
      </c>
    </row>
    <row r="484" spans="1:1" ht="15.75">
      <c r="A484" s="79" t="s">
        <v>765</v>
      </c>
    </row>
    <row r="485" spans="1:1" ht="15.75">
      <c r="A485" s="79" t="s">
        <v>765</v>
      </c>
    </row>
    <row r="486" spans="1:1" ht="15.75">
      <c r="A486" s="79" t="s">
        <v>765</v>
      </c>
    </row>
    <row r="487" spans="1:1" ht="15.75">
      <c r="A487" s="79" t="s">
        <v>826</v>
      </c>
    </row>
    <row r="488" spans="1:1" ht="15.75">
      <c r="A488" s="79"/>
    </row>
    <row r="489" spans="1:1" ht="15.75">
      <c r="A489" s="79" t="s">
        <v>765</v>
      </c>
    </row>
    <row r="490" spans="1:1" ht="15.75">
      <c r="A490" s="79" t="s">
        <v>827</v>
      </c>
    </row>
    <row r="491" spans="1:1" ht="15.75">
      <c r="A491" s="79" t="s">
        <v>1668</v>
      </c>
    </row>
    <row r="492" spans="1:1" ht="15.75">
      <c r="A492" s="79"/>
    </row>
    <row r="493" spans="1:1" ht="15.75">
      <c r="A493" s="79" t="s">
        <v>765</v>
      </c>
    </row>
    <row r="494" spans="1:1" ht="15.75">
      <c r="A494" s="79" t="s">
        <v>765</v>
      </c>
    </row>
    <row r="495" spans="1:1" ht="15.75">
      <c r="A495" s="79" t="s">
        <v>765</v>
      </c>
    </row>
    <row r="496" spans="1:1" ht="15.75">
      <c r="A496" s="79" t="s">
        <v>765</v>
      </c>
    </row>
    <row r="497" spans="1:1" ht="15.75">
      <c r="A497" s="79" t="s">
        <v>765</v>
      </c>
    </row>
    <row r="498" spans="1:1" ht="15.75">
      <c r="A498" s="79" t="s">
        <v>1669</v>
      </c>
    </row>
    <row r="499" spans="1:1" ht="15.75">
      <c r="A499" s="79"/>
    </row>
    <row r="500" spans="1:1" ht="15.75">
      <c r="A500" s="79" t="s">
        <v>765</v>
      </c>
    </row>
    <row r="501" spans="1:1" ht="15.75">
      <c r="A501" s="79" t="s">
        <v>1670</v>
      </c>
    </row>
    <row r="502" spans="1:1" ht="15.75">
      <c r="A502" s="79" t="s">
        <v>926</v>
      </c>
    </row>
    <row r="503" spans="1:1" ht="15.75">
      <c r="A503" s="79"/>
    </row>
    <row r="504" spans="1:1" ht="15.75">
      <c r="A504" s="79" t="s">
        <v>765</v>
      </c>
    </row>
    <row r="505" spans="1:1" ht="15.75">
      <c r="A505" s="79" t="s">
        <v>765</v>
      </c>
    </row>
    <row r="506" spans="1:1" ht="15.75">
      <c r="A506" s="79" t="s">
        <v>765</v>
      </c>
    </row>
    <row r="507" spans="1:1" ht="15.75">
      <c r="A507" s="79" t="s">
        <v>765</v>
      </c>
    </row>
    <row r="508" spans="1:1" ht="15.75">
      <c r="A508" s="79" t="s">
        <v>765</v>
      </c>
    </row>
    <row r="509" spans="1:1" ht="15.75">
      <c r="A509" s="79" t="s">
        <v>765</v>
      </c>
    </row>
    <row r="510" spans="1:1" ht="15.75">
      <c r="A510" s="79" t="s">
        <v>765</v>
      </c>
    </row>
    <row r="511" spans="1:1" ht="15.75">
      <c r="A511" s="79" t="s">
        <v>765</v>
      </c>
    </row>
    <row r="512" spans="1:1" ht="15.75">
      <c r="A512" s="79" t="s">
        <v>765</v>
      </c>
    </row>
    <row r="513" spans="1:1" ht="15.75">
      <c r="A513" s="79" t="s">
        <v>765</v>
      </c>
    </row>
    <row r="514" spans="1:1" ht="15.75">
      <c r="A514" s="79" t="s">
        <v>765</v>
      </c>
    </row>
    <row r="515" spans="1:1" ht="15.75">
      <c r="A515" s="79" t="s">
        <v>1671</v>
      </c>
    </row>
    <row r="516" spans="1:1" ht="15.75">
      <c r="A516" s="79"/>
    </row>
    <row r="517" spans="1:1" ht="15.75">
      <c r="A517" s="79" t="s">
        <v>765</v>
      </c>
    </row>
    <row r="518" spans="1:1" ht="15.75">
      <c r="A518" s="79" t="s">
        <v>1672</v>
      </c>
    </row>
    <row r="519" spans="1:1" ht="15.75">
      <c r="A519" s="79" t="s">
        <v>1673</v>
      </c>
    </row>
    <row r="520" spans="1:1" ht="15.75">
      <c r="A520" s="79" t="s">
        <v>1674</v>
      </c>
    </row>
    <row r="521" spans="1:1" ht="15.75">
      <c r="A521" s="79"/>
    </row>
    <row r="522" spans="1:1" ht="15.75">
      <c r="A522" s="79" t="s">
        <v>765</v>
      </c>
    </row>
    <row r="523" spans="1:1" ht="15.75">
      <c r="A523" s="79" t="s">
        <v>1676</v>
      </c>
    </row>
    <row r="524" spans="1:1" ht="15.75">
      <c r="A524" s="79"/>
    </row>
    <row r="525" spans="1:1" ht="15.75">
      <c r="A525" s="79" t="s">
        <v>765</v>
      </c>
    </row>
    <row r="526" spans="1:1" ht="15.75">
      <c r="A526" s="79" t="s">
        <v>1680</v>
      </c>
    </row>
    <row r="527" spans="1:1" ht="15.75">
      <c r="A527" s="79"/>
    </row>
    <row r="528" spans="1:1" ht="15.75">
      <c r="A528" s="79" t="s">
        <v>824</v>
      </c>
    </row>
    <row r="529" spans="1:24" ht="15.75">
      <c r="A529" s="79" t="s">
        <v>1681</v>
      </c>
      <c r="G529" s="155" t="s">
        <v>740</v>
      </c>
      <c r="H529" s="155" t="s">
        <v>862</v>
      </c>
      <c r="I529" s="155" t="s">
        <v>864</v>
      </c>
      <c r="J529" s="155" t="s">
        <v>1679</v>
      </c>
      <c r="K529" s="155" t="s">
        <v>864</v>
      </c>
      <c r="L529" s="155" t="s">
        <v>863</v>
      </c>
    </row>
    <row r="530" spans="1:24" ht="15.75">
      <c r="A530" s="79" t="s">
        <v>825</v>
      </c>
    </row>
    <row r="531" spans="1:24" ht="15.75">
      <c r="A531" s="79" t="s">
        <v>1682</v>
      </c>
      <c r="B531" s="99"/>
      <c r="C531" s="99"/>
      <c r="D531" s="99"/>
      <c r="E531" s="99"/>
      <c r="F531" s="99"/>
      <c r="G531" s="99" t="s">
        <v>572</v>
      </c>
      <c r="H531" s="99">
        <v>46</v>
      </c>
      <c r="I531" s="99">
        <v>252.53720000000001</v>
      </c>
      <c r="J531" s="99">
        <v>32.035629999999998</v>
      </c>
      <c r="K531" s="99">
        <v>52.698619999999998</v>
      </c>
      <c r="L531" s="99">
        <v>2</v>
      </c>
      <c r="M531" s="99"/>
    </row>
    <row r="532" spans="1:24" ht="15.75">
      <c r="A532" s="79" t="s">
        <v>1683</v>
      </c>
      <c r="B532" s="99"/>
      <c r="C532" s="99"/>
      <c r="D532" s="99"/>
      <c r="E532" s="99"/>
      <c r="F532" s="99"/>
      <c r="G532" s="99" t="s">
        <v>574</v>
      </c>
      <c r="H532" s="99">
        <v>64</v>
      </c>
      <c r="I532" s="99">
        <v>21.642040000000001</v>
      </c>
      <c r="J532" s="99">
        <v>8.4745170000000005</v>
      </c>
      <c r="K532" s="99">
        <v>13.940580000000001</v>
      </c>
      <c r="L532" s="99">
        <v>4</v>
      </c>
      <c r="M532" s="99"/>
    </row>
    <row r="533" spans="1:24" ht="15.75">
      <c r="A533" s="79" t="s">
        <v>1684</v>
      </c>
      <c r="B533" s="99"/>
      <c r="C533" s="99"/>
      <c r="D533" s="99"/>
      <c r="E533" s="99"/>
      <c r="F533" s="99"/>
      <c r="G533" s="99" t="s">
        <v>369</v>
      </c>
      <c r="H533" s="99">
        <v>79</v>
      </c>
      <c r="I533" s="99">
        <v>85.232150000000004</v>
      </c>
      <c r="J533" s="99">
        <v>23.504740000000002</v>
      </c>
      <c r="K533" s="99">
        <v>38.665300000000002</v>
      </c>
      <c r="L533" s="99">
        <v>10</v>
      </c>
      <c r="M533" s="99"/>
      <c r="O533" s="110" t="s">
        <v>1675</v>
      </c>
    </row>
    <row r="534" spans="1:24" ht="15.75">
      <c r="A534" s="79" t="s">
        <v>1685</v>
      </c>
      <c r="B534" s="99"/>
      <c r="C534" s="99"/>
      <c r="D534" s="99"/>
      <c r="E534" s="99"/>
      <c r="F534" s="99"/>
      <c r="G534" s="99" t="s">
        <v>597</v>
      </c>
      <c r="H534" s="99">
        <v>151</v>
      </c>
      <c r="I534" s="99">
        <v>146.59049999999999</v>
      </c>
      <c r="J534" s="99">
        <v>19.41168</v>
      </c>
      <c r="K534" s="99">
        <v>31.932210000000001</v>
      </c>
      <c r="L534" s="99">
        <v>35</v>
      </c>
      <c r="M534" s="99"/>
      <c r="O534" s="110"/>
    </row>
    <row r="535" spans="1:24" ht="90.75">
      <c r="A535" s="79" t="s">
        <v>1686</v>
      </c>
      <c r="B535" s="99"/>
      <c r="C535" s="99"/>
      <c r="D535" s="99"/>
      <c r="E535" s="99"/>
      <c r="F535" s="99"/>
      <c r="G535" s="99" t="s">
        <v>598</v>
      </c>
      <c r="H535" s="99">
        <v>59</v>
      </c>
      <c r="I535" s="99">
        <v>22.730460000000001</v>
      </c>
      <c r="J535" s="99">
        <v>7.2896010000000002</v>
      </c>
      <c r="K535" s="99">
        <v>11.991390000000001</v>
      </c>
      <c r="L535" s="99">
        <v>7</v>
      </c>
      <c r="M535" s="99"/>
      <c r="O535" s="155" t="s">
        <v>841</v>
      </c>
      <c r="P535" s="93" t="s">
        <v>865</v>
      </c>
      <c r="Q535" s="93" t="s">
        <v>1677</v>
      </c>
      <c r="R535" s="93" t="s">
        <v>866</v>
      </c>
      <c r="S535" s="93" t="s">
        <v>867</v>
      </c>
      <c r="T535" s="93" t="s">
        <v>868</v>
      </c>
      <c r="U535" s="93" t="s">
        <v>869</v>
      </c>
      <c r="X535" s="93" t="s">
        <v>1678</v>
      </c>
    </row>
    <row r="536" spans="1:24" ht="15.75">
      <c r="A536" s="79" t="s">
        <v>1687</v>
      </c>
      <c r="B536" s="99"/>
      <c r="C536" s="99"/>
      <c r="D536" s="99"/>
      <c r="E536" s="99"/>
      <c r="F536" s="99"/>
      <c r="G536" s="99" t="s">
        <v>599</v>
      </c>
      <c r="H536" s="99">
        <v>46</v>
      </c>
      <c r="I536" s="99">
        <v>66.850890000000007</v>
      </c>
      <c r="J536" s="99">
        <v>12.035259999999999</v>
      </c>
      <c r="K536" s="99">
        <v>19.797999999999998</v>
      </c>
      <c r="L536" s="99">
        <v>9</v>
      </c>
      <c r="M536" s="99"/>
      <c r="O536" s="155" t="s">
        <v>572</v>
      </c>
      <c r="P536" s="155">
        <v>46</v>
      </c>
      <c r="Q536" s="95">
        <v>252.53720000000001</v>
      </c>
      <c r="R536" s="95">
        <v>32.035629999999998</v>
      </c>
      <c r="S536" s="95">
        <v>52.698619999999998</v>
      </c>
      <c r="T536" s="155">
        <v>2</v>
      </c>
      <c r="U536" s="95">
        <v>305.23579999999998</v>
      </c>
      <c r="X536" s="156">
        <f t="shared" ref="X536:X541" si="0">T536/P536</f>
        <v>4.3478260869565216E-2</v>
      </c>
    </row>
    <row r="537" spans="1:24" ht="15.75">
      <c r="A537" s="79" t="s">
        <v>824</v>
      </c>
      <c r="O537" s="155" t="s">
        <v>574</v>
      </c>
      <c r="P537" s="155">
        <v>64</v>
      </c>
      <c r="Q537" s="95">
        <v>21.642040000000001</v>
      </c>
      <c r="R537" s="95">
        <v>8.4745170000000005</v>
      </c>
      <c r="S537" s="95">
        <v>13.940580000000001</v>
      </c>
      <c r="T537" s="155">
        <v>4</v>
      </c>
      <c r="U537" s="95">
        <v>35.582619999999999</v>
      </c>
      <c r="X537" s="156">
        <f t="shared" si="0"/>
        <v>6.25E-2</v>
      </c>
    </row>
    <row r="538" spans="1:24" ht="15.75">
      <c r="A538" s="79"/>
      <c r="O538" s="155" t="s">
        <v>369</v>
      </c>
      <c r="P538" s="155">
        <v>79</v>
      </c>
      <c r="Q538" s="95">
        <v>85.232150000000004</v>
      </c>
      <c r="R538" s="95">
        <v>23.504740000000002</v>
      </c>
      <c r="S538" s="95">
        <v>38.665300000000002</v>
      </c>
      <c r="T538" s="155">
        <v>10</v>
      </c>
      <c r="U538" s="95">
        <v>123.89749999999999</v>
      </c>
      <c r="X538" s="156">
        <f t="shared" si="0"/>
        <v>0.12658227848101267</v>
      </c>
    </row>
    <row r="539" spans="1:24" ht="15.75">
      <c r="A539" s="79" t="s">
        <v>765</v>
      </c>
      <c r="O539" s="155" t="s">
        <v>597</v>
      </c>
      <c r="P539" s="155">
        <v>151</v>
      </c>
      <c r="Q539" s="95">
        <v>146.59049999999999</v>
      </c>
      <c r="R539" s="95">
        <v>19.41168</v>
      </c>
      <c r="S539" s="95">
        <v>31.932210000000001</v>
      </c>
      <c r="T539" s="155">
        <v>35</v>
      </c>
      <c r="U539" s="95">
        <v>178.52269999999999</v>
      </c>
      <c r="X539" s="156">
        <f t="shared" si="0"/>
        <v>0.23178807947019867</v>
      </c>
    </row>
    <row r="540" spans="1:24" ht="15.75">
      <c r="A540" s="79" t="s">
        <v>1688</v>
      </c>
      <c r="O540" s="155" t="s">
        <v>598</v>
      </c>
      <c r="P540" s="155">
        <v>59</v>
      </c>
      <c r="Q540" s="95">
        <v>22.730460000000001</v>
      </c>
      <c r="R540" s="95">
        <v>7.2896010000000002</v>
      </c>
      <c r="S540" s="95">
        <v>11.991390000000001</v>
      </c>
      <c r="T540" s="155">
        <v>7</v>
      </c>
      <c r="U540" s="95">
        <v>34.72186</v>
      </c>
      <c r="X540" s="156">
        <f t="shared" si="0"/>
        <v>0.11864406779661017</v>
      </c>
    </row>
    <row r="541" spans="1:24" ht="15.75">
      <c r="A541" s="79"/>
      <c r="O541" s="155" t="s">
        <v>599</v>
      </c>
      <c r="P541" s="155">
        <v>46</v>
      </c>
      <c r="Q541" s="95">
        <v>66.850890000000007</v>
      </c>
      <c r="R541" s="95">
        <v>12.035259999999999</v>
      </c>
      <c r="S541" s="95">
        <v>19.797999999999998</v>
      </c>
      <c r="T541" s="155">
        <v>9</v>
      </c>
      <c r="U541" s="95">
        <v>86.648889999999994</v>
      </c>
      <c r="X541" s="156">
        <f t="shared" si="0"/>
        <v>0.19565217391304349</v>
      </c>
    </row>
    <row r="542" spans="1:24" ht="15.75">
      <c r="A542" s="79" t="s">
        <v>765</v>
      </c>
    </row>
    <row r="543" spans="1:24" ht="15.75">
      <c r="A543" s="79" t="s">
        <v>1689</v>
      </c>
    </row>
    <row r="544" spans="1:24" ht="15.75">
      <c r="A544" s="79"/>
    </row>
    <row r="545" spans="1:12" ht="15.75">
      <c r="A545" s="79" t="s">
        <v>824</v>
      </c>
    </row>
    <row r="546" spans="1:12" ht="15.75">
      <c r="A546" s="79" t="s">
        <v>1690</v>
      </c>
      <c r="G546" s="155" t="s">
        <v>740</v>
      </c>
      <c r="H546" s="155" t="s">
        <v>864</v>
      </c>
      <c r="I546" s="155" t="s">
        <v>1679</v>
      </c>
      <c r="J546" s="155" t="s">
        <v>864</v>
      </c>
      <c r="K546" s="155" t="s">
        <v>863</v>
      </c>
      <c r="L546" s="155" t="s">
        <v>864</v>
      </c>
    </row>
    <row r="547" spans="1:12" ht="15.75">
      <c r="A547" s="79" t="s">
        <v>825</v>
      </c>
    </row>
    <row r="548" spans="1:12" ht="15.75">
      <c r="A548" s="79" t="s">
        <v>1691</v>
      </c>
      <c r="B548" s="99"/>
      <c r="C548" s="99"/>
      <c r="D548" s="99"/>
      <c r="E548" s="99"/>
      <c r="F548" s="99"/>
      <c r="G548" s="99" t="s">
        <v>572</v>
      </c>
      <c r="H548" s="99">
        <v>252.53720000000001</v>
      </c>
      <c r="I548" s="99">
        <v>32.035629999999998</v>
      </c>
      <c r="J548" s="99">
        <v>52.698619999999998</v>
      </c>
      <c r="K548" s="99">
        <v>2</v>
      </c>
      <c r="L548" s="99">
        <v>305.23579999999998</v>
      </c>
    </row>
    <row r="549" spans="1:12" ht="15.75">
      <c r="A549" s="79" t="s">
        <v>1692</v>
      </c>
      <c r="B549" s="99"/>
      <c r="C549" s="99"/>
      <c r="D549" s="99"/>
      <c r="E549" s="99"/>
      <c r="F549" s="99"/>
      <c r="G549" s="99" t="s">
        <v>574</v>
      </c>
      <c r="H549" s="99">
        <v>21.642040000000001</v>
      </c>
      <c r="I549" s="99">
        <v>8.4745170000000005</v>
      </c>
      <c r="J549" s="99">
        <v>13.940580000000001</v>
      </c>
      <c r="K549" s="99">
        <v>4</v>
      </c>
      <c r="L549" s="99">
        <v>35.582619999999999</v>
      </c>
    </row>
    <row r="550" spans="1:12" ht="15.75">
      <c r="A550" s="79" t="s">
        <v>1693</v>
      </c>
      <c r="B550" s="99"/>
      <c r="C550" s="99"/>
      <c r="D550" s="99"/>
      <c r="E550" s="99"/>
      <c r="F550" s="99"/>
      <c r="G550" s="99" t="s">
        <v>369</v>
      </c>
      <c r="H550" s="99">
        <v>85.232150000000004</v>
      </c>
      <c r="I550" s="99">
        <v>23.504740000000002</v>
      </c>
      <c r="J550" s="99">
        <v>38.665300000000002</v>
      </c>
      <c r="K550" s="99">
        <v>10</v>
      </c>
      <c r="L550" s="99">
        <v>123.89749999999999</v>
      </c>
    </row>
    <row r="551" spans="1:12" ht="15.75">
      <c r="A551" s="79" t="s">
        <v>1694</v>
      </c>
      <c r="B551" s="99"/>
      <c r="C551" s="99"/>
      <c r="D551" s="99"/>
      <c r="E551" s="99"/>
      <c r="F551" s="99"/>
      <c r="G551" s="99" t="s">
        <v>597</v>
      </c>
      <c r="H551" s="99">
        <v>146.59049999999999</v>
      </c>
      <c r="I551" s="99">
        <v>19.41168</v>
      </c>
      <c r="J551" s="99">
        <v>31.932210000000001</v>
      </c>
      <c r="K551" s="99">
        <v>35</v>
      </c>
      <c r="L551" s="99">
        <v>178.52269999999999</v>
      </c>
    </row>
    <row r="552" spans="1:12" ht="15.75">
      <c r="A552" s="79" t="s">
        <v>1695</v>
      </c>
      <c r="B552" s="99"/>
      <c r="C552" s="99"/>
      <c r="D552" s="99"/>
      <c r="E552" s="99"/>
      <c r="F552" s="99"/>
      <c r="G552" s="99" t="s">
        <v>598</v>
      </c>
      <c r="H552" s="99">
        <v>22.730460000000001</v>
      </c>
      <c r="I552" s="99">
        <v>7.2896010000000002</v>
      </c>
      <c r="J552" s="99">
        <v>11.991390000000001</v>
      </c>
      <c r="K552" s="99">
        <v>7</v>
      </c>
      <c r="L552" s="99">
        <v>34.72186</v>
      </c>
    </row>
    <row r="553" spans="1:12" ht="15.75">
      <c r="A553" s="79" t="s">
        <v>1696</v>
      </c>
      <c r="B553" s="99"/>
      <c r="C553" s="99"/>
      <c r="D553" s="99"/>
      <c r="E553" s="99"/>
      <c r="F553" s="99"/>
      <c r="G553" s="99" t="s">
        <v>599</v>
      </c>
      <c r="H553" s="99">
        <v>66.850890000000007</v>
      </c>
      <c r="I553" s="99">
        <v>12.035259999999999</v>
      </c>
      <c r="J553" s="99">
        <v>19.797999999999998</v>
      </c>
      <c r="K553" s="99">
        <v>9</v>
      </c>
      <c r="L553" s="99">
        <v>86.648889999999994</v>
      </c>
    </row>
    <row r="554" spans="1:12" ht="15.75">
      <c r="A554" s="79" t="s">
        <v>824</v>
      </c>
    </row>
    <row r="555" spans="1:12" ht="15.75">
      <c r="A555" s="79"/>
    </row>
    <row r="556" spans="1:12" ht="15.75">
      <c r="A556" s="79" t="s">
        <v>765</v>
      </c>
    </row>
    <row r="557" spans="1:12" ht="15.75">
      <c r="A557" s="79" t="s">
        <v>765</v>
      </c>
    </row>
    <row r="558" spans="1:12" ht="15.75">
      <c r="A558" s="79" t="s">
        <v>765</v>
      </c>
    </row>
    <row r="559" spans="1:12" ht="15.75">
      <c r="A559" s="79" t="s">
        <v>765</v>
      </c>
    </row>
    <row r="560" spans="1:12" ht="15.75">
      <c r="A560" s="79" t="s">
        <v>765</v>
      </c>
    </row>
    <row r="561" spans="1:1" ht="15.75">
      <c r="A561" s="79" t="s">
        <v>765</v>
      </c>
    </row>
    <row r="562" spans="1:1" ht="15.75">
      <c r="A562" s="79" t="s">
        <v>765</v>
      </c>
    </row>
    <row r="563" spans="1:1" ht="15.75">
      <c r="A563" s="79" t="s">
        <v>765</v>
      </c>
    </row>
    <row r="564" spans="1:1" ht="15.75">
      <c r="A564" s="79" t="s">
        <v>765</v>
      </c>
    </row>
    <row r="565" spans="1:1" ht="15.75">
      <c r="A565" s="79" t="s">
        <v>1697</v>
      </c>
    </row>
    <row r="566" spans="1:1" ht="15.75">
      <c r="A566" s="79"/>
    </row>
    <row r="567" spans="1:1" ht="15.75">
      <c r="A567" s="79" t="s">
        <v>765</v>
      </c>
    </row>
    <row r="568" spans="1:1" ht="15.75">
      <c r="A568" s="79" t="s">
        <v>1698</v>
      </c>
    </row>
    <row r="569" spans="1:1" ht="15.75">
      <c r="A569" s="79"/>
    </row>
    <row r="570" spans="1:1" ht="15.75">
      <c r="A570" s="79" t="s">
        <v>1699</v>
      </c>
    </row>
    <row r="571" spans="1:1" ht="15.75">
      <c r="A571" s="79" t="s">
        <v>1700</v>
      </c>
    </row>
    <row r="572" spans="1:1" ht="15.75">
      <c r="A572" s="79" t="s">
        <v>1701</v>
      </c>
    </row>
    <row r="573" spans="1:1" ht="15.75">
      <c r="A573" s="79" t="s">
        <v>1702</v>
      </c>
    </row>
    <row r="574" spans="1:1" ht="15.75">
      <c r="A574" s="79" t="s">
        <v>1703</v>
      </c>
    </row>
    <row r="575" spans="1:1" ht="15.75">
      <c r="A575" s="79" t="s">
        <v>1704</v>
      </c>
    </row>
    <row r="576" spans="1:1" ht="15.75">
      <c r="A576" s="79" t="s">
        <v>1705</v>
      </c>
    </row>
    <row r="577" spans="1:1" ht="15.75">
      <c r="A577" s="79" t="s">
        <v>1706</v>
      </c>
    </row>
    <row r="578" spans="1:1" ht="15.75">
      <c r="A578" s="79" t="s">
        <v>1707</v>
      </c>
    </row>
    <row r="579" spans="1:1" ht="15.75">
      <c r="A579" s="79" t="s">
        <v>1699</v>
      </c>
    </row>
    <row r="580" spans="1:1" ht="15.75">
      <c r="A580" s="79"/>
    </row>
    <row r="581" spans="1:1" ht="15.75">
      <c r="A581" s="79" t="s">
        <v>765</v>
      </c>
    </row>
    <row r="582" spans="1:1" ht="15.75">
      <c r="A582" s="79" t="s">
        <v>765</v>
      </c>
    </row>
    <row r="583" spans="1:1" ht="15.75">
      <c r="A583" s="79" t="s">
        <v>765</v>
      </c>
    </row>
    <row r="584" spans="1:1" ht="15.75">
      <c r="A584" s="79" t="s">
        <v>765</v>
      </c>
    </row>
    <row r="585" spans="1:1" ht="15.75">
      <c r="A585" s="79" t="s">
        <v>765</v>
      </c>
    </row>
    <row r="586" spans="1:1" ht="15.75">
      <c r="A586" s="79" t="s">
        <v>1708</v>
      </c>
    </row>
    <row r="587" spans="1:1" ht="15.75">
      <c r="A587" s="79"/>
    </row>
    <row r="588" spans="1:1" ht="15.75">
      <c r="A588" s="79" t="s">
        <v>765</v>
      </c>
    </row>
    <row r="589" spans="1:1" ht="15.75">
      <c r="A589" s="79" t="s">
        <v>1698</v>
      </c>
    </row>
    <row r="590" spans="1:1" ht="15.75">
      <c r="A590" s="79"/>
    </row>
    <row r="591" spans="1:1" ht="15.75">
      <c r="A591" s="79" t="s">
        <v>1699</v>
      </c>
    </row>
    <row r="592" spans="1:1" ht="15.75">
      <c r="A592" s="79" t="s">
        <v>1700</v>
      </c>
    </row>
    <row r="593" spans="1:1" ht="15.75">
      <c r="A593" s="79" t="s">
        <v>1701</v>
      </c>
    </row>
    <row r="594" spans="1:1" ht="15.75">
      <c r="A594" s="79" t="s">
        <v>1702</v>
      </c>
    </row>
    <row r="595" spans="1:1" ht="15.75">
      <c r="A595" s="79" t="s">
        <v>1703</v>
      </c>
    </row>
    <row r="596" spans="1:1" ht="15.75">
      <c r="A596" s="79" t="s">
        <v>1704</v>
      </c>
    </row>
    <row r="597" spans="1:1" ht="15.75">
      <c r="A597" s="79" t="s">
        <v>1705</v>
      </c>
    </row>
    <row r="598" spans="1:1" ht="15.75">
      <c r="A598" s="79" t="s">
        <v>1706</v>
      </c>
    </row>
    <row r="599" spans="1:1" ht="15.75">
      <c r="A599" s="79" t="s">
        <v>1707</v>
      </c>
    </row>
    <row r="600" spans="1:1" ht="15.75">
      <c r="A600" s="79" t="s">
        <v>1699</v>
      </c>
    </row>
    <row r="601" spans="1:1" ht="15.75">
      <c r="A601" s="79"/>
    </row>
    <row r="602" spans="1:1" ht="15.75">
      <c r="A602" s="79" t="s">
        <v>765</v>
      </c>
    </row>
    <row r="603" spans="1:1" ht="15.75">
      <c r="A603" s="79" t="s">
        <v>765</v>
      </c>
    </row>
    <row r="604" spans="1:1" ht="15.75">
      <c r="A604" s="79" t="s">
        <v>765</v>
      </c>
    </row>
    <row r="605" spans="1:1" ht="15.75">
      <c r="A605" s="79" t="s">
        <v>1709</v>
      </c>
    </row>
    <row r="606" spans="1:1" ht="15.75">
      <c r="A606" s="79"/>
    </row>
    <row r="607" spans="1:1" ht="15.75">
      <c r="A607" s="79" t="s">
        <v>765</v>
      </c>
    </row>
    <row r="608" spans="1:1" ht="15.75">
      <c r="A608" s="79" t="s">
        <v>1710</v>
      </c>
    </row>
    <row r="609" spans="1:1" ht="15.75">
      <c r="A609" s="79"/>
    </row>
    <row r="610" spans="1:1" ht="15.75">
      <c r="A610" s="79" t="s">
        <v>1711</v>
      </c>
    </row>
    <row r="611" spans="1:1" ht="15.75">
      <c r="A611" s="79" t="s">
        <v>1712</v>
      </c>
    </row>
    <row r="612" spans="1:1" ht="15.75">
      <c r="A612" s="79" t="s">
        <v>1713</v>
      </c>
    </row>
    <row r="613" spans="1:1" ht="15.75">
      <c r="A613" s="79" t="s">
        <v>1714</v>
      </c>
    </row>
    <row r="614" spans="1:1" ht="15.75">
      <c r="A614" s="79" t="s">
        <v>1715</v>
      </c>
    </row>
    <row r="615" spans="1:1" ht="15.75">
      <c r="A615" s="79" t="s">
        <v>1716</v>
      </c>
    </row>
    <row r="616" spans="1:1" ht="15.75">
      <c r="A616" s="79" t="s">
        <v>1717</v>
      </c>
    </row>
    <row r="617" spans="1:1" ht="15.75">
      <c r="A617" s="79" t="s">
        <v>1718</v>
      </c>
    </row>
    <row r="618" spans="1:1" ht="15.75">
      <c r="A618" s="79" t="s">
        <v>1719</v>
      </c>
    </row>
    <row r="619" spans="1:1" ht="15.75">
      <c r="A619" s="79" t="s">
        <v>1711</v>
      </c>
    </row>
    <row r="620" spans="1:1" ht="15.75">
      <c r="A620" s="79"/>
    </row>
    <row r="621" spans="1:1" ht="15.75">
      <c r="A621" s="79" t="s">
        <v>765</v>
      </c>
    </row>
    <row r="622" spans="1:1" ht="15.75">
      <c r="A622" s="79" t="s">
        <v>765</v>
      </c>
    </row>
    <row r="623" spans="1:1" ht="15.75">
      <c r="A623" s="79" t="s">
        <v>765</v>
      </c>
    </row>
    <row r="624" spans="1:1" ht="15.75">
      <c r="A624" s="79" t="s">
        <v>1720</v>
      </c>
    </row>
    <row r="625" spans="1:1" ht="15.75">
      <c r="A625" s="79"/>
    </row>
    <row r="626" spans="1:1" ht="15.75">
      <c r="A626" s="79" t="s">
        <v>765</v>
      </c>
    </row>
    <row r="627" spans="1:1" ht="15.75">
      <c r="A627" s="79" t="s">
        <v>1721</v>
      </c>
    </row>
    <row r="628" spans="1:1" ht="15.75">
      <c r="A628" s="79"/>
    </row>
    <row r="629" spans="1:1" ht="15.75">
      <c r="A629" s="79" t="s">
        <v>1699</v>
      </c>
    </row>
    <row r="630" spans="1:1" ht="15.75">
      <c r="A630" s="79" t="s">
        <v>1722</v>
      </c>
    </row>
    <row r="631" spans="1:1" ht="15.75">
      <c r="A631" s="79" t="s">
        <v>1701</v>
      </c>
    </row>
    <row r="632" spans="1:1" ht="15.75">
      <c r="A632" s="79" t="s">
        <v>1723</v>
      </c>
    </row>
    <row r="633" spans="1:1" ht="15.75">
      <c r="A633" s="79" t="s">
        <v>1724</v>
      </c>
    </row>
    <row r="634" spans="1:1" ht="15.75">
      <c r="A634" s="79" t="s">
        <v>1725</v>
      </c>
    </row>
    <row r="635" spans="1:1" ht="15.75">
      <c r="A635" s="79" t="s">
        <v>1726</v>
      </c>
    </row>
    <row r="636" spans="1:1" ht="15.75">
      <c r="A636" s="79" t="s">
        <v>1727</v>
      </c>
    </row>
    <row r="637" spans="1:1" ht="15.75">
      <c r="A637" s="79" t="s">
        <v>1728</v>
      </c>
    </row>
    <row r="638" spans="1:1" ht="15.75">
      <c r="A638" s="79" t="s">
        <v>1699</v>
      </c>
    </row>
    <row r="639" spans="1:1" ht="15.75">
      <c r="A639" s="79"/>
    </row>
    <row r="640" spans="1:1" ht="15.75">
      <c r="A640" s="79" t="s">
        <v>765</v>
      </c>
    </row>
    <row r="641" spans="1:1" ht="15.75">
      <c r="A641" s="79" t="s">
        <v>765</v>
      </c>
    </row>
    <row r="642" spans="1:1" ht="15.75">
      <c r="A642" s="79" t="s">
        <v>765</v>
      </c>
    </row>
    <row r="643" spans="1:1" ht="15.75">
      <c r="A643" s="79" t="s">
        <v>765</v>
      </c>
    </row>
    <row r="644" spans="1:1" ht="15.75">
      <c r="A644" s="79" t="s">
        <v>765</v>
      </c>
    </row>
    <row r="645" spans="1:1" ht="15.75">
      <c r="A645" s="79" t="s">
        <v>765</v>
      </c>
    </row>
    <row r="646" spans="1:1" ht="15.75">
      <c r="A646" s="79" t="s">
        <v>765</v>
      </c>
    </row>
    <row r="647" spans="1:1" ht="15.75">
      <c r="A647" s="79" t="s">
        <v>765</v>
      </c>
    </row>
    <row r="648" spans="1:1" ht="15.75">
      <c r="A648" s="79" t="s">
        <v>765</v>
      </c>
    </row>
    <row r="649" spans="1:1" ht="15.75">
      <c r="A649" s="79" t="s">
        <v>765</v>
      </c>
    </row>
    <row r="650" spans="1:1" ht="15.75">
      <c r="A650" s="79" t="s">
        <v>765</v>
      </c>
    </row>
    <row r="651" spans="1:1" ht="15.75">
      <c r="A651" s="79" t="s">
        <v>765</v>
      </c>
    </row>
    <row r="652" spans="1:1" ht="15.75">
      <c r="A652" s="79" t="s">
        <v>765</v>
      </c>
    </row>
    <row r="653" spans="1:1" ht="15.75">
      <c r="A653" s="79" t="s">
        <v>765</v>
      </c>
    </row>
    <row r="654" spans="1:1" ht="15.75">
      <c r="A654" s="79" t="s">
        <v>765</v>
      </c>
    </row>
    <row r="655" spans="1:1" ht="15.75">
      <c r="A655" s="79" t="s">
        <v>765</v>
      </c>
    </row>
    <row r="656" spans="1:1" ht="15.75">
      <c r="A656" s="79" t="s">
        <v>765</v>
      </c>
    </row>
    <row r="657" spans="1:1" ht="15.75">
      <c r="A657" s="79" t="s">
        <v>765</v>
      </c>
    </row>
    <row r="658" spans="1:1" ht="15.75">
      <c r="A658" s="79" t="s">
        <v>765</v>
      </c>
    </row>
    <row r="659" spans="1:1" ht="15.75">
      <c r="A659" s="79" t="s">
        <v>765</v>
      </c>
    </row>
    <row r="660" spans="1:1" ht="15.75">
      <c r="A660" s="79" t="s">
        <v>765</v>
      </c>
    </row>
    <row r="661" spans="1:1" ht="15.75">
      <c r="A661" s="79" t="s">
        <v>765</v>
      </c>
    </row>
    <row r="662" spans="1:1" ht="15.75">
      <c r="A662" s="79" t="s">
        <v>765</v>
      </c>
    </row>
    <row r="663" spans="1:1" ht="15.75">
      <c r="A663" s="79" t="s">
        <v>765</v>
      </c>
    </row>
    <row r="664" spans="1:1" ht="15.75">
      <c r="A664" s="79" t="s">
        <v>765</v>
      </c>
    </row>
    <row r="665" spans="1:1" ht="15.75">
      <c r="A665" s="79" t="s">
        <v>765</v>
      </c>
    </row>
    <row r="666" spans="1:1" ht="15.75">
      <c r="A666" s="79" t="s">
        <v>765</v>
      </c>
    </row>
    <row r="667" spans="1:1" ht="15.75">
      <c r="A667" s="79" t="s">
        <v>1730</v>
      </c>
    </row>
    <row r="668" spans="1:1" ht="15.75">
      <c r="A668" s="79"/>
    </row>
    <row r="669" spans="1:1" ht="15.75">
      <c r="A669" s="79" t="s">
        <v>765</v>
      </c>
    </row>
    <row r="670" spans="1:1" ht="15.75">
      <c r="A670" s="79" t="s">
        <v>1791</v>
      </c>
    </row>
    <row r="671" spans="1:1" ht="15.75">
      <c r="A671" s="79" t="s">
        <v>942</v>
      </c>
    </row>
    <row r="672" spans="1:1" ht="15.75">
      <c r="A672" s="79"/>
    </row>
    <row r="673" spans="1:1" ht="15.75">
      <c r="A673" s="79" t="s">
        <v>765</v>
      </c>
    </row>
    <row r="674" spans="1:1" ht="15.75">
      <c r="A674" s="79" t="s">
        <v>1792</v>
      </c>
    </row>
    <row r="675" spans="1:1" ht="15.75">
      <c r="A675" s="79" t="s">
        <v>1793</v>
      </c>
    </row>
    <row r="676" spans="1:1" ht="15.75">
      <c r="A676" s="79" t="s">
        <v>943</v>
      </c>
    </row>
    <row r="677" spans="1:1" ht="15.75">
      <c r="A677" s="79"/>
    </row>
    <row r="678" spans="1:1" ht="15.75">
      <c r="A678" s="79" t="s">
        <v>765</v>
      </c>
    </row>
    <row r="679" spans="1:1" ht="15.75">
      <c r="A679" s="79" t="s">
        <v>1794</v>
      </c>
    </row>
    <row r="680" spans="1:1" ht="15.75">
      <c r="A680" s="79" t="s">
        <v>1731</v>
      </c>
    </row>
    <row r="681" spans="1:1" ht="15.75">
      <c r="A681" s="79" t="s">
        <v>944</v>
      </c>
    </row>
    <row r="682" spans="1:1" ht="15.75">
      <c r="A682" s="79"/>
    </row>
    <row r="683" spans="1:1" ht="15.75">
      <c r="A683" s="79" t="s">
        <v>765</v>
      </c>
    </row>
    <row r="684" spans="1:1" ht="15.75">
      <c r="A684" s="79" t="s">
        <v>1795</v>
      </c>
    </row>
    <row r="685" spans="1:1" ht="15.75">
      <c r="A685" s="79" t="s">
        <v>1796</v>
      </c>
    </row>
    <row r="686" spans="1:1" ht="15.75">
      <c r="A686" s="79" t="s">
        <v>945</v>
      </c>
    </row>
    <row r="687" spans="1:1" ht="15.75">
      <c r="A687" s="79"/>
    </row>
    <row r="688" spans="1:1" ht="15.75">
      <c r="A688" s="79" t="s">
        <v>765</v>
      </c>
    </row>
    <row r="689" spans="1:1" ht="15.75">
      <c r="A689" s="79" t="s">
        <v>1797</v>
      </c>
    </row>
    <row r="690" spans="1:1" ht="15.75">
      <c r="A690" s="79" t="s">
        <v>946</v>
      </c>
    </row>
    <row r="691" spans="1:1" ht="15.75">
      <c r="A691" s="79"/>
    </row>
    <row r="692" spans="1:1" ht="15.75">
      <c r="A692" s="79" t="s">
        <v>765</v>
      </c>
    </row>
    <row r="693" spans="1:1" ht="15.75">
      <c r="A693" s="79" t="s">
        <v>1798</v>
      </c>
    </row>
    <row r="694" spans="1:1" ht="15.75">
      <c r="A694" s="79" t="s">
        <v>947</v>
      </c>
    </row>
    <row r="695" spans="1:1" ht="15.75">
      <c r="A695" s="79"/>
    </row>
    <row r="696" spans="1:1" ht="15.75">
      <c r="A696" s="79" t="s">
        <v>765</v>
      </c>
    </row>
    <row r="697" spans="1:1" ht="15.75">
      <c r="A697" s="79" t="s">
        <v>765</v>
      </c>
    </row>
    <row r="698" spans="1:1" ht="15.75">
      <c r="A698" s="79" t="s">
        <v>765</v>
      </c>
    </row>
    <row r="699" spans="1:1" ht="15.75">
      <c r="A699" s="79" t="s">
        <v>1729</v>
      </c>
    </row>
    <row r="700" spans="1:1" ht="15.75">
      <c r="A700" s="79"/>
    </row>
    <row r="701" spans="1:1" ht="15.75">
      <c r="A701" s="79" t="s">
        <v>765</v>
      </c>
    </row>
    <row r="702" spans="1:1" ht="15.75">
      <c r="A702" s="79" t="s">
        <v>765</v>
      </c>
    </row>
    <row r="703" spans="1:1" ht="15.75">
      <c r="A703" s="79" t="s">
        <v>765</v>
      </c>
    </row>
    <row r="704" spans="1:1" ht="15.75">
      <c r="A704" s="79" t="s">
        <v>765</v>
      </c>
    </row>
    <row r="705" spans="1:1" ht="15.75">
      <c r="A705" s="79" t="s">
        <v>765</v>
      </c>
    </row>
    <row r="706" spans="1:1" ht="15.75">
      <c r="A706" s="79" t="s">
        <v>765</v>
      </c>
    </row>
    <row r="707" spans="1:1" ht="15.75">
      <c r="A707" s="79" t="s">
        <v>765</v>
      </c>
    </row>
    <row r="708" spans="1:1" ht="15.75">
      <c r="A708" s="79" t="s">
        <v>765</v>
      </c>
    </row>
    <row r="709" spans="1:1" ht="15.75">
      <c r="A709" s="79" t="s">
        <v>1799</v>
      </c>
    </row>
    <row r="710" spans="1:1" ht="15.75">
      <c r="A710" s="79"/>
    </row>
    <row r="711" spans="1:1" ht="15.75">
      <c r="A711" s="79" t="s">
        <v>765</v>
      </c>
    </row>
    <row r="712" spans="1:1" ht="15.75">
      <c r="A712" s="79" t="s">
        <v>1800</v>
      </c>
    </row>
    <row r="713" spans="1:1" ht="15.75">
      <c r="A713" s="79"/>
    </row>
    <row r="714" spans="1:1" ht="15.75">
      <c r="A714" s="79" t="s">
        <v>1801</v>
      </c>
    </row>
    <row r="715" spans="1:1" ht="15.75">
      <c r="A715" s="79" t="s">
        <v>1802</v>
      </c>
    </row>
    <row r="716" spans="1:1" ht="15.75">
      <c r="A716" s="79" t="s">
        <v>1803</v>
      </c>
    </row>
    <row r="717" spans="1:1" ht="15.75">
      <c r="A717" s="79" t="s">
        <v>1804</v>
      </c>
    </row>
    <row r="718" spans="1:1" ht="15.75">
      <c r="A718" s="79" t="s">
        <v>1805</v>
      </c>
    </row>
    <row r="719" spans="1:1" ht="15.75">
      <c r="A719" s="79" t="s">
        <v>1806</v>
      </c>
    </row>
    <row r="720" spans="1:1" ht="15.75">
      <c r="A720" s="79" t="s">
        <v>1807</v>
      </c>
    </row>
    <row r="721" spans="1:1" ht="15.75">
      <c r="A721" s="79" t="s">
        <v>1808</v>
      </c>
    </row>
    <row r="722" spans="1:1" ht="15.75">
      <c r="A722" s="79" t="s">
        <v>1809</v>
      </c>
    </row>
    <row r="723" spans="1:1" ht="15.75">
      <c r="A723" s="79" t="s">
        <v>1810</v>
      </c>
    </row>
    <row r="724" spans="1:1" ht="15.75">
      <c r="A724" s="79" t="s">
        <v>1811</v>
      </c>
    </row>
    <row r="725" spans="1:1" ht="15.75">
      <c r="A725" s="79" t="s">
        <v>1812</v>
      </c>
    </row>
    <row r="726" spans="1:1" ht="15.75">
      <c r="A726" s="79" t="s">
        <v>1813</v>
      </c>
    </row>
    <row r="727" spans="1:1" ht="15.75">
      <c r="A727" s="79" t="s">
        <v>1814</v>
      </c>
    </row>
    <row r="728" spans="1:1" ht="15.75">
      <c r="A728" s="79" t="s">
        <v>1815</v>
      </c>
    </row>
    <row r="729" spans="1:1" ht="15.75">
      <c r="A729" s="79" t="s">
        <v>1816</v>
      </c>
    </row>
    <row r="730" spans="1:1" ht="15.75">
      <c r="A730" s="79" t="s">
        <v>1817</v>
      </c>
    </row>
    <row r="731" spans="1:1" ht="15.75">
      <c r="A731" s="79" t="s">
        <v>1818</v>
      </c>
    </row>
    <row r="732" spans="1:1" ht="15.75">
      <c r="A732" s="79" t="s">
        <v>1819</v>
      </c>
    </row>
    <row r="733" spans="1:1" ht="15.75">
      <c r="A733" s="79" t="s">
        <v>1820</v>
      </c>
    </row>
    <row r="734" spans="1:1" ht="15.75">
      <c r="A734" s="79" t="s">
        <v>1821</v>
      </c>
    </row>
    <row r="735" spans="1:1" ht="15.75">
      <c r="A735" s="79" t="s">
        <v>1822</v>
      </c>
    </row>
    <row r="736" spans="1:1" ht="15.75">
      <c r="A736" s="79" t="s">
        <v>1823</v>
      </c>
    </row>
    <row r="737" spans="1:1" ht="15.75">
      <c r="A737" s="79" t="s">
        <v>1824</v>
      </c>
    </row>
    <row r="738" spans="1:1" ht="15.75">
      <c r="A738" s="79" t="s">
        <v>1825</v>
      </c>
    </row>
    <row r="739" spans="1:1" ht="15.75">
      <c r="A739" s="79" t="s">
        <v>1826</v>
      </c>
    </row>
    <row r="740" spans="1:1" ht="15.75">
      <c r="A740" s="79" t="s">
        <v>1827</v>
      </c>
    </row>
    <row r="741" spans="1:1" ht="15.75">
      <c r="A741" s="79" t="s">
        <v>1828</v>
      </c>
    </row>
    <row r="742" spans="1:1" ht="15.75">
      <c r="A742" s="79" t="s">
        <v>1829</v>
      </c>
    </row>
    <row r="743" spans="1:1" ht="15.75">
      <c r="A743" s="79" t="s">
        <v>1830</v>
      </c>
    </row>
    <row r="744" spans="1:1" ht="15.75">
      <c r="A744" s="79" t="s">
        <v>1831</v>
      </c>
    </row>
    <row r="745" spans="1:1" ht="15.75">
      <c r="A745" s="79" t="s">
        <v>1832</v>
      </c>
    </row>
    <row r="746" spans="1:1" ht="15.75">
      <c r="A746" s="79" t="s">
        <v>1833</v>
      </c>
    </row>
    <row r="747" spans="1:1" ht="15.75">
      <c r="A747" s="79" t="s">
        <v>1834</v>
      </c>
    </row>
    <row r="748" spans="1:1" ht="15.75">
      <c r="A748" s="79" t="s">
        <v>1835</v>
      </c>
    </row>
    <row r="749" spans="1:1" ht="15.75">
      <c r="A749" s="79" t="s">
        <v>1836</v>
      </c>
    </row>
    <row r="750" spans="1:1" ht="15.75">
      <c r="A750" s="79" t="s">
        <v>1837</v>
      </c>
    </row>
    <row r="751" spans="1:1" ht="15.75">
      <c r="A751" s="79" t="s">
        <v>1838</v>
      </c>
    </row>
    <row r="752" spans="1:1" ht="15.75">
      <c r="A752" s="79" t="s">
        <v>1839</v>
      </c>
    </row>
    <row r="753" spans="1:1" ht="15.75">
      <c r="A753" s="79" t="s">
        <v>1840</v>
      </c>
    </row>
    <row r="754" spans="1:1" ht="15.75">
      <c r="A754" s="79" t="s">
        <v>1841</v>
      </c>
    </row>
    <row r="755" spans="1:1" ht="15.75">
      <c r="A755" s="79" t="s">
        <v>1842</v>
      </c>
    </row>
    <row r="756" spans="1:1" ht="15.75">
      <c r="A756" s="79" t="s">
        <v>1843</v>
      </c>
    </row>
    <row r="757" spans="1:1" ht="15.75">
      <c r="A757" s="79" t="s">
        <v>1844</v>
      </c>
    </row>
    <row r="758" spans="1:1" ht="15.75">
      <c r="A758" s="79" t="s">
        <v>1845</v>
      </c>
    </row>
    <row r="759" spans="1:1" ht="15.75">
      <c r="A759" s="79" t="s">
        <v>1846</v>
      </c>
    </row>
    <row r="760" spans="1:1" ht="15.75">
      <c r="A760" s="79" t="s">
        <v>1847</v>
      </c>
    </row>
    <row r="761" spans="1:1" ht="15.75">
      <c r="A761" s="79" t="s">
        <v>1848</v>
      </c>
    </row>
    <row r="762" spans="1:1" ht="15.75">
      <c r="A762" s="79" t="s">
        <v>1849</v>
      </c>
    </row>
    <row r="763" spans="1:1" ht="15.75">
      <c r="A763" s="79" t="s">
        <v>1850</v>
      </c>
    </row>
    <row r="764" spans="1:1" ht="15.75">
      <c r="A764" s="79" t="s">
        <v>1851</v>
      </c>
    </row>
    <row r="765" spans="1:1" ht="15.75">
      <c r="A765" s="79" t="s">
        <v>1852</v>
      </c>
    </row>
    <row r="766" spans="1:1" ht="15.75">
      <c r="A766" s="79" t="s">
        <v>1853</v>
      </c>
    </row>
    <row r="767" spans="1:1" ht="15.75">
      <c r="A767" s="79" t="s">
        <v>1854</v>
      </c>
    </row>
    <row r="768" spans="1:1" ht="15.75">
      <c r="A768" s="79" t="s">
        <v>1855</v>
      </c>
    </row>
    <row r="769" spans="1:1" ht="15.75">
      <c r="A769" s="79" t="s">
        <v>1856</v>
      </c>
    </row>
    <row r="770" spans="1:1" ht="15.75">
      <c r="A770" s="79" t="s">
        <v>1857</v>
      </c>
    </row>
    <row r="771" spans="1:1" ht="15.75">
      <c r="A771" s="79" t="s">
        <v>1858</v>
      </c>
    </row>
    <row r="772" spans="1:1" ht="15.75">
      <c r="A772" s="79" t="s">
        <v>1859</v>
      </c>
    </row>
    <row r="773" spans="1:1" ht="15.75">
      <c r="A773" s="79" t="s">
        <v>1860</v>
      </c>
    </row>
    <row r="774" spans="1:1" ht="15.75">
      <c r="A774" s="79" t="s">
        <v>1861</v>
      </c>
    </row>
    <row r="775" spans="1:1" ht="15.75">
      <c r="A775" s="79" t="s">
        <v>1862</v>
      </c>
    </row>
    <row r="776" spans="1:1" ht="15.75">
      <c r="A776" s="79" t="s">
        <v>1863</v>
      </c>
    </row>
    <row r="777" spans="1:1" ht="15.75">
      <c r="A777" s="79" t="s">
        <v>1864</v>
      </c>
    </row>
    <row r="778" spans="1:1" ht="15.75">
      <c r="A778" s="79" t="s">
        <v>1865</v>
      </c>
    </row>
    <row r="779" spans="1:1" ht="15.75">
      <c r="A779" s="79" t="s">
        <v>1866</v>
      </c>
    </row>
    <row r="780" spans="1:1" ht="15.75">
      <c r="A780" s="79" t="s">
        <v>1867</v>
      </c>
    </row>
    <row r="781" spans="1:1" ht="15.75">
      <c r="A781" s="79" t="s">
        <v>1868</v>
      </c>
    </row>
    <row r="782" spans="1:1" ht="15.75">
      <c r="A782" s="79" t="s">
        <v>1869</v>
      </c>
    </row>
    <row r="783" spans="1:1" ht="15.75">
      <c r="A783" s="79" t="s">
        <v>1870</v>
      </c>
    </row>
    <row r="784" spans="1:1" ht="15.75">
      <c r="A784" s="79" t="s">
        <v>1871</v>
      </c>
    </row>
    <row r="785" spans="1:1" ht="15.75">
      <c r="A785" s="79" t="s">
        <v>1872</v>
      </c>
    </row>
    <row r="786" spans="1:1" ht="15.75">
      <c r="A786" s="79" t="s">
        <v>1873</v>
      </c>
    </row>
    <row r="787" spans="1:1" ht="15.75">
      <c r="A787" s="79" t="s">
        <v>1874</v>
      </c>
    </row>
    <row r="788" spans="1:1" ht="15.75">
      <c r="A788" s="79" t="s">
        <v>1875</v>
      </c>
    </row>
    <row r="789" spans="1:1" ht="15.75">
      <c r="A789" s="79" t="s">
        <v>1876</v>
      </c>
    </row>
    <row r="790" spans="1:1" ht="15.75">
      <c r="A790" s="79" t="s">
        <v>1877</v>
      </c>
    </row>
    <row r="791" spans="1:1" ht="15.75">
      <c r="A791" s="79" t="s">
        <v>1878</v>
      </c>
    </row>
    <row r="792" spans="1:1" ht="15.75">
      <c r="A792" s="79" t="s">
        <v>1879</v>
      </c>
    </row>
    <row r="793" spans="1:1" ht="15.75">
      <c r="A793" s="79" t="s">
        <v>1880</v>
      </c>
    </row>
    <row r="794" spans="1:1" ht="15.75">
      <c r="A794" s="79" t="s">
        <v>1881</v>
      </c>
    </row>
    <row r="795" spans="1:1" ht="15.75">
      <c r="A795" s="79" t="s">
        <v>1882</v>
      </c>
    </row>
    <row r="796" spans="1:1" ht="15.75">
      <c r="A796" s="79" t="s">
        <v>1883</v>
      </c>
    </row>
    <row r="797" spans="1:1" ht="15.75">
      <c r="A797" s="79" t="s">
        <v>1884</v>
      </c>
    </row>
    <row r="798" spans="1:1" ht="15.75">
      <c r="A798" s="79" t="s">
        <v>1885</v>
      </c>
    </row>
    <row r="799" spans="1:1" ht="15.75">
      <c r="A799" s="79" t="s">
        <v>1886</v>
      </c>
    </row>
    <row r="800" spans="1:1" ht="15.75">
      <c r="A800" s="79" t="s">
        <v>1887</v>
      </c>
    </row>
    <row r="801" spans="1:1" ht="15.75">
      <c r="A801" s="79" t="s">
        <v>1888</v>
      </c>
    </row>
    <row r="802" spans="1:1" ht="15.75">
      <c r="A802" s="79" t="s">
        <v>1889</v>
      </c>
    </row>
    <row r="803" spans="1:1" ht="15.75">
      <c r="A803" s="79" t="s">
        <v>1890</v>
      </c>
    </row>
    <row r="804" spans="1:1" ht="15.75">
      <c r="A804" s="79" t="s">
        <v>1891</v>
      </c>
    </row>
    <row r="805" spans="1:1" ht="15.75">
      <c r="A805" s="79" t="s">
        <v>1892</v>
      </c>
    </row>
    <row r="806" spans="1:1" ht="15.75">
      <c r="A806" s="79" t="s">
        <v>1893</v>
      </c>
    </row>
    <row r="807" spans="1:1" ht="15.75">
      <c r="A807" s="79" t="s">
        <v>1894</v>
      </c>
    </row>
    <row r="808" spans="1:1" ht="15.75">
      <c r="A808" s="79" t="s">
        <v>1895</v>
      </c>
    </row>
    <row r="809" spans="1:1" ht="15.75">
      <c r="A809" s="79" t="s">
        <v>1896</v>
      </c>
    </row>
    <row r="810" spans="1:1" ht="15.75">
      <c r="A810" s="79" t="s">
        <v>1897</v>
      </c>
    </row>
    <row r="811" spans="1:1" ht="15.75">
      <c r="A811" s="79" t="s">
        <v>1898</v>
      </c>
    </row>
    <row r="812" spans="1:1" ht="15.75">
      <c r="A812" s="79" t="s">
        <v>1899</v>
      </c>
    </row>
    <row r="813" spans="1:1" ht="15.75">
      <c r="A813" s="79" t="s">
        <v>1900</v>
      </c>
    </row>
    <row r="814" spans="1:1" ht="15.75">
      <c r="A814" s="79" t="s">
        <v>1901</v>
      </c>
    </row>
    <row r="815" spans="1:1" ht="15.75">
      <c r="A815" s="79" t="s">
        <v>1902</v>
      </c>
    </row>
    <row r="816" spans="1:1" ht="15.75">
      <c r="A816" s="79" t="s">
        <v>1903</v>
      </c>
    </row>
    <row r="817" spans="1:1" ht="15.75">
      <c r="A817" s="79" t="s">
        <v>1904</v>
      </c>
    </row>
    <row r="818" spans="1:1" ht="15.75">
      <c r="A818" s="79" t="s">
        <v>1905</v>
      </c>
    </row>
    <row r="819" spans="1:1" ht="15.75">
      <c r="A819" s="79" t="s">
        <v>1906</v>
      </c>
    </row>
    <row r="820" spans="1:1" ht="15.75">
      <c r="A820" s="79" t="s">
        <v>1907</v>
      </c>
    </row>
    <row r="821" spans="1:1" ht="15.75">
      <c r="A821" s="79" t="s">
        <v>1908</v>
      </c>
    </row>
    <row r="822" spans="1:1" ht="15.75">
      <c r="A822" s="79" t="s">
        <v>1909</v>
      </c>
    </row>
    <row r="823" spans="1:1" ht="15.75">
      <c r="A823" s="79" t="s">
        <v>1910</v>
      </c>
    </row>
    <row r="824" spans="1:1" ht="15.75">
      <c r="A824" s="79" t="s">
        <v>1911</v>
      </c>
    </row>
    <row r="825" spans="1:1" ht="15.75">
      <c r="A825" s="79" t="s">
        <v>1912</v>
      </c>
    </row>
    <row r="826" spans="1:1" ht="15.75">
      <c r="A826" s="79" t="s">
        <v>1913</v>
      </c>
    </row>
    <row r="827" spans="1:1" ht="15.75">
      <c r="A827" s="79" t="s">
        <v>1914</v>
      </c>
    </row>
    <row r="828" spans="1:1" ht="15.75">
      <c r="A828" s="79" t="s">
        <v>1915</v>
      </c>
    </row>
    <row r="829" spans="1:1" ht="15.75">
      <c r="A829" s="79" t="s">
        <v>1916</v>
      </c>
    </row>
    <row r="830" spans="1:1" ht="15.75">
      <c r="A830" s="79" t="s">
        <v>1917</v>
      </c>
    </row>
    <row r="831" spans="1:1" ht="15.75">
      <c r="A831" s="79" t="s">
        <v>1918</v>
      </c>
    </row>
    <row r="832" spans="1:1" ht="15.75">
      <c r="A832" s="79" t="s">
        <v>1919</v>
      </c>
    </row>
    <row r="833" spans="1:1" ht="15.75">
      <c r="A833" s="79" t="s">
        <v>1920</v>
      </c>
    </row>
    <row r="834" spans="1:1" ht="15.75">
      <c r="A834" s="79" t="s">
        <v>1921</v>
      </c>
    </row>
    <row r="835" spans="1:1" ht="15.75">
      <c r="A835" s="79" t="s">
        <v>1922</v>
      </c>
    </row>
    <row r="836" spans="1:1" ht="15.75">
      <c r="A836" s="79" t="s">
        <v>1923</v>
      </c>
    </row>
    <row r="837" spans="1:1" ht="15.75">
      <c r="A837" s="79" t="s">
        <v>1924</v>
      </c>
    </row>
    <row r="838" spans="1:1" ht="15.75">
      <c r="A838" s="79" t="s">
        <v>1925</v>
      </c>
    </row>
    <row r="839" spans="1:1" ht="15.75">
      <c r="A839" s="79" t="s">
        <v>1926</v>
      </c>
    </row>
    <row r="840" spans="1:1" ht="15.75">
      <c r="A840" s="79" t="s">
        <v>1927</v>
      </c>
    </row>
    <row r="841" spans="1:1" ht="15.75">
      <c r="A841" s="79" t="s">
        <v>1928</v>
      </c>
    </row>
    <row r="842" spans="1:1" ht="15.75">
      <c r="A842" s="79" t="s">
        <v>1929</v>
      </c>
    </row>
    <row r="843" spans="1:1" ht="15.75">
      <c r="A843" s="79" t="s">
        <v>1930</v>
      </c>
    </row>
    <row r="844" spans="1:1" ht="15.75">
      <c r="A844" s="79" t="s">
        <v>1931</v>
      </c>
    </row>
    <row r="845" spans="1:1" ht="15.75">
      <c r="A845" s="79" t="s">
        <v>1932</v>
      </c>
    </row>
    <row r="846" spans="1:1" ht="15.75">
      <c r="A846" s="79" t="s">
        <v>1933</v>
      </c>
    </row>
    <row r="847" spans="1:1" ht="15.75">
      <c r="A847" s="79" t="s">
        <v>1934</v>
      </c>
    </row>
    <row r="848" spans="1:1" ht="15.75">
      <c r="A848" s="79" t="s">
        <v>1935</v>
      </c>
    </row>
    <row r="849" spans="1:1" ht="15.75">
      <c r="A849" s="79" t="s">
        <v>1936</v>
      </c>
    </row>
    <row r="850" spans="1:1" ht="15.75">
      <c r="A850" s="79" t="s">
        <v>1937</v>
      </c>
    </row>
    <row r="851" spans="1:1" ht="15.75">
      <c r="A851" s="79" t="s">
        <v>1938</v>
      </c>
    </row>
    <row r="852" spans="1:1" ht="15.75">
      <c r="A852" s="79" t="s">
        <v>1939</v>
      </c>
    </row>
    <row r="853" spans="1:1" ht="15.75">
      <c r="A853" s="79" t="s">
        <v>1940</v>
      </c>
    </row>
    <row r="854" spans="1:1" ht="15.75">
      <c r="A854" s="79" t="s">
        <v>1941</v>
      </c>
    </row>
    <row r="855" spans="1:1" ht="15.75">
      <c r="A855" s="79" t="s">
        <v>1942</v>
      </c>
    </row>
    <row r="856" spans="1:1" ht="15.75">
      <c r="A856" s="79" t="s">
        <v>1943</v>
      </c>
    </row>
    <row r="857" spans="1:1" ht="15.75">
      <c r="A857" s="79" t="s">
        <v>1944</v>
      </c>
    </row>
    <row r="858" spans="1:1" ht="15.75">
      <c r="A858" s="79" t="s">
        <v>1945</v>
      </c>
    </row>
    <row r="859" spans="1:1" ht="15.75">
      <c r="A859" s="79" t="s">
        <v>1946</v>
      </c>
    </row>
    <row r="860" spans="1:1" ht="15.75">
      <c r="A860" s="79" t="s">
        <v>1947</v>
      </c>
    </row>
    <row r="861" spans="1:1" ht="15.75">
      <c r="A861" s="79" t="s">
        <v>1948</v>
      </c>
    </row>
    <row r="862" spans="1:1" ht="15.75">
      <c r="A862" s="79" t="s">
        <v>1949</v>
      </c>
    </row>
    <row r="863" spans="1:1" ht="15.75">
      <c r="A863" s="79" t="s">
        <v>1950</v>
      </c>
    </row>
    <row r="864" spans="1:1" ht="15.75">
      <c r="A864" s="79" t="s">
        <v>1951</v>
      </c>
    </row>
    <row r="865" spans="1:1" ht="15.75">
      <c r="A865" s="79" t="s">
        <v>1952</v>
      </c>
    </row>
    <row r="866" spans="1:1" ht="15.75">
      <c r="A866" s="79" t="s">
        <v>1953</v>
      </c>
    </row>
    <row r="867" spans="1:1" ht="15.75">
      <c r="A867" s="79" t="s">
        <v>1954</v>
      </c>
    </row>
    <row r="868" spans="1:1" ht="15.75">
      <c r="A868" s="79" t="s">
        <v>1955</v>
      </c>
    </row>
    <row r="869" spans="1:1" ht="15.75">
      <c r="A869" s="79" t="s">
        <v>1956</v>
      </c>
    </row>
    <row r="870" spans="1:1" ht="15.75">
      <c r="A870" s="79" t="s">
        <v>1957</v>
      </c>
    </row>
    <row r="871" spans="1:1" ht="15.75">
      <c r="A871" s="79" t="s">
        <v>1958</v>
      </c>
    </row>
    <row r="872" spans="1:1" ht="15.75">
      <c r="A872" s="79" t="s">
        <v>1959</v>
      </c>
    </row>
    <row r="873" spans="1:1" ht="15.75">
      <c r="A873" s="79" t="s">
        <v>1960</v>
      </c>
    </row>
    <row r="874" spans="1:1" ht="15.75">
      <c r="A874" s="79" t="s">
        <v>1961</v>
      </c>
    </row>
    <row r="875" spans="1:1" ht="15.75">
      <c r="A875" s="79" t="s">
        <v>1962</v>
      </c>
    </row>
    <row r="876" spans="1:1" ht="15.75">
      <c r="A876" s="79" t="s">
        <v>1963</v>
      </c>
    </row>
    <row r="877" spans="1:1" ht="15.75">
      <c r="A877" s="79" t="s">
        <v>1964</v>
      </c>
    </row>
    <row r="878" spans="1:1" ht="15.75">
      <c r="A878" s="79" t="s">
        <v>1965</v>
      </c>
    </row>
    <row r="879" spans="1:1" ht="15.75">
      <c r="A879" s="79" t="s">
        <v>1966</v>
      </c>
    </row>
    <row r="880" spans="1:1" ht="15.75">
      <c r="A880" s="79" t="s">
        <v>1967</v>
      </c>
    </row>
    <row r="881" spans="1:1" ht="15.75">
      <c r="A881" s="79" t="s">
        <v>1968</v>
      </c>
    </row>
    <row r="882" spans="1:1" ht="15.75">
      <c r="A882" s="79" t="s">
        <v>1969</v>
      </c>
    </row>
    <row r="883" spans="1:1" ht="15.75">
      <c r="A883" s="79" t="s">
        <v>1970</v>
      </c>
    </row>
    <row r="884" spans="1:1" ht="15.75">
      <c r="A884" s="79" t="s">
        <v>1971</v>
      </c>
    </row>
    <row r="885" spans="1:1" ht="15.75">
      <c r="A885" s="79" t="s">
        <v>1972</v>
      </c>
    </row>
    <row r="886" spans="1:1" ht="15.75">
      <c r="A886" s="79" t="s">
        <v>1973</v>
      </c>
    </row>
    <row r="887" spans="1:1" ht="15.75">
      <c r="A887" s="79" t="s">
        <v>1974</v>
      </c>
    </row>
    <row r="888" spans="1:1" ht="15.75">
      <c r="A888" s="79" t="s">
        <v>1975</v>
      </c>
    </row>
    <row r="889" spans="1:1" ht="15.75">
      <c r="A889" s="79" t="s">
        <v>1976</v>
      </c>
    </row>
    <row r="890" spans="1:1" ht="15.75">
      <c r="A890" s="79" t="s">
        <v>1977</v>
      </c>
    </row>
    <row r="891" spans="1:1" ht="15.75">
      <c r="A891" s="79" t="s">
        <v>1978</v>
      </c>
    </row>
    <row r="892" spans="1:1" ht="15.75">
      <c r="A892" s="79" t="s">
        <v>1979</v>
      </c>
    </row>
    <row r="893" spans="1:1" ht="15.75">
      <c r="A893" s="79" t="s">
        <v>1980</v>
      </c>
    </row>
    <row r="894" spans="1:1" ht="15.75">
      <c r="A894" s="79" t="s">
        <v>1981</v>
      </c>
    </row>
    <row r="895" spans="1:1" ht="15.75">
      <c r="A895" s="79" t="s">
        <v>1982</v>
      </c>
    </row>
    <row r="896" spans="1:1" ht="15.75">
      <c r="A896" s="79" t="s">
        <v>1983</v>
      </c>
    </row>
    <row r="897" spans="1:1" ht="15.75">
      <c r="A897" s="79" t="s">
        <v>1984</v>
      </c>
    </row>
    <row r="898" spans="1:1" ht="15.75">
      <c r="A898" s="79" t="s">
        <v>1985</v>
      </c>
    </row>
    <row r="899" spans="1:1" ht="15.75">
      <c r="A899" s="79" t="s">
        <v>1986</v>
      </c>
    </row>
    <row r="900" spans="1:1" ht="15.75">
      <c r="A900" s="79" t="s">
        <v>1987</v>
      </c>
    </row>
    <row r="901" spans="1:1" ht="15.75">
      <c r="A901" s="79" t="s">
        <v>1988</v>
      </c>
    </row>
    <row r="902" spans="1:1" ht="15.75">
      <c r="A902" s="79" t="s">
        <v>1989</v>
      </c>
    </row>
    <row r="903" spans="1:1" ht="15.75">
      <c r="A903" s="79" t="s">
        <v>1990</v>
      </c>
    </row>
    <row r="904" spans="1:1" ht="15.75">
      <c r="A904" s="79" t="s">
        <v>1991</v>
      </c>
    </row>
    <row r="905" spans="1:1" ht="15.75">
      <c r="A905" s="79" t="s">
        <v>1992</v>
      </c>
    </row>
    <row r="906" spans="1:1" ht="15.75">
      <c r="A906" s="79" t="s">
        <v>1993</v>
      </c>
    </row>
    <row r="907" spans="1:1" ht="15.75">
      <c r="A907" s="79" t="s">
        <v>1994</v>
      </c>
    </row>
    <row r="908" spans="1:1" ht="15.75">
      <c r="A908" s="79" t="s">
        <v>1995</v>
      </c>
    </row>
    <row r="909" spans="1:1" ht="15.75">
      <c r="A909" s="79" t="s">
        <v>1996</v>
      </c>
    </row>
    <row r="910" spans="1:1" ht="15.75">
      <c r="A910" s="79" t="s">
        <v>1997</v>
      </c>
    </row>
    <row r="911" spans="1:1" ht="15.75">
      <c r="A911" s="79" t="s">
        <v>1998</v>
      </c>
    </row>
    <row r="912" spans="1:1" ht="15.75">
      <c r="A912" s="79" t="s">
        <v>1999</v>
      </c>
    </row>
    <row r="913" spans="1:1" ht="15.75">
      <c r="A913" s="79" t="s">
        <v>2000</v>
      </c>
    </row>
    <row r="914" spans="1:1" ht="15.75">
      <c r="A914" s="79" t="s">
        <v>2001</v>
      </c>
    </row>
    <row r="915" spans="1:1" ht="15.75">
      <c r="A915" s="79" t="s">
        <v>2002</v>
      </c>
    </row>
    <row r="916" spans="1:1" ht="15.75">
      <c r="A916" s="79" t="s">
        <v>2003</v>
      </c>
    </row>
    <row r="917" spans="1:1" ht="15.75">
      <c r="A917" s="79" t="s">
        <v>2004</v>
      </c>
    </row>
    <row r="918" spans="1:1" ht="15.75">
      <c r="A918" s="79" t="s">
        <v>2005</v>
      </c>
    </row>
    <row r="919" spans="1:1" ht="15.75">
      <c r="A919" s="79" t="s">
        <v>2006</v>
      </c>
    </row>
    <row r="920" spans="1:1" ht="15.75">
      <c r="A920" s="79" t="s">
        <v>2007</v>
      </c>
    </row>
    <row r="921" spans="1:1" ht="15.75">
      <c r="A921" s="79" t="s">
        <v>2008</v>
      </c>
    </row>
    <row r="922" spans="1:1" ht="15.75">
      <c r="A922" s="79" t="s">
        <v>2009</v>
      </c>
    </row>
    <row r="923" spans="1:1" ht="15.75">
      <c r="A923" s="79" t="s">
        <v>2010</v>
      </c>
    </row>
    <row r="924" spans="1:1" ht="15.75">
      <c r="A924" s="79" t="s">
        <v>2011</v>
      </c>
    </row>
    <row r="925" spans="1:1" ht="15.75">
      <c r="A925" s="79" t="s">
        <v>2012</v>
      </c>
    </row>
    <row r="926" spans="1:1" ht="15.75">
      <c r="A926" s="79" t="s">
        <v>2013</v>
      </c>
    </row>
    <row r="927" spans="1:1" ht="15.75">
      <c r="A927" s="79" t="s">
        <v>2014</v>
      </c>
    </row>
    <row r="928" spans="1:1" ht="15.75">
      <c r="A928" s="79" t="s">
        <v>2015</v>
      </c>
    </row>
    <row r="929" spans="1:1" ht="15.75">
      <c r="A929" s="79" t="s">
        <v>2016</v>
      </c>
    </row>
    <row r="930" spans="1:1" ht="15.75">
      <c r="A930" s="79" t="s">
        <v>2017</v>
      </c>
    </row>
    <row r="931" spans="1:1" ht="15.75">
      <c r="A931" s="79" t="s">
        <v>2018</v>
      </c>
    </row>
    <row r="932" spans="1:1" ht="15.75">
      <c r="A932" s="79" t="s">
        <v>2019</v>
      </c>
    </row>
    <row r="933" spans="1:1" ht="15.75">
      <c r="A933" s="79" t="s">
        <v>2020</v>
      </c>
    </row>
    <row r="934" spans="1:1" ht="15.75">
      <c r="A934" s="79" t="s">
        <v>2021</v>
      </c>
    </row>
    <row r="935" spans="1:1" ht="15.75">
      <c r="A935" s="79" t="s">
        <v>2022</v>
      </c>
    </row>
    <row r="936" spans="1:1" ht="15.75">
      <c r="A936" s="79" t="s">
        <v>2023</v>
      </c>
    </row>
    <row r="937" spans="1:1" ht="15.75">
      <c r="A937" s="79" t="s">
        <v>2024</v>
      </c>
    </row>
    <row r="938" spans="1:1" ht="15.75">
      <c r="A938" s="79" t="s">
        <v>2025</v>
      </c>
    </row>
    <row r="939" spans="1:1" ht="15.75">
      <c r="A939" s="79" t="s">
        <v>2026</v>
      </c>
    </row>
    <row r="940" spans="1:1" ht="15.75">
      <c r="A940" s="79" t="s">
        <v>2027</v>
      </c>
    </row>
    <row r="941" spans="1:1" ht="15.75">
      <c r="A941" s="79" t="s">
        <v>2028</v>
      </c>
    </row>
    <row r="942" spans="1:1" ht="15.75">
      <c r="A942" s="79" t="s">
        <v>2029</v>
      </c>
    </row>
    <row r="943" spans="1:1" ht="15.75">
      <c r="A943" s="79" t="s">
        <v>2030</v>
      </c>
    </row>
    <row r="944" spans="1:1" ht="15.75">
      <c r="A944" s="79" t="s">
        <v>2031</v>
      </c>
    </row>
    <row r="945" spans="1:1" ht="15.75">
      <c r="A945" s="79" t="s">
        <v>2032</v>
      </c>
    </row>
    <row r="946" spans="1:1" ht="15.75">
      <c r="A946" s="79" t="s">
        <v>2033</v>
      </c>
    </row>
    <row r="947" spans="1:1" ht="15.75">
      <c r="A947" s="79" t="s">
        <v>2034</v>
      </c>
    </row>
    <row r="948" spans="1:1" ht="15.75">
      <c r="A948" s="79" t="s">
        <v>2035</v>
      </c>
    </row>
    <row r="949" spans="1:1" ht="15.75">
      <c r="A949" s="79" t="s">
        <v>2036</v>
      </c>
    </row>
    <row r="950" spans="1:1" ht="15.75">
      <c r="A950" s="79" t="s">
        <v>2037</v>
      </c>
    </row>
    <row r="951" spans="1:1" ht="15.75">
      <c r="A951" s="79" t="s">
        <v>2038</v>
      </c>
    </row>
    <row r="952" spans="1:1" ht="15.75">
      <c r="A952" s="79" t="s">
        <v>2039</v>
      </c>
    </row>
    <row r="953" spans="1:1" ht="15.75">
      <c r="A953" s="79" t="s">
        <v>2040</v>
      </c>
    </row>
    <row r="954" spans="1:1" ht="15.75">
      <c r="A954" s="79" t="s">
        <v>2041</v>
      </c>
    </row>
    <row r="955" spans="1:1" ht="15.75">
      <c r="A955" s="79" t="s">
        <v>2042</v>
      </c>
    </row>
    <row r="956" spans="1:1" ht="15.75">
      <c r="A956" s="79" t="s">
        <v>2043</v>
      </c>
    </row>
    <row r="957" spans="1:1" ht="15.75">
      <c r="A957" s="79" t="s">
        <v>2044</v>
      </c>
    </row>
    <row r="958" spans="1:1" ht="15.75">
      <c r="A958" s="79" t="s">
        <v>2045</v>
      </c>
    </row>
    <row r="959" spans="1:1" ht="15.75">
      <c r="A959" s="79" t="s">
        <v>2046</v>
      </c>
    </row>
    <row r="960" spans="1:1" ht="15.75">
      <c r="A960" s="79" t="s">
        <v>2047</v>
      </c>
    </row>
    <row r="961" spans="1:1" ht="15.75">
      <c r="A961" s="79" t="s">
        <v>2048</v>
      </c>
    </row>
    <row r="962" spans="1:1" ht="15.75">
      <c r="A962" s="79" t="s">
        <v>2049</v>
      </c>
    </row>
    <row r="963" spans="1:1" ht="15.75">
      <c r="A963" s="79" t="s">
        <v>2050</v>
      </c>
    </row>
    <row r="964" spans="1:1" ht="15.75">
      <c r="A964" s="79" t="s">
        <v>2051</v>
      </c>
    </row>
    <row r="965" spans="1:1" ht="15.75">
      <c r="A965" s="79" t="s">
        <v>2052</v>
      </c>
    </row>
    <row r="966" spans="1:1" ht="15.75">
      <c r="A966" s="79" t="s">
        <v>2053</v>
      </c>
    </row>
    <row r="967" spans="1:1" ht="15.75">
      <c r="A967" s="79" t="s">
        <v>2054</v>
      </c>
    </row>
    <row r="968" spans="1:1" ht="15.75">
      <c r="A968" s="79" t="s">
        <v>2055</v>
      </c>
    </row>
    <row r="969" spans="1:1" ht="15.75">
      <c r="A969" s="79" t="s">
        <v>2056</v>
      </c>
    </row>
    <row r="970" spans="1:1" ht="15.75">
      <c r="A970" s="79" t="s">
        <v>2057</v>
      </c>
    </row>
    <row r="971" spans="1:1" ht="15.75">
      <c r="A971" s="79" t="s">
        <v>2058</v>
      </c>
    </row>
    <row r="972" spans="1:1" ht="15.75">
      <c r="A972" s="79" t="s">
        <v>2059</v>
      </c>
    </row>
    <row r="973" spans="1:1" ht="15.75">
      <c r="A973" s="79" t="s">
        <v>2060</v>
      </c>
    </row>
    <row r="974" spans="1:1" ht="15.75">
      <c r="A974" s="79" t="s">
        <v>2061</v>
      </c>
    </row>
    <row r="975" spans="1:1" ht="15.75">
      <c r="A975" s="79" t="s">
        <v>2062</v>
      </c>
    </row>
    <row r="976" spans="1:1" ht="15.75">
      <c r="A976" s="79" t="s">
        <v>2063</v>
      </c>
    </row>
    <row r="977" spans="1:1" ht="15.75">
      <c r="A977" s="79" t="s">
        <v>2064</v>
      </c>
    </row>
    <row r="978" spans="1:1" ht="15.75">
      <c r="A978" s="79" t="s">
        <v>2065</v>
      </c>
    </row>
    <row r="979" spans="1:1" ht="15.75">
      <c r="A979" s="79" t="s">
        <v>2066</v>
      </c>
    </row>
    <row r="980" spans="1:1" ht="15.75">
      <c r="A980" s="79" t="s">
        <v>2067</v>
      </c>
    </row>
    <row r="981" spans="1:1" ht="15.75">
      <c r="A981" s="79" t="s">
        <v>2068</v>
      </c>
    </row>
    <row r="982" spans="1:1" ht="15.75">
      <c r="A982" s="79" t="s">
        <v>2069</v>
      </c>
    </row>
    <row r="983" spans="1:1" ht="15.75">
      <c r="A983" s="79" t="s">
        <v>2070</v>
      </c>
    </row>
    <row r="984" spans="1:1" ht="15.75">
      <c r="A984" s="79" t="s">
        <v>2071</v>
      </c>
    </row>
    <row r="985" spans="1:1" ht="15.75">
      <c r="A985" s="79" t="s">
        <v>2072</v>
      </c>
    </row>
    <row r="986" spans="1:1" ht="15.75">
      <c r="A986" s="79" t="s">
        <v>2073</v>
      </c>
    </row>
    <row r="987" spans="1:1" ht="15.75">
      <c r="A987" s="79" t="s">
        <v>2074</v>
      </c>
    </row>
    <row r="988" spans="1:1" ht="15.75">
      <c r="A988" s="79" t="s">
        <v>2075</v>
      </c>
    </row>
    <row r="989" spans="1:1" ht="15.75">
      <c r="A989" s="79" t="s">
        <v>2076</v>
      </c>
    </row>
    <row r="990" spans="1:1" ht="15.75">
      <c r="A990" s="79" t="s">
        <v>2077</v>
      </c>
    </row>
    <row r="991" spans="1:1" ht="15.75">
      <c r="A991" s="79" t="s">
        <v>2078</v>
      </c>
    </row>
    <row r="992" spans="1:1" ht="15.75">
      <c r="A992" s="79" t="s">
        <v>2079</v>
      </c>
    </row>
    <row r="993" spans="1:1" ht="15.75">
      <c r="A993" s="79" t="s">
        <v>2080</v>
      </c>
    </row>
    <row r="994" spans="1:1" ht="15.75">
      <c r="A994" s="79" t="s">
        <v>2081</v>
      </c>
    </row>
    <row r="995" spans="1:1" ht="15.75">
      <c r="A995" s="79" t="s">
        <v>2082</v>
      </c>
    </row>
    <row r="996" spans="1:1" ht="15.75">
      <c r="A996" s="79" t="s">
        <v>2083</v>
      </c>
    </row>
    <row r="997" spans="1:1" ht="15.75">
      <c r="A997" s="79" t="s">
        <v>2084</v>
      </c>
    </row>
    <row r="998" spans="1:1" ht="15.75">
      <c r="A998" s="79" t="s">
        <v>2085</v>
      </c>
    </row>
    <row r="999" spans="1:1" ht="15.75">
      <c r="A999" s="79" t="s">
        <v>2086</v>
      </c>
    </row>
    <row r="1000" spans="1:1" ht="15.75">
      <c r="A1000" s="79" t="s">
        <v>2087</v>
      </c>
    </row>
    <row r="1001" spans="1:1" ht="15.75">
      <c r="A1001" s="79" t="s">
        <v>2088</v>
      </c>
    </row>
    <row r="1002" spans="1:1" ht="15.75">
      <c r="A1002" s="79" t="s">
        <v>2089</v>
      </c>
    </row>
    <row r="1003" spans="1:1" ht="15.75">
      <c r="A1003" s="79" t="s">
        <v>2090</v>
      </c>
    </row>
    <row r="1004" spans="1:1" ht="15.75">
      <c r="A1004" s="79" t="s">
        <v>2091</v>
      </c>
    </row>
    <row r="1005" spans="1:1" ht="15.75">
      <c r="A1005" s="79" t="s">
        <v>2092</v>
      </c>
    </row>
    <row r="1006" spans="1:1" ht="15.75">
      <c r="A1006" s="79" t="s">
        <v>2093</v>
      </c>
    </row>
    <row r="1007" spans="1:1" ht="15.75">
      <c r="A1007" s="79" t="s">
        <v>2094</v>
      </c>
    </row>
    <row r="1008" spans="1:1" ht="15.75">
      <c r="A1008" s="79" t="s">
        <v>2095</v>
      </c>
    </row>
    <row r="1009" spans="1:1" ht="15.75">
      <c r="A1009" s="79" t="s">
        <v>2096</v>
      </c>
    </row>
    <row r="1010" spans="1:1" ht="15.75">
      <c r="A1010" s="79" t="s">
        <v>2097</v>
      </c>
    </row>
    <row r="1011" spans="1:1" ht="15.75">
      <c r="A1011" s="79" t="s">
        <v>2098</v>
      </c>
    </row>
    <row r="1012" spans="1:1" ht="15.75">
      <c r="A1012" s="79" t="s">
        <v>2099</v>
      </c>
    </row>
    <row r="1013" spans="1:1" ht="15.75">
      <c r="A1013" s="79" t="s">
        <v>2100</v>
      </c>
    </row>
    <row r="1014" spans="1:1" ht="15.75">
      <c r="A1014" s="79" t="s">
        <v>2101</v>
      </c>
    </row>
    <row r="1015" spans="1:1" ht="15.75">
      <c r="A1015" s="79" t="s">
        <v>2102</v>
      </c>
    </row>
    <row r="1016" spans="1:1" ht="15.75">
      <c r="A1016" s="79" t="s">
        <v>2103</v>
      </c>
    </row>
    <row r="1017" spans="1:1" ht="15.75">
      <c r="A1017" s="79" t="s">
        <v>2104</v>
      </c>
    </row>
    <row r="1018" spans="1:1" ht="15.75">
      <c r="A1018" s="79" t="s">
        <v>2105</v>
      </c>
    </row>
    <row r="1019" spans="1:1" ht="15.75">
      <c r="A1019" s="79" t="s">
        <v>2106</v>
      </c>
    </row>
    <row r="1020" spans="1:1" ht="15.75">
      <c r="A1020" s="79" t="s">
        <v>2107</v>
      </c>
    </row>
    <row r="1021" spans="1:1" ht="15.75">
      <c r="A1021" s="79" t="s">
        <v>2108</v>
      </c>
    </row>
    <row r="1022" spans="1:1" ht="15.75">
      <c r="A1022" s="79" t="s">
        <v>2109</v>
      </c>
    </row>
    <row r="1023" spans="1:1" ht="15.75">
      <c r="A1023" s="79" t="s">
        <v>2110</v>
      </c>
    </row>
    <row r="1024" spans="1:1" ht="15.75">
      <c r="A1024" s="79" t="s">
        <v>2111</v>
      </c>
    </row>
    <row r="1025" spans="1:1" ht="15.75">
      <c r="A1025" s="79" t="s">
        <v>2112</v>
      </c>
    </row>
    <row r="1026" spans="1:1" ht="15.75">
      <c r="A1026" s="79" t="s">
        <v>2113</v>
      </c>
    </row>
    <row r="1027" spans="1:1" ht="15.75">
      <c r="A1027" s="79" t="s">
        <v>2114</v>
      </c>
    </row>
    <row r="1028" spans="1:1" ht="15.75">
      <c r="A1028" s="79" t="s">
        <v>2115</v>
      </c>
    </row>
    <row r="1029" spans="1:1" ht="15.75">
      <c r="A1029" s="79" t="s">
        <v>2116</v>
      </c>
    </row>
    <row r="1030" spans="1:1" ht="15.75">
      <c r="A1030" s="79" t="s">
        <v>2117</v>
      </c>
    </row>
    <row r="1031" spans="1:1" ht="15.75">
      <c r="A1031" s="79" t="s">
        <v>2118</v>
      </c>
    </row>
    <row r="1032" spans="1:1" ht="15.75">
      <c r="A1032" s="79" t="s">
        <v>2119</v>
      </c>
    </row>
    <row r="1033" spans="1:1" ht="15.75">
      <c r="A1033" s="79" t="s">
        <v>2120</v>
      </c>
    </row>
    <row r="1034" spans="1:1" ht="15.75">
      <c r="A1034" s="79" t="s">
        <v>2121</v>
      </c>
    </row>
    <row r="1035" spans="1:1" ht="15.75">
      <c r="A1035" s="79" t="s">
        <v>2122</v>
      </c>
    </row>
    <row r="1036" spans="1:1" ht="15.75">
      <c r="A1036" s="79" t="s">
        <v>2123</v>
      </c>
    </row>
    <row r="1037" spans="1:1" ht="15.75">
      <c r="A1037" s="79" t="s">
        <v>2124</v>
      </c>
    </row>
    <row r="1038" spans="1:1" ht="15.75">
      <c r="A1038" s="79" t="s">
        <v>2125</v>
      </c>
    </row>
    <row r="1039" spans="1:1" ht="15.75">
      <c r="A1039" s="79" t="s">
        <v>2126</v>
      </c>
    </row>
    <row r="1040" spans="1:1" ht="15.75">
      <c r="A1040" s="79" t="s">
        <v>2127</v>
      </c>
    </row>
    <row r="1041" spans="1:1" ht="15.75">
      <c r="A1041" s="79" t="s">
        <v>2128</v>
      </c>
    </row>
    <row r="1042" spans="1:1" ht="15.75">
      <c r="A1042" s="79" t="s">
        <v>2129</v>
      </c>
    </row>
    <row r="1043" spans="1:1" ht="15.75">
      <c r="A1043" s="79" t="s">
        <v>2130</v>
      </c>
    </row>
    <row r="1044" spans="1:1" ht="15.75">
      <c r="A1044" s="79" t="s">
        <v>2131</v>
      </c>
    </row>
    <row r="1045" spans="1:1" ht="15.75">
      <c r="A1045" s="79" t="s">
        <v>2132</v>
      </c>
    </row>
    <row r="1046" spans="1:1" ht="15.75">
      <c r="A1046" s="79" t="s">
        <v>2133</v>
      </c>
    </row>
    <row r="1047" spans="1:1" ht="15.75">
      <c r="A1047" s="79" t="s">
        <v>2134</v>
      </c>
    </row>
    <row r="1048" spans="1:1" ht="15.75">
      <c r="A1048" s="79" t="s">
        <v>2135</v>
      </c>
    </row>
    <row r="1049" spans="1:1" ht="15.75">
      <c r="A1049" s="79" t="s">
        <v>2136</v>
      </c>
    </row>
    <row r="1050" spans="1:1" ht="15.75">
      <c r="A1050" s="79" t="s">
        <v>2137</v>
      </c>
    </row>
    <row r="1051" spans="1:1" ht="15.75">
      <c r="A1051" s="79" t="s">
        <v>2138</v>
      </c>
    </row>
    <row r="1052" spans="1:1" ht="15.75">
      <c r="A1052" s="79" t="s">
        <v>2139</v>
      </c>
    </row>
    <row r="1053" spans="1:1" ht="15.75">
      <c r="A1053" s="79" t="s">
        <v>2140</v>
      </c>
    </row>
    <row r="1054" spans="1:1" ht="15.75">
      <c r="A1054" s="79" t="s">
        <v>2141</v>
      </c>
    </row>
    <row r="1055" spans="1:1" ht="15.75">
      <c r="A1055" s="79" t="s">
        <v>2142</v>
      </c>
    </row>
    <row r="1056" spans="1:1" ht="15.75">
      <c r="A1056" s="79" t="s">
        <v>2143</v>
      </c>
    </row>
    <row r="1057" spans="1:1" ht="15.75">
      <c r="A1057" s="79" t="s">
        <v>2144</v>
      </c>
    </row>
    <row r="1058" spans="1:1" ht="15.75">
      <c r="A1058" s="79" t="s">
        <v>2145</v>
      </c>
    </row>
    <row r="1059" spans="1:1" ht="15.75">
      <c r="A1059" s="79" t="s">
        <v>2146</v>
      </c>
    </row>
    <row r="1060" spans="1:1" ht="15.75">
      <c r="A1060" s="79" t="s">
        <v>2147</v>
      </c>
    </row>
    <row r="1061" spans="1:1" ht="15.75">
      <c r="A1061" s="79" t="s">
        <v>2148</v>
      </c>
    </row>
    <row r="1062" spans="1:1" ht="15.75">
      <c r="A1062" s="79" t="s">
        <v>2149</v>
      </c>
    </row>
    <row r="1063" spans="1:1" ht="15.75">
      <c r="A1063" s="79" t="s">
        <v>2150</v>
      </c>
    </row>
    <row r="1064" spans="1:1" ht="15.75">
      <c r="A1064" s="79" t="s">
        <v>2151</v>
      </c>
    </row>
    <row r="1065" spans="1:1" ht="15.75">
      <c r="A1065" s="79" t="s">
        <v>2152</v>
      </c>
    </row>
    <row r="1066" spans="1:1" ht="15.75">
      <c r="A1066" s="79" t="s">
        <v>2153</v>
      </c>
    </row>
    <row r="1067" spans="1:1" ht="15.75">
      <c r="A1067" s="79" t="s">
        <v>2154</v>
      </c>
    </row>
    <row r="1068" spans="1:1" ht="15.75">
      <c r="A1068" s="79" t="s">
        <v>2155</v>
      </c>
    </row>
    <row r="1069" spans="1:1" ht="15.75">
      <c r="A1069" s="79" t="s">
        <v>2156</v>
      </c>
    </row>
    <row r="1070" spans="1:1" ht="15.75">
      <c r="A1070" s="79" t="s">
        <v>2157</v>
      </c>
    </row>
    <row r="1071" spans="1:1" ht="15.75">
      <c r="A1071" s="79" t="s">
        <v>2158</v>
      </c>
    </row>
    <row r="1072" spans="1:1" ht="15.75">
      <c r="A1072" s="79" t="s">
        <v>2159</v>
      </c>
    </row>
    <row r="1073" spans="1:1" ht="15.75">
      <c r="A1073" s="79" t="s">
        <v>2160</v>
      </c>
    </row>
    <row r="1074" spans="1:1" ht="15.75">
      <c r="A1074" s="79" t="s">
        <v>2161</v>
      </c>
    </row>
    <row r="1075" spans="1:1" ht="15.75">
      <c r="A1075" s="79" t="s">
        <v>2162</v>
      </c>
    </row>
    <row r="1076" spans="1:1" ht="15.75">
      <c r="A1076" s="79" t="s">
        <v>2163</v>
      </c>
    </row>
    <row r="1077" spans="1:1" ht="15.75">
      <c r="A1077" s="79" t="s">
        <v>2164</v>
      </c>
    </row>
    <row r="1078" spans="1:1" ht="15.75">
      <c r="A1078" s="79" t="s">
        <v>2165</v>
      </c>
    </row>
    <row r="1079" spans="1:1" ht="15.75">
      <c r="A1079" s="79" t="s">
        <v>2166</v>
      </c>
    </row>
    <row r="1080" spans="1:1" ht="15.75">
      <c r="A1080" s="79" t="s">
        <v>2167</v>
      </c>
    </row>
    <row r="1081" spans="1:1" ht="15.75">
      <c r="A1081" s="79" t="s">
        <v>2168</v>
      </c>
    </row>
    <row r="1082" spans="1:1" ht="15.75">
      <c r="A1082" s="79" t="s">
        <v>2169</v>
      </c>
    </row>
    <row r="1083" spans="1:1" ht="15.75">
      <c r="A1083" s="79" t="s">
        <v>2170</v>
      </c>
    </row>
    <row r="1084" spans="1:1" ht="15.75">
      <c r="A1084" s="79" t="s">
        <v>2171</v>
      </c>
    </row>
    <row r="1085" spans="1:1" ht="15.75">
      <c r="A1085" s="79" t="s">
        <v>2172</v>
      </c>
    </row>
    <row r="1086" spans="1:1" ht="15.75">
      <c r="A1086" s="79" t="s">
        <v>2173</v>
      </c>
    </row>
    <row r="1087" spans="1:1" ht="15.75">
      <c r="A1087" s="79" t="s">
        <v>2174</v>
      </c>
    </row>
    <row r="1088" spans="1:1" ht="15.75">
      <c r="A1088" s="79" t="s">
        <v>2175</v>
      </c>
    </row>
    <row r="1089" spans="1:1" ht="15.75">
      <c r="A1089" s="79" t="s">
        <v>2176</v>
      </c>
    </row>
    <row r="1090" spans="1:1" ht="15.75">
      <c r="A1090" s="79" t="s">
        <v>2177</v>
      </c>
    </row>
    <row r="1091" spans="1:1" ht="15.75">
      <c r="A1091" s="79" t="s">
        <v>2178</v>
      </c>
    </row>
    <row r="1092" spans="1:1" ht="15.75">
      <c r="A1092" s="79" t="s">
        <v>2179</v>
      </c>
    </row>
    <row r="1093" spans="1:1" ht="15.75">
      <c r="A1093" s="79" t="s">
        <v>2180</v>
      </c>
    </row>
    <row r="1094" spans="1:1" ht="15.75">
      <c r="A1094" s="79" t="s">
        <v>2181</v>
      </c>
    </row>
    <row r="1095" spans="1:1" ht="15.75">
      <c r="A1095" s="79" t="s">
        <v>2182</v>
      </c>
    </row>
    <row r="1096" spans="1:1" ht="15.75">
      <c r="A1096" s="79" t="s">
        <v>2183</v>
      </c>
    </row>
    <row r="1097" spans="1:1" ht="15.75">
      <c r="A1097" s="79" t="s">
        <v>2184</v>
      </c>
    </row>
    <row r="1098" spans="1:1" ht="15.75">
      <c r="A1098" s="79" t="s">
        <v>2185</v>
      </c>
    </row>
    <row r="1099" spans="1:1" ht="15.75">
      <c r="A1099" s="79" t="s">
        <v>2186</v>
      </c>
    </row>
    <row r="1100" spans="1:1" ht="15.75">
      <c r="A1100" s="79" t="s">
        <v>2187</v>
      </c>
    </row>
    <row r="1101" spans="1:1" ht="15.75">
      <c r="A1101" s="79" t="s">
        <v>2188</v>
      </c>
    </row>
    <row r="1102" spans="1:1" ht="15.75">
      <c r="A1102" s="79" t="s">
        <v>2189</v>
      </c>
    </row>
    <row r="1103" spans="1:1" ht="15.75">
      <c r="A1103" s="79" t="s">
        <v>2190</v>
      </c>
    </row>
    <row r="1104" spans="1:1" ht="15.75">
      <c r="A1104" s="79" t="s">
        <v>2191</v>
      </c>
    </row>
    <row r="1105" spans="1:1" ht="15.75">
      <c r="A1105" s="79" t="s">
        <v>2192</v>
      </c>
    </row>
    <row r="1106" spans="1:1" ht="15.75">
      <c r="A1106" s="79" t="s">
        <v>2193</v>
      </c>
    </row>
    <row r="1107" spans="1:1" ht="15.75">
      <c r="A1107" s="79" t="s">
        <v>2194</v>
      </c>
    </row>
    <row r="1108" spans="1:1" ht="15.75">
      <c r="A1108" s="79" t="s">
        <v>2195</v>
      </c>
    </row>
    <row r="1109" spans="1:1" ht="15.75">
      <c r="A1109" s="79" t="s">
        <v>2196</v>
      </c>
    </row>
    <row r="1110" spans="1:1" ht="15.75">
      <c r="A1110" s="79" t="s">
        <v>2197</v>
      </c>
    </row>
    <row r="1111" spans="1:1" ht="15.75">
      <c r="A1111" s="79" t="s">
        <v>2198</v>
      </c>
    </row>
    <row r="1112" spans="1:1" ht="15.75">
      <c r="A1112" s="79" t="s">
        <v>2199</v>
      </c>
    </row>
    <row r="1113" spans="1:1" ht="15.75">
      <c r="A1113" s="79" t="s">
        <v>2200</v>
      </c>
    </row>
    <row r="1114" spans="1:1" ht="15.75">
      <c r="A1114" s="79" t="s">
        <v>2201</v>
      </c>
    </row>
    <row r="1115" spans="1:1" ht="15.75">
      <c r="A1115" s="79" t="s">
        <v>2202</v>
      </c>
    </row>
    <row r="1116" spans="1:1" ht="15.75">
      <c r="A1116" s="79" t="s">
        <v>2203</v>
      </c>
    </row>
    <row r="1117" spans="1:1" ht="15.75">
      <c r="A1117" s="79" t="s">
        <v>2204</v>
      </c>
    </row>
    <row r="1118" spans="1:1" ht="15.75">
      <c r="A1118" s="79" t="s">
        <v>2205</v>
      </c>
    </row>
    <row r="1119" spans="1:1" ht="15.75">
      <c r="A1119" s="79" t="s">
        <v>2206</v>
      </c>
    </row>
    <row r="1120" spans="1:1" ht="15.75">
      <c r="A1120" s="79" t="s">
        <v>2207</v>
      </c>
    </row>
    <row r="1121" spans="1:1" ht="15.75">
      <c r="A1121" s="79" t="s">
        <v>2208</v>
      </c>
    </row>
    <row r="1122" spans="1:1" ht="15.75">
      <c r="A1122" s="79" t="s">
        <v>2209</v>
      </c>
    </row>
    <row r="1123" spans="1:1" ht="15.75">
      <c r="A1123" s="79" t="s">
        <v>2210</v>
      </c>
    </row>
    <row r="1124" spans="1:1" ht="15.75">
      <c r="A1124" s="79" t="s">
        <v>2211</v>
      </c>
    </row>
    <row r="1125" spans="1:1" ht="15.75">
      <c r="A1125" s="79" t="s">
        <v>2212</v>
      </c>
    </row>
    <row r="1126" spans="1:1" ht="15.75">
      <c r="A1126" s="79" t="s">
        <v>2213</v>
      </c>
    </row>
    <row r="1127" spans="1:1" ht="15.75">
      <c r="A1127" s="79" t="s">
        <v>2214</v>
      </c>
    </row>
    <row r="1128" spans="1:1" ht="15.75">
      <c r="A1128" s="79" t="s">
        <v>2215</v>
      </c>
    </row>
    <row r="1129" spans="1:1" ht="15.75">
      <c r="A1129" s="79" t="s">
        <v>2216</v>
      </c>
    </row>
    <row r="1130" spans="1:1" ht="15.75">
      <c r="A1130" s="79" t="s">
        <v>2217</v>
      </c>
    </row>
    <row r="1131" spans="1:1" ht="15.75">
      <c r="A1131" s="79" t="s">
        <v>2218</v>
      </c>
    </row>
    <row r="1132" spans="1:1" ht="15.75">
      <c r="A1132" s="79" t="s">
        <v>2219</v>
      </c>
    </row>
    <row r="1133" spans="1:1" ht="15.75">
      <c r="A1133" s="79" t="s">
        <v>2220</v>
      </c>
    </row>
    <row r="1134" spans="1:1" ht="15.75">
      <c r="A1134" s="79" t="s">
        <v>2221</v>
      </c>
    </row>
    <row r="1135" spans="1:1" ht="15.75">
      <c r="A1135" s="79" t="s">
        <v>2222</v>
      </c>
    </row>
    <row r="1136" spans="1:1" ht="15.75">
      <c r="A1136" s="79" t="s">
        <v>2223</v>
      </c>
    </row>
    <row r="1137" spans="1:1" ht="15.75">
      <c r="A1137" s="79" t="s">
        <v>2224</v>
      </c>
    </row>
    <row r="1138" spans="1:1" ht="15.75">
      <c r="A1138" s="79" t="s">
        <v>2225</v>
      </c>
    </row>
    <row r="1139" spans="1:1" ht="15.75">
      <c r="A1139" s="79" t="s">
        <v>2226</v>
      </c>
    </row>
    <row r="1140" spans="1:1" ht="15.75">
      <c r="A1140" s="79" t="s">
        <v>2227</v>
      </c>
    </row>
    <row r="1141" spans="1:1" ht="15.75">
      <c r="A1141" s="79" t="s">
        <v>2228</v>
      </c>
    </row>
    <row r="1142" spans="1:1" ht="15.75">
      <c r="A1142" s="79" t="s">
        <v>2229</v>
      </c>
    </row>
    <row r="1143" spans="1:1" ht="15.75">
      <c r="A1143" s="79" t="s">
        <v>2230</v>
      </c>
    </row>
    <row r="1144" spans="1:1" ht="15.75">
      <c r="A1144" s="79" t="s">
        <v>2231</v>
      </c>
    </row>
    <row r="1145" spans="1:1" ht="15.75">
      <c r="A1145" s="79" t="s">
        <v>2232</v>
      </c>
    </row>
    <row r="1146" spans="1:1" ht="15.75">
      <c r="A1146" s="79" t="s">
        <v>2233</v>
      </c>
    </row>
    <row r="1147" spans="1:1" ht="15.75">
      <c r="A1147" s="79" t="s">
        <v>2234</v>
      </c>
    </row>
    <row r="1148" spans="1:1" ht="15.75">
      <c r="A1148" s="79" t="s">
        <v>2235</v>
      </c>
    </row>
    <row r="1149" spans="1:1" ht="15.75">
      <c r="A1149" s="79" t="s">
        <v>2236</v>
      </c>
    </row>
    <row r="1150" spans="1:1" ht="15.75">
      <c r="A1150" s="79" t="s">
        <v>2237</v>
      </c>
    </row>
    <row r="1151" spans="1:1" ht="15.75">
      <c r="A1151" s="79" t="s">
        <v>2238</v>
      </c>
    </row>
    <row r="1152" spans="1:1" ht="15.75">
      <c r="A1152" s="79" t="s">
        <v>2239</v>
      </c>
    </row>
    <row r="1153" spans="1:1" ht="15.75">
      <c r="A1153" s="79" t="s">
        <v>2240</v>
      </c>
    </row>
    <row r="1154" spans="1:1" ht="15.75">
      <c r="A1154" s="79" t="s">
        <v>2241</v>
      </c>
    </row>
    <row r="1155" spans="1:1" ht="15.75">
      <c r="A1155" s="79" t="s">
        <v>2242</v>
      </c>
    </row>
    <row r="1156" spans="1:1" ht="15.75">
      <c r="A1156" s="79" t="s">
        <v>2243</v>
      </c>
    </row>
    <row r="1157" spans="1:1" ht="15.75">
      <c r="A1157" s="79" t="s">
        <v>2244</v>
      </c>
    </row>
    <row r="1158" spans="1:1" ht="15.75">
      <c r="A1158" s="79" t="s">
        <v>2245</v>
      </c>
    </row>
    <row r="1159" spans="1:1" ht="15.75">
      <c r="A1159" s="79" t="s">
        <v>2246</v>
      </c>
    </row>
    <row r="1160" spans="1:1" ht="15.75">
      <c r="A1160" s="79" t="s">
        <v>2247</v>
      </c>
    </row>
    <row r="1161" spans="1:1" ht="15.75">
      <c r="A1161" s="79" t="s">
        <v>2248</v>
      </c>
    </row>
    <row r="1162" spans="1:1" ht="15.75">
      <c r="A1162" s="79" t="s">
        <v>2249</v>
      </c>
    </row>
    <row r="1163" spans="1:1" ht="15.75">
      <c r="A1163" s="79" t="s">
        <v>2250</v>
      </c>
    </row>
    <row r="1164" spans="1:1" ht="15.75">
      <c r="A1164" s="79" t="s">
        <v>2251</v>
      </c>
    </row>
    <row r="1165" spans="1:1" ht="15.75">
      <c r="A1165" s="79" t="s">
        <v>2252</v>
      </c>
    </row>
    <row r="1166" spans="1:1" ht="15.75">
      <c r="A1166" s="79" t="s">
        <v>2253</v>
      </c>
    </row>
    <row r="1167" spans="1:1" ht="15.75">
      <c r="A1167" s="79" t="s">
        <v>2254</v>
      </c>
    </row>
    <row r="1168" spans="1:1" ht="15.75">
      <c r="A1168" s="79" t="s">
        <v>2255</v>
      </c>
    </row>
    <row r="1169" spans="1:1" ht="15.75">
      <c r="A1169" s="79" t="s">
        <v>2256</v>
      </c>
    </row>
    <row r="1170" spans="1:1" ht="15.75">
      <c r="A1170" s="79" t="s">
        <v>2257</v>
      </c>
    </row>
    <row r="1171" spans="1:1" ht="15.75">
      <c r="A1171" s="79" t="s">
        <v>2258</v>
      </c>
    </row>
    <row r="1172" spans="1:1" ht="15.75">
      <c r="A1172" s="79" t="s">
        <v>2259</v>
      </c>
    </row>
    <row r="1173" spans="1:1" ht="15.75">
      <c r="A1173" s="79" t="s">
        <v>2260</v>
      </c>
    </row>
    <row r="1174" spans="1:1" ht="15.75">
      <c r="A1174" s="79" t="s">
        <v>2261</v>
      </c>
    </row>
    <row r="1175" spans="1:1" ht="15.75">
      <c r="A1175" s="79" t="s">
        <v>2262</v>
      </c>
    </row>
    <row r="1176" spans="1:1" ht="15.75">
      <c r="A1176" s="79" t="s">
        <v>2263</v>
      </c>
    </row>
    <row r="1177" spans="1:1" ht="15.75">
      <c r="A1177" s="79" t="s">
        <v>2264</v>
      </c>
    </row>
    <row r="1178" spans="1:1" ht="15.75">
      <c r="A1178" s="79" t="s">
        <v>2265</v>
      </c>
    </row>
    <row r="1179" spans="1:1" ht="15.75">
      <c r="A1179" s="79" t="s">
        <v>2266</v>
      </c>
    </row>
    <row r="1180" spans="1:1" ht="15.75">
      <c r="A1180" s="79" t="s">
        <v>2267</v>
      </c>
    </row>
    <row r="1181" spans="1:1" ht="15.75">
      <c r="A1181" s="79" t="s">
        <v>2268</v>
      </c>
    </row>
    <row r="1182" spans="1:1" ht="15.75">
      <c r="A1182" s="79" t="s">
        <v>2269</v>
      </c>
    </row>
    <row r="1183" spans="1:1" ht="15.75">
      <c r="A1183" s="79"/>
    </row>
    <row r="1184" spans="1:1" ht="15.75">
      <c r="A1184" s="79" t="s">
        <v>765</v>
      </c>
    </row>
    <row r="1185" spans="1:1" ht="15.75">
      <c r="A1185" s="79"/>
    </row>
    <row r="1186" spans="1:1" ht="15.75">
      <c r="A1186" s="79"/>
    </row>
    <row r="1187" spans="1:1" ht="15.75">
      <c r="A1187" s="79"/>
    </row>
    <row r="1188" spans="1:1" ht="15.75">
      <c r="A1188" s="79"/>
    </row>
  </sheetData>
  <pageMargins left="0.7" right="0.7" top="0.75" bottom="0.75" header="0.3" footer="0.3"/>
  <pageSetup scale="28" fitToHeight="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25383-DB68-4742-B2B2-557B7486BC8E}">
  <sheetPr>
    <pageSetUpPr fitToPage="1"/>
  </sheetPr>
  <dimension ref="B2:H167"/>
  <sheetViews>
    <sheetView zoomScaleNormal="100" workbookViewId="0">
      <selection activeCell="A2" sqref="A2"/>
    </sheetView>
  </sheetViews>
  <sheetFormatPr defaultColWidth="9.140625" defaultRowHeight="15"/>
  <cols>
    <col min="1" max="1" width="9.140625" style="155"/>
    <col min="2" max="2" width="20.42578125" style="155" customWidth="1"/>
    <col min="3" max="3" width="9.140625" style="155"/>
    <col min="4" max="4" width="19.140625" style="155" customWidth="1"/>
    <col min="5" max="5" width="25.7109375" style="155" customWidth="1"/>
    <col min="6" max="6" width="9.42578125" style="155" bestFit="1" customWidth="1"/>
    <col min="7" max="16384" width="9.140625" style="155"/>
  </cols>
  <sheetData>
    <row r="2" spans="2:5">
      <c r="B2" s="229"/>
    </row>
    <row r="4" spans="2:5">
      <c r="B4" s="110" t="s">
        <v>1732</v>
      </c>
    </row>
    <row r="5" spans="2:5" ht="45">
      <c r="B5" s="93" t="s">
        <v>841</v>
      </c>
      <c r="C5" s="93"/>
      <c r="D5" s="93" t="s">
        <v>1733</v>
      </c>
      <c r="E5" s="93" t="s">
        <v>1734</v>
      </c>
    </row>
    <row r="6" spans="2:5">
      <c r="B6" s="155" t="s">
        <v>572</v>
      </c>
      <c r="D6" s="95">
        <v>252.54</v>
      </c>
      <c r="E6" s="95">
        <v>367.37</v>
      </c>
    </row>
    <row r="7" spans="2:5">
      <c r="B7" s="155" t="s">
        <v>574</v>
      </c>
      <c r="D7" s="95">
        <v>21.642040000000001</v>
      </c>
      <c r="E7" s="95">
        <f>6.56+55.52+12.6</f>
        <v>74.680000000000007</v>
      </c>
    </row>
    <row r="8" spans="2:5">
      <c r="B8" s="155" t="s">
        <v>369</v>
      </c>
      <c r="D8" s="95">
        <v>85.232150000000004</v>
      </c>
      <c r="E8" s="95">
        <v>70.599999999999994</v>
      </c>
    </row>
    <row r="9" spans="2:5">
      <c r="B9" s="155" t="s">
        <v>597</v>
      </c>
      <c r="D9" s="95">
        <v>146.59</v>
      </c>
      <c r="E9" s="95">
        <v>233.11500000000001</v>
      </c>
    </row>
    <row r="10" spans="2:5">
      <c r="B10" s="155" t="s">
        <v>598</v>
      </c>
      <c r="D10" s="95">
        <v>22.73</v>
      </c>
      <c r="E10" s="95">
        <v>87.73</v>
      </c>
    </row>
    <row r="11" spans="2:5">
      <c r="B11" s="155" t="s">
        <v>599</v>
      </c>
      <c r="D11" s="95">
        <v>66.850890000000007</v>
      </c>
      <c r="E11" s="95">
        <v>98.03</v>
      </c>
    </row>
    <row r="12" spans="2:5" ht="30" customHeight="1">
      <c r="B12" s="253" t="s">
        <v>1735</v>
      </c>
      <c r="C12" s="253"/>
      <c r="D12" s="253"/>
      <c r="E12" s="253"/>
    </row>
    <row r="13" spans="2:5">
      <c r="B13" s="155" t="s">
        <v>1736</v>
      </c>
    </row>
    <row r="52" spans="4:4">
      <c r="D52" s="155">
        <f>103.491+56.776+72.848</f>
        <v>233.11500000000001</v>
      </c>
    </row>
    <row r="124" spans="6:6">
      <c r="F124" s="155">
        <f>6.56+55.51+12.6</f>
        <v>74.67</v>
      </c>
    </row>
    <row r="145" spans="8:8">
      <c r="H145" s="95">
        <v>70.599999999999994</v>
      </c>
    </row>
    <row r="167" spans="7:7">
      <c r="G167" s="155">
        <v>98.03</v>
      </c>
    </row>
  </sheetData>
  <mergeCells count="1">
    <mergeCell ref="B12:E12"/>
  </mergeCells>
  <pageMargins left="0.7" right="0.7" top="0.75" bottom="0.75" header="0.3" footer="0.3"/>
  <pageSetup scale="77" fitToHeight="3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86D35-36D4-400A-987D-376F9E34C325}">
  <sheetPr>
    <pageSetUpPr fitToPage="1"/>
  </sheetPr>
  <dimension ref="B1:N30"/>
  <sheetViews>
    <sheetView workbookViewId="0">
      <selection activeCell="B30" sqref="B30"/>
    </sheetView>
  </sheetViews>
  <sheetFormatPr defaultColWidth="8.7109375" defaultRowHeight="15"/>
  <cols>
    <col min="1" max="1" width="8.7109375" style="155"/>
    <col min="2" max="2" width="52" style="155" customWidth="1"/>
    <col min="3" max="3" width="10.42578125" style="155" customWidth="1"/>
    <col min="4" max="4" width="10.5703125" style="155" bestFit="1" customWidth="1"/>
    <col min="5" max="16384" width="8.7109375" style="155"/>
  </cols>
  <sheetData>
    <row r="1" spans="2:14" ht="18.75">
      <c r="B1" s="230" t="s">
        <v>1737</v>
      </c>
    </row>
    <row r="2" spans="2:14">
      <c r="B2" s="155" t="s">
        <v>870</v>
      </c>
    </row>
    <row r="4" spans="2:14">
      <c r="B4" s="100" t="s">
        <v>871</v>
      </c>
      <c r="C4" s="142">
        <v>0.15</v>
      </c>
    </row>
    <row r="5" spans="2:14">
      <c r="B5" s="100" t="s">
        <v>872</v>
      </c>
      <c r="C5" s="142">
        <v>0.09</v>
      </c>
    </row>
    <row r="7" spans="2:14">
      <c r="D7" s="155">
        <v>1</v>
      </c>
      <c r="E7" s="155">
        <v>2</v>
      </c>
      <c r="F7" s="155">
        <v>3</v>
      </c>
      <c r="G7" s="155">
        <v>4</v>
      </c>
      <c r="H7" s="155">
        <v>5</v>
      </c>
      <c r="I7" s="155">
        <v>6</v>
      </c>
      <c r="J7" s="155">
        <v>7</v>
      </c>
      <c r="K7" s="155">
        <v>8</v>
      </c>
      <c r="L7" s="155">
        <v>9</v>
      </c>
      <c r="M7" s="155">
        <v>10</v>
      </c>
    </row>
    <row r="8" spans="2:14">
      <c r="C8" s="155" t="s">
        <v>873</v>
      </c>
      <c r="D8" s="155">
        <v>2026</v>
      </c>
      <c r="E8" s="155">
        <f>D8+1</f>
        <v>2027</v>
      </c>
      <c r="F8" s="155">
        <f t="shared" ref="F8:M8" si="0">E8+1</f>
        <v>2028</v>
      </c>
      <c r="G8" s="155">
        <f t="shared" si="0"/>
        <v>2029</v>
      </c>
      <c r="H8" s="155">
        <f t="shared" si="0"/>
        <v>2030</v>
      </c>
      <c r="I8" s="155">
        <f t="shared" si="0"/>
        <v>2031</v>
      </c>
      <c r="J8" s="155">
        <f t="shared" si="0"/>
        <v>2032</v>
      </c>
      <c r="K8" s="155">
        <f t="shared" si="0"/>
        <v>2033</v>
      </c>
      <c r="L8" s="155">
        <f t="shared" si="0"/>
        <v>2034</v>
      </c>
      <c r="M8" s="155">
        <f t="shared" si="0"/>
        <v>2035</v>
      </c>
      <c r="N8" s="157" t="s">
        <v>874</v>
      </c>
    </row>
    <row r="10" spans="2:14">
      <c r="B10" s="155" t="s">
        <v>875</v>
      </c>
      <c r="D10" s="155">
        <v>0</v>
      </c>
      <c r="E10" s="155">
        <v>500</v>
      </c>
      <c r="F10" s="155">
        <v>0</v>
      </c>
      <c r="G10" s="155">
        <v>1000</v>
      </c>
      <c r="H10" s="155">
        <v>0</v>
      </c>
      <c r="I10" s="155">
        <v>0</v>
      </c>
      <c r="J10" s="155">
        <v>0</v>
      </c>
      <c r="K10" s="155">
        <v>2000</v>
      </c>
      <c r="L10" s="155">
        <v>0</v>
      </c>
      <c r="M10" s="155">
        <v>500</v>
      </c>
      <c r="N10" s="155">
        <f t="shared" ref="N10:N11" si="1">SUM(D10:M10)</f>
        <v>4000</v>
      </c>
    </row>
    <row r="11" spans="2:14">
      <c r="B11" s="155" t="s">
        <v>741</v>
      </c>
      <c r="D11" s="155">
        <v>0</v>
      </c>
      <c r="E11" s="155">
        <v>100</v>
      </c>
      <c r="F11" s="155">
        <v>0</v>
      </c>
      <c r="G11" s="155">
        <v>200</v>
      </c>
      <c r="H11" s="155">
        <v>0</v>
      </c>
      <c r="I11" s="155">
        <v>0</v>
      </c>
      <c r="J11" s="155">
        <v>0</v>
      </c>
      <c r="K11" s="155">
        <v>100</v>
      </c>
      <c r="L11" s="155">
        <v>0</v>
      </c>
      <c r="M11" s="155">
        <v>100</v>
      </c>
      <c r="N11" s="155">
        <f t="shared" si="1"/>
        <v>500</v>
      </c>
    </row>
    <row r="12" spans="2:14">
      <c r="B12" s="155" t="s">
        <v>876</v>
      </c>
      <c r="D12" s="155">
        <f>IF(D10&gt;0,D10/D11,0)</f>
        <v>0</v>
      </c>
      <c r="E12" s="155">
        <f t="shared" ref="E12:M12" si="2">IF(E10&gt;0,E10/E11,0)</f>
        <v>5</v>
      </c>
      <c r="F12" s="155">
        <f t="shared" si="2"/>
        <v>0</v>
      </c>
      <c r="G12" s="155">
        <f t="shared" si="2"/>
        <v>5</v>
      </c>
      <c r="H12" s="155">
        <f t="shared" si="2"/>
        <v>0</v>
      </c>
      <c r="I12" s="155">
        <f t="shared" si="2"/>
        <v>0</v>
      </c>
      <c r="J12" s="155">
        <f t="shared" si="2"/>
        <v>0</v>
      </c>
      <c r="K12" s="155">
        <f t="shared" si="2"/>
        <v>20</v>
      </c>
      <c r="L12" s="155">
        <f t="shared" si="2"/>
        <v>0</v>
      </c>
      <c r="M12" s="155">
        <f t="shared" si="2"/>
        <v>5</v>
      </c>
      <c r="N12" s="155">
        <f>SUM(D12:M12)</f>
        <v>35</v>
      </c>
    </row>
    <row r="13" spans="2:14">
      <c r="B13" s="155" t="s">
        <v>877</v>
      </c>
      <c r="D13" s="155">
        <f t="shared" ref="D13:M13" si="3">D12*$C$4</f>
        <v>0</v>
      </c>
      <c r="E13" s="155">
        <f>E12*$C$4</f>
        <v>0.75</v>
      </c>
      <c r="F13" s="155">
        <f t="shared" si="3"/>
        <v>0</v>
      </c>
      <c r="G13" s="155">
        <f t="shared" si="3"/>
        <v>0.75</v>
      </c>
      <c r="H13" s="155">
        <f t="shared" si="3"/>
        <v>0</v>
      </c>
      <c r="I13" s="155">
        <f t="shared" si="3"/>
        <v>0</v>
      </c>
      <c r="J13" s="155">
        <f t="shared" si="3"/>
        <v>0</v>
      </c>
      <c r="K13" s="155">
        <f t="shared" si="3"/>
        <v>3</v>
      </c>
      <c r="L13" s="155">
        <f t="shared" si="3"/>
        <v>0</v>
      </c>
      <c r="M13" s="155">
        <f t="shared" si="3"/>
        <v>0.75</v>
      </c>
      <c r="N13" s="155">
        <f t="shared" ref="N13:N17" si="4">SUM(D13:M13)</f>
        <v>5.25</v>
      </c>
    </row>
    <row r="16" spans="2:14">
      <c r="B16" s="155" t="s">
        <v>878</v>
      </c>
      <c r="D16" s="155">
        <f>D10</f>
        <v>0</v>
      </c>
      <c r="E16" s="155">
        <f>E10+D16</f>
        <v>500</v>
      </c>
      <c r="F16" s="155">
        <f t="shared" ref="F16:M16" si="5">F10+E16</f>
        <v>500</v>
      </c>
      <c r="G16" s="155">
        <f t="shared" si="5"/>
        <v>1500</v>
      </c>
      <c r="H16" s="155">
        <f t="shared" si="5"/>
        <v>1500</v>
      </c>
      <c r="I16" s="155">
        <f t="shared" si="5"/>
        <v>1500</v>
      </c>
      <c r="J16" s="155">
        <f t="shared" si="5"/>
        <v>1500</v>
      </c>
      <c r="K16" s="155">
        <f t="shared" si="5"/>
        <v>3500</v>
      </c>
      <c r="L16" s="155">
        <f t="shared" si="5"/>
        <v>3500</v>
      </c>
      <c r="M16" s="155">
        <f t="shared" si="5"/>
        <v>4000</v>
      </c>
      <c r="N16" s="99">
        <f t="shared" si="4"/>
        <v>18000</v>
      </c>
    </row>
    <row r="17" spans="2:14">
      <c r="B17" s="155" t="s">
        <v>879</v>
      </c>
      <c r="D17" s="155">
        <f>D11</f>
        <v>0</v>
      </c>
      <c r="E17" s="155">
        <f>E11+D17</f>
        <v>100</v>
      </c>
      <c r="F17" s="155">
        <f t="shared" ref="F17:M17" si="6">F11+E17</f>
        <v>100</v>
      </c>
      <c r="G17" s="155">
        <f t="shared" si="6"/>
        <v>300</v>
      </c>
      <c r="H17" s="155">
        <f t="shared" si="6"/>
        <v>300</v>
      </c>
      <c r="I17" s="155">
        <f t="shared" si="6"/>
        <v>300</v>
      </c>
      <c r="J17" s="155">
        <f t="shared" si="6"/>
        <v>300</v>
      </c>
      <c r="K17" s="155">
        <f t="shared" si="6"/>
        <v>400</v>
      </c>
      <c r="L17" s="155">
        <f t="shared" si="6"/>
        <v>400</v>
      </c>
      <c r="M17" s="155">
        <f t="shared" si="6"/>
        <v>500</v>
      </c>
      <c r="N17" s="155">
        <f t="shared" si="4"/>
        <v>2700</v>
      </c>
    </row>
    <row r="18" spans="2:14">
      <c r="B18" s="155" t="s">
        <v>880</v>
      </c>
      <c r="D18" s="155">
        <f>IF(D16&gt;0,D16/D17,0)</f>
        <v>0</v>
      </c>
      <c r="E18" s="155">
        <f t="shared" ref="E18:M18" si="7">IF(E16&gt;0,E16/E17,0)</f>
        <v>5</v>
      </c>
      <c r="F18" s="155">
        <f t="shared" si="7"/>
        <v>5</v>
      </c>
      <c r="G18" s="155">
        <f t="shared" si="7"/>
        <v>5</v>
      </c>
      <c r="H18" s="155">
        <f t="shared" si="7"/>
        <v>5</v>
      </c>
      <c r="I18" s="155">
        <f t="shared" si="7"/>
        <v>5</v>
      </c>
      <c r="J18" s="155">
        <f t="shared" si="7"/>
        <v>5</v>
      </c>
      <c r="K18" s="155">
        <f t="shared" si="7"/>
        <v>8.75</v>
      </c>
      <c r="L18" s="155">
        <f t="shared" si="7"/>
        <v>8.75</v>
      </c>
      <c r="M18" s="155">
        <f t="shared" si="7"/>
        <v>8</v>
      </c>
      <c r="N18" s="155">
        <f>SUM(D18:M18)</f>
        <v>55.5</v>
      </c>
    </row>
    <row r="19" spans="2:14">
      <c r="B19" s="155" t="s">
        <v>877</v>
      </c>
      <c r="D19" s="155">
        <f t="shared" ref="D19:M19" si="8">D18*$C$4</f>
        <v>0</v>
      </c>
      <c r="E19" s="155">
        <f t="shared" si="8"/>
        <v>0.75</v>
      </c>
      <c r="F19" s="155">
        <f t="shared" si="8"/>
        <v>0.75</v>
      </c>
      <c r="G19" s="155">
        <f t="shared" si="8"/>
        <v>0.75</v>
      </c>
      <c r="H19" s="155">
        <f t="shared" si="8"/>
        <v>0.75</v>
      </c>
      <c r="I19" s="155">
        <f t="shared" si="8"/>
        <v>0.75</v>
      </c>
      <c r="J19" s="155">
        <f t="shared" si="8"/>
        <v>0.75</v>
      </c>
      <c r="K19" s="155">
        <f t="shared" si="8"/>
        <v>1.3125</v>
      </c>
      <c r="L19" s="155">
        <f t="shared" si="8"/>
        <v>1.3125</v>
      </c>
      <c r="M19" s="155">
        <f t="shared" si="8"/>
        <v>1.2</v>
      </c>
      <c r="N19" s="155">
        <f t="shared" ref="N19:N20" si="9">SUM(D19:M19)</f>
        <v>8.3249999999999993</v>
      </c>
    </row>
    <row r="20" spans="2:14">
      <c r="B20" s="155" t="s">
        <v>881</v>
      </c>
      <c r="D20" s="155">
        <f>D17*D19</f>
        <v>0</v>
      </c>
      <c r="E20" s="155">
        <f t="shared" ref="E20:M20" si="10">E17*E19</f>
        <v>75</v>
      </c>
      <c r="F20" s="155">
        <f t="shared" si="10"/>
        <v>75</v>
      </c>
      <c r="G20" s="155">
        <f t="shared" si="10"/>
        <v>225</v>
      </c>
      <c r="H20" s="155">
        <f t="shared" si="10"/>
        <v>225</v>
      </c>
      <c r="I20" s="155">
        <f t="shared" si="10"/>
        <v>225</v>
      </c>
      <c r="J20" s="155">
        <f t="shared" si="10"/>
        <v>225</v>
      </c>
      <c r="K20" s="155">
        <f t="shared" si="10"/>
        <v>525</v>
      </c>
      <c r="L20" s="155">
        <f t="shared" si="10"/>
        <v>525</v>
      </c>
      <c r="M20" s="155">
        <f t="shared" si="10"/>
        <v>600</v>
      </c>
      <c r="N20" s="155">
        <f t="shared" si="9"/>
        <v>2700</v>
      </c>
    </row>
    <row r="21" spans="2:14">
      <c r="B21" s="155" t="s">
        <v>882</v>
      </c>
      <c r="C21" s="242">
        <f>NPV($C$5,D20:M20)</f>
        <v>1442.5637137556132</v>
      </c>
    </row>
    <row r="24" spans="2:14">
      <c r="B24" s="155" t="s">
        <v>883</v>
      </c>
      <c r="C24" s="155">
        <f>NPV($C$5,D16:M16)</f>
        <v>9617.0914250374226</v>
      </c>
    </row>
    <row r="25" spans="2:14">
      <c r="B25" s="155" t="s">
        <v>884</v>
      </c>
      <c r="C25" s="155">
        <f>NPV($C$5,D17:M17)</f>
        <v>1508.0068251820571</v>
      </c>
    </row>
    <row r="26" spans="2:14">
      <c r="B26" s="155" t="s">
        <v>885</v>
      </c>
      <c r="D26" s="155">
        <f>IF(C24&gt;0,C24/C25,0)</f>
        <v>6.3773527178011147</v>
      </c>
    </row>
    <row r="27" spans="2:14">
      <c r="B27" s="155" t="s">
        <v>886</v>
      </c>
      <c r="D27" s="155">
        <f t="shared" ref="D27:M27" si="11">$D$26*D17</f>
        <v>0</v>
      </c>
      <c r="E27" s="155">
        <f t="shared" si="11"/>
        <v>637.73527178011147</v>
      </c>
      <c r="F27" s="155">
        <f t="shared" si="11"/>
        <v>637.73527178011147</v>
      </c>
      <c r="G27" s="155">
        <f t="shared" si="11"/>
        <v>1913.2058153403343</v>
      </c>
      <c r="H27" s="155">
        <f t="shared" si="11"/>
        <v>1913.2058153403343</v>
      </c>
      <c r="I27" s="155">
        <f t="shared" si="11"/>
        <v>1913.2058153403343</v>
      </c>
      <c r="J27" s="155">
        <f t="shared" si="11"/>
        <v>1913.2058153403343</v>
      </c>
      <c r="K27" s="155">
        <f t="shared" si="11"/>
        <v>2550.9410871204459</v>
      </c>
      <c r="L27" s="155">
        <f t="shared" si="11"/>
        <v>2550.9410871204459</v>
      </c>
      <c r="M27" s="155">
        <f t="shared" si="11"/>
        <v>3188.6763589005573</v>
      </c>
      <c r="N27" s="99">
        <f t="shared" ref="N27" si="12">SUM(D27:M27)</f>
        <v>17218.85233806301</v>
      </c>
    </row>
    <row r="28" spans="2:14">
      <c r="B28" s="155" t="s">
        <v>887</v>
      </c>
      <c r="D28" s="155">
        <f>D26*$C$4</f>
        <v>0.9566029076701672</v>
      </c>
    </row>
    <row r="29" spans="2:14">
      <c r="B29" s="155" t="s">
        <v>888</v>
      </c>
      <c r="D29" s="155">
        <f t="shared" ref="D29:M29" si="13">$D$28*D17</f>
        <v>0</v>
      </c>
      <c r="E29" s="155">
        <f t="shared" si="13"/>
        <v>95.660290767016718</v>
      </c>
      <c r="F29" s="155">
        <f t="shared" si="13"/>
        <v>95.660290767016718</v>
      </c>
      <c r="G29" s="155">
        <f t="shared" si="13"/>
        <v>286.98087230105017</v>
      </c>
      <c r="H29" s="155">
        <f t="shared" si="13"/>
        <v>286.98087230105017</v>
      </c>
      <c r="I29" s="155">
        <f t="shared" si="13"/>
        <v>286.98087230105017</v>
      </c>
      <c r="J29" s="155">
        <f t="shared" si="13"/>
        <v>286.98087230105017</v>
      </c>
      <c r="K29" s="155">
        <f t="shared" si="13"/>
        <v>382.64116306806687</v>
      </c>
      <c r="L29" s="155">
        <f t="shared" si="13"/>
        <v>382.64116306806687</v>
      </c>
      <c r="M29" s="155">
        <f t="shared" si="13"/>
        <v>478.30145383508358</v>
      </c>
      <c r="N29" s="155">
        <f t="shared" ref="N29" si="14">SUM(D29:M29)</f>
        <v>2582.8278507094515</v>
      </c>
    </row>
    <row r="30" spans="2:14">
      <c r="B30" s="155" t="s">
        <v>889</v>
      </c>
      <c r="C30" s="143">
        <f>NPV($C$5,D29:M29)</f>
        <v>1442.563713755613</v>
      </c>
    </row>
  </sheetData>
  <pageMargins left="0.7" right="0.7" top="0.75" bottom="0.75" header="0.3" footer="0.3"/>
  <pageSetup scale="7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1768D-87FA-42E9-BA89-AB03C2C2686E}">
  <sheetPr>
    <pageSetUpPr fitToPage="1"/>
  </sheetPr>
  <dimension ref="A1:DF353"/>
  <sheetViews>
    <sheetView workbookViewId="0"/>
  </sheetViews>
  <sheetFormatPr defaultColWidth="9.140625" defaultRowHeight="15"/>
  <cols>
    <col min="1" max="1" width="13.140625" style="96" bestFit="1" customWidth="1"/>
    <col min="2" max="2" width="21" style="96" bestFit="1" customWidth="1"/>
    <col min="3" max="3" width="10" style="96" bestFit="1" customWidth="1"/>
    <col min="4" max="4" width="12" style="96" bestFit="1" customWidth="1"/>
    <col min="5" max="5" width="10.42578125" style="96" bestFit="1" customWidth="1"/>
    <col min="6" max="7" width="12" style="96" bestFit="1" customWidth="1"/>
    <col min="8" max="10" width="9" style="96" bestFit="1" customWidth="1"/>
    <col min="11" max="11" width="10" style="96" bestFit="1" customWidth="1"/>
    <col min="12" max="14" width="12" style="96" bestFit="1" customWidth="1"/>
    <col min="15" max="15" width="9.140625" style="96"/>
    <col min="16" max="16" width="21" style="96" bestFit="1" customWidth="1"/>
    <col min="17" max="18" width="16.28515625" style="170" bestFit="1" customWidth="1"/>
    <col min="19" max="26" width="18" style="170" bestFit="1" customWidth="1"/>
    <col min="27" max="27" width="9.140625" style="96"/>
    <col min="28" max="28" width="21" style="96" bestFit="1" customWidth="1"/>
    <col min="29" max="29" width="8" style="96" bestFit="1" customWidth="1"/>
    <col min="30" max="30" width="9.140625" style="96"/>
    <col min="31" max="31" width="20.7109375" style="96" bestFit="1" customWidth="1"/>
    <col min="32" max="40" width="12" style="96" bestFit="1" customWidth="1"/>
    <col min="41" max="41" width="9.140625" style="96"/>
    <col min="42" max="42" width="16.140625" style="96" bestFit="1" customWidth="1"/>
    <col min="43" max="43" width="7" style="96" bestFit="1" customWidth="1"/>
    <col min="44" max="44" width="9.140625" style="96"/>
    <col min="45" max="45" width="21" style="96" bestFit="1" customWidth="1"/>
    <col min="46" max="55" width="12" style="96" bestFit="1" customWidth="1"/>
    <col min="56" max="56" width="6.140625" style="96" bestFit="1" customWidth="1"/>
    <col min="57" max="57" width="9.5703125" style="96" bestFit="1" customWidth="1"/>
    <col min="58" max="64" width="9.140625" style="96"/>
    <col min="65" max="65" width="22.140625" style="96" bestFit="1" customWidth="1"/>
    <col min="66" max="66" width="10" style="96" bestFit="1" customWidth="1"/>
    <col min="67" max="68" width="9.140625" style="96"/>
    <col min="69" max="69" width="22.140625" style="96" bestFit="1" customWidth="1"/>
    <col min="70" max="70" width="10.140625" style="96" bestFit="1" customWidth="1"/>
    <col min="71" max="71" width="11.85546875" style="96" bestFit="1" customWidth="1"/>
    <col min="72" max="79" width="9" style="96" bestFit="1" customWidth="1"/>
    <col min="80" max="80" width="9.140625" style="96"/>
    <col min="81" max="81" width="22.140625" style="96" bestFit="1" customWidth="1"/>
    <col min="82" max="91" width="9" style="96" bestFit="1" customWidth="1"/>
    <col min="92" max="92" width="10" style="96" bestFit="1" customWidth="1"/>
    <col min="93" max="93" width="8.28515625" style="223" bestFit="1" customWidth="1"/>
    <col min="94" max="94" width="10.140625" style="96" bestFit="1" customWidth="1"/>
    <col min="95" max="95" width="17.5703125" style="96" bestFit="1" customWidth="1"/>
    <col min="96" max="96" width="9" style="96" bestFit="1" customWidth="1"/>
    <col min="97" max="16384" width="9.140625" style="96"/>
  </cols>
  <sheetData>
    <row r="1" spans="1:110">
      <c r="A1" s="155" t="s">
        <v>2275</v>
      </c>
      <c r="BD1" s="96" t="s">
        <v>547</v>
      </c>
      <c r="BE1" s="64">
        <v>8.4161499513978194E-2</v>
      </c>
      <c r="BQ1" s="96" t="s">
        <v>9</v>
      </c>
      <c r="BR1" s="96" t="s">
        <v>11</v>
      </c>
      <c r="BS1" s="96" t="s">
        <v>10</v>
      </c>
      <c r="CO1" s="96"/>
    </row>
    <row r="2" spans="1:110" s="164" customFormat="1">
      <c r="B2" s="164" t="s">
        <v>1604</v>
      </c>
      <c r="Q2" s="172">
        <v>1</v>
      </c>
      <c r="R2" s="172">
        <v>1.024</v>
      </c>
      <c r="S2" s="172">
        <v>1.045504</v>
      </c>
      <c r="T2" s="172">
        <v>1.0674595839999999</v>
      </c>
      <c r="U2" s="172">
        <v>1.0898762352639997</v>
      </c>
      <c r="V2" s="172">
        <v>1.1127636362045437</v>
      </c>
      <c r="W2" s="172">
        <v>1.1361316725648389</v>
      </c>
      <c r="X2" s="172">
        <v>1.1599904376887005</v>
      </c>
      <c r="Y2" s="172">
        <v>1.1843502368801631</v>
      </c>
      <c r="Z2" s="172">
        <v>1.2092215918546463</v>
      </c>
    </row>
    <row r="3" spans="1:110" s="164" customFormat="1">
      <c r="Q3" s="245" t="s">
        <v>91</v>
      </c>
      <c r="R3" s="245"/>
      <c r="S3" s="245"/>
      <c r="T3" s="245"/>
      <c r="U3" s="245"/>
      <c r="V3" s="245"/>
      <c r="W3" s="245"/>
      <c r="X3" s="245"/>
      <c r="Y3" s="245"/>
      <c r="Z3" s="245"/>
      <c r="AE3" s="164" t="s">
        <v>948</v>
      </c>
      <c r="AT3" s="246" t="s">
        <v>949</v>
      </c>
      <c r="AU3" s="246"/>
      <c r="AV3" s="246"/>
      <c r="AW3" s="246"/>
      <c r="AX3" s="246"/>
      <c r="AY3" s="246"/>
      <c r="AZ3" s="246"/>
      <c r="BA3" s="246"/>
      <c r="BB3" s="246"/>
      <c r="BC3" s="246"/>
      <c r="BM3" s="246"/>
      <c r="BN3" s="246"/>
      <c r="BO3" s="174"/>
      <c r="BR3" s="246" t="s">
        <v>950</v>
      </c>
      <c r="BS3" s="246"/>
      <c r="BT3" s="246"/>
      <c r="BU3" s="246"/>
      <c r="BV3" s="246"/>
      <c r="BW3" s="246"/>
      <c r="BX3" s="246"/>
      <c r="BY3" s="246"/>
      <c r="BZ3" s="246"/>
      <c r="CA3" s="246"/>
      <c r="CC3" s="246" t="s">
        <v>951</v>
      </c>
      <c r="CD3" s="246"/>
      <c r="CE3" s="246"/>
      <c r="CF3" s="246"/>
      <c r="CG3" s="246"/>
      <c r="CH3" s="246"/>
      <c r="CI3" s="246"/>
      <c r="CJ3" s="246"/>
      <c r="CK3" s="246"/>
      <c r="CL3" s="246"/>
      <c r="CM3" s="246"/>
      <c r="CN3" s="96" t="s">
        <v>547</v>
      </c>
      <c r="CO3" s="226">
        <v>8.4161499513978194E-2</v>
      </c>
    </row>
    <row r="4" spans="1:110" s="163" customFormat="1">
      <c r="B4" s="163" t="s">
        <v>8</v>
      </c>
      <c r="C4" s="163" t="s">
        <v>9</v>
      </c>
      <c r="D4" s="163" t="s">
        <v>10</v>
      </c>
      <c r="E4" s="163" t="s">
        <v>11</v>
      </c>
      <c r="F4" s="163" t="s">
        <v>92</v>
      </c>
      <c r="P4" s="163" t="s">
        <v>9</v>
      </c>
      <c r="Q4" s="222">
        <v>2025</v>
      </c>
      <c r="R4" s="222">
        <v>2026</v>
      </c>
      <c r="S4" s="222">
        <v>2027</v>
      </c>
      <c r="T4" s="222">
        <v>2028</v>
      </c>
      <c r="U4" s="222">
        <v>2029</v>
      </c>
      <c r="V4" s="222">
        <v>2030</v>
      </c>
      <c r="W4" s="222">
        <v>2031</v>
      </c>
      <c r="X4" s="222">
        <v>2032</v>
      </c>
      <c r="Y4" s="222">
        <v>2033</v>
      </c>
      <c r="Z4" s="222">
        <v>2034</v>
      </c>
      <c r="AB4" s="163" t="s">
        <v>9</v>
      </c>
      <c r="AC4" s="163" t="s">
        <v>92</v>
      </c>
      <c r="AE4" s="163">
        <v>2025</v>
      </c>
      <c r="AF4" s="163">
        <v>2026</v>
      </c>
      <c r="AG4" s="163">
        <v>2027</v>
      </c>
      <c r="AH4" s="163">
        <v>2028</v>
      </c>
      <c r="AI4" s="163">
        <v>2029</v>
      </c>
      <c r="AJ4" s="163">
        <v>2030</v>
      </c>
      <c r="AK4" s="163">
        <v>2031</v>
      </c>
      <c r="AL4" s="163">
        <v>2032</v>
      </c>
      <c r="AM4" s="163">
        <v>2033</v>
      </c>
      <c r="AN4" s="163">
        <v>2034</v>
      </c>
      <c r="AP4" s="167" t="s">
        <v>93</v>
      </c>
      <c r="AQ4" s="167"/>
      <c r="AS4" s="163" t="s">
        <v>9</v>
      </c>
      <c r="AT4" s="163">
        <v>2025</v>
      </c>
      <c r="AU4" s="163">
        <v>2026</v>
      </c>
      <c r="AV4" s="163">
        <v>2027</v>
      </c>
      <c r="AW4" s="163">
        <v>2028</v>
      </c>
      <c r="AX4" s="163">
        <v>2029</v>
      </c>
      <c r="AY4" s="163">
        <v>2030</v>
      </c>
      <c r="AZ4" s="163">
        <v>2031</v>
      </c>
      <c r="BA4" s="163">
        <v>2032</v>
      </c>
      <c r="BB4" s="163">
        <v>2033</v>
      </c>
      <c r="BC4" s="163">
        <v>2034</v>
      </c>
      <c r="BE4" s="163" t="s">
        <v>90</v>
      </c>
      <c r="BN4" s="162" t="s">
        <v>92</v>
      </c>
      <c r="BO4" s="162"/>
      <c r="BQ4" s="163" t="s">
        <v>9</v>
      </c>
      <c r="BR4" s="163">
        <v>2025</v>
      </c>
      <c r="BS4" s="163">
        <v>2026</v>
      </c>
      <c r="BT4" s="163">
        <v>2027</v>
      </c>
      <c r="BU4" s="163">
        <v>2028</v>
      </c>
      <c r="BV4" s="163">
        <v>2029</v>
      </c>
      <c r="BW4" s="163">
        <v>2030</v>
      </c>
      <c r="BX4" s="163">
        <v>2031</v>
      </c>
      <c r="BY4" s="163">
        <v>2032</v>
      </c>
      <c r="BZ4" s="163">
        <v>2033</v>
      </c>
      <c r="CA4" s="163">
        <v>2034</v>
      </c>
      <c r="CB4" s="162"/>
      <c r="CC4" s="162"/>
      <c r="CD4" s="163">
        <v>2025</v>
      </c>
      <c r="CE4" s="163">
        <v>2026</v>
      </c>
      <c r="CF4" s="163">
        <v>2027</v>
      </c>
      <c r="CG4" s="163">
        <v>2028</v>
      </c>
      <c r="CH4" s="163">
        <v>2029</v>
      </c>
      <c r="CI4" s="163">
        <v>2030</v>
      </c>
      <c r="CJ4" s="163">
        <v>2031</v>
      </c>
      <c r="CK4" s="163">
        <v>2032</v>
      </c>
      <c r="CL4" s="163">
        <v>2033</v>
      </c>
      <c r="CM4" s="163">
        <v>2034</v>
      </c>
      <c r="CN4" s="163" t="s">
        <v>92</v>
      </c>
      <c r="CO4" s="163" t="s">
        <v>12</v>
      </c>
      <c r="CP4" s="163" t="s">
        <v>952</v>
      </c>
      <c r="CQ4" s="163" t="s">
        <v>43</v>
      </c>
      <c r="CS4" s="162"/>
      <c r="CT4" s="162"/>
      <c r="CU4" s="162"/>
      <c r="CV4" s="162"/>
      <c r="CW4" s="162"/>
      <c r="CX4" s="162"/>
      <c r="CY4" s="162"/>
      <c r="CZ4" s="162"/>
      <c r="DA4" s="162"/>
      <c r="DB4" s="162"/>
      <c r="DC4" s="162"/>
      <c r="DD4" s="162"/>
      <c r="DE4" s="162"/>
      <c r="DF4" s="162"/>
    </row>
    <row r="5" spans="1:110">
      <c r="B5" s="96" t="s">
        <v>17</v>
      </c>
      <c r="C5" s="96">
        <v>50636.730000000018</v>
      </c>
      <c r="D5" s="96">
        <v>26818.21</v>
      </c>
      <c r="E5" s="96">
        <v>509241.0799999999</v>
      </c>
      <c r="F5" s="96">
        <v>979.19999999999993</v>
      </c>
      <c r="P5" s="96" t="s">
        <v>17</v>
      </c>
      <c r="Q5" s="170">
        <v>50636.730000000018</v>
      </c>
      <c r="R5" s="170">
        <v>51852.011520000022</v>
      </c>
      <c r="S5" s="170">
        <v>52940.903761920017</v>
      </c>
      <c r="T5" s="170">
        <v>54052.662740920328</v>
      </c>
      <c r="U5" s="170">
        <v>55187.768658479647</v>
      </c>
      <c r="V5" s="170">
        <v>56346.711800307719</v>
      </c>
      <c r="W5" s="170">
        <v>57529.992748114179</v>
      </c>
      <c r="X5" s="170">
        <v>58738.12259582457</v>
      </c>
      <c r="Y5" s="170">
        <v>59971.623170336883</v>
      </c>
      <c r="Z5" s="170">
        <v>61231.027256913942</v>
      </c>
      <c r="AB5" s="96" t="s">
        <v>17</v>
      </c>
      <c r="AC5" s="96">
        <v>979.19999999999993</v>
      </c>
      <c r="AE5" s="96">
        <f>Q5/$AC5</f>
        <v>51.71234681372551</v>
      </c>
      <c r="AF5" s="96">
        <f t="shared" ref="AF5:AN5" si="0">R5/$AC5</f>
        <v>52.953443137254929</v>
      </c>
      <c r="AG5" s="96">
        <f t="shared" si="0"/>
        <v>54.065465443137278</v>
      </c>
      <c r="AH5" s="96">
        <f t="shared" si="0"/>
        <v>55.200840217443151</v>
      </c>
      <c r="AI5" s="96">
        <f t="shared" si="0"/>
        <v>56.360057862009448</v>
      </c>
      <c r="AJ5" s="96">
        <f t="shared" si="0"/>
        <v>57.543619077111643</v>
      </c>
      <c r="AK5" s="96">
        <f t="shared" si="0"/>
        <v>58.752035077730987</v>
      </c>
      <c r="AL5" s="96">
        <f t="shared" si="0"/>
        <v>59.985827814363333</v>
      </c>
      <c r="AM5" s="96">
        <f t="shared" si="0"/>
        <v>61.245530198464955</v>
      </c>
      <c r="AN5" s="96">
        <f t="shared" si="0"/>
        <v>62.531686332632709</v>
      </c>
      <c r="AP5" s="73" t="s">
        <v>11</v>
      </c>
      <c r="AQ5" s="168">
        <v>0.12139999999999999</v>
      </c>
      <c r="AS5" s="96" t="s">
        <v>17</v>
      </c>
      <c r="AT5" s="96">
        <f>AE5*$AQ$7</f>
        <v>6.3451049540441202</v>
      </c>
      <c r="AU5" s="96">
        <f t="shared" ref="AU5:BC5" si="1">AF5*$AQ$7</f>
        <v>6.4973874729411802</v>
      </c>
      <c r="AV5" s="96">
        <f t="shared" si="1"/>
        <v>6.6338326098729441</v>
      </c>
      <c r="AW5" s="96">
        <f t="shared" si="1"/>
        <v>6.7731430946802744</v>
      </c>
      <c r="AX5" s="96">
        <f t="shared" si="1"/>
        <v>6.9153790996685593</v>
      </c>
      <c r="AY5" s="96">
        <f t="shared" si="1"/>
        <v>7.0606020607615987</v>
      </c>
      <c r="AZ5" s="96">
        <f t="shared" si="1"/>
        <v>7.2088747040375925</v>
      </c>
      <c r="BA5" s="96">
        <f t="shared" si="1"/>
        <v>7.3602610728223814</v>
      </c>
      <c r="BB5" s="96">
        <f t="shared" si="1"/>
        <v>7.5148265553516502</v>
      </c>
      <c r="BC5" s="96">
        <f t="shared" si="1"/>
        <v>7.6726379130140341</v>
      </c>
      <c r="BE5" s="169">
        <f>NPV($BE$1,AT5:BC5)/((1-(1+$BE$1)^-10)/$BE$1)</f>
        <v>6.9018489433535191</v>
      </c>
      <c r="BM5" s="81" t="s">
        <v>45</v>
      </c>
      <c r="BN5" s="96">
        <f>SUMIFS($AC$137:$AC$266,$AB$137:$AB$266,$BM5)</f>
        <v>0</v>
      </c>
      <c r="BO5" s="169"/>
      <c r="BQ5" s="81" t="s">
        <v>45</v>
      </c>
      <c r="BR5" s="173">
        <f t="shared" ref="BR5:BR36" si="2">IFERROR(SUMIFS(Q$5:Q$69,$P$5:$P$69,$BQ5)/SUMIFS($AC$5:$AC$69,$P$5:$P$69,$BQ5),0)*$AQ$7</f>
        <v>0</v>
      </c>
      <c r="BS5" s="173">
        <f t="shared" ref="BS5:BS36" si="3">IFERROR(SUMIFS(R$5:R$69,$P$5:$P$69,$BQ5)/SUMIFS($AC$5:$AC$69,$P$5:$P$69,$BQ5),0)*$AQ$7</f>
        <v>0</v>
      </c>
      <c r="BT5" s="173">
        <f t="shared" ref="BT5:BT36" si="4">IFERROR(SUMIFS(S$5:S$69,$P$5:$P$69,$BQ5)/SUMIFS($AC$5:$AC$69,$P$5:$P$69,$BQ5),0)*$AQ$7</f>
        <v>0</v>
      </c>
      <c r="BU5" s="173">
        <f t="shared" ref="BU5:BU36" si="5">IFERROR(SUMIFS(T$5:T$69,$P$5:$P$69,$BQ5)/SUMIFS($AC$5:$AC$69,$P$5:$P$69,$BQ5),0)*$AQ$7</f>
        <v>0</v>
      </c>
      <c r="BV5" s="173">
        <f t="shared" ref="BV5:BV36" si="6">IFERROR(SUMIFS(U$5:U$69,$P$5:$P$69,$BQ5)/SUMIFS($AC$5:$AC$69,$P$5:$P$69,$BQ5),0)*$AQ$7</f>
        <v>0</v>
      </c>
      <c r="BW5" s="173">
        <f t="shared" ref="BW5:BW36" si="7">IFERROR(SUMIFS(V$5:V$69,$P$5:$P$69,$BQ5)/SUMIFS($AC$5:$AC$69,$P$5:$P$69,$BQ5),0)*$AQ$7</f>
        <v>0</v>
      </c>
      <c r="BX5" s="173">
        <f t="shared" ref="BX5:BX36" si="8">IFERROR(SUMIFS(W$5:W$69,$P$5:$P$69,$BQ5)/SUMIFS($AC$5:$AC$69,$P$5:$P$69,$BQ5),0)*$AQ$7</f>
        <v>0</v>
      </c>
      <c r="BY5" s="173">
        <f t="shared" ref="BY5:BY36" si="9">IFERROR(SUMIFS(X$5:X$69,$P$5:$P$69,$BQ5)/SUMIFS($AC$5:$AC$69,$P$5:$P$69,$BQ5),0)*$AQ$7</f>
        <v>0</v>
      </c>
      <c r="BZ5" s="173">
        <f t="shared" ref="BZ5:BZ36" si="10">IFERROR(SUMIFS(Y$5:Y$69,$P$5:$P$69,$BQ5)/SUMIFS($AC$5:$AC$69,$P$5:$P$69,$BQ5),0)*$AQ$7</f>
        <v>0</v>
      </c>
      <c r="CA5" s="173">
        <f t="shared" ref="CA5:CA36" si="11">IFERROR(SUMIFS(Z$5:Z$69,$P$5:$P$69,$BQ5)/SUMIFS($AC$5:$AC$69,$P$5:$P$69,$BQ5),0)*$AQ$7</f>
        <v>0</v>
      </c>
      <c r="CC5" s="81" t="s">
        <v>45</v>
      </c>
      <c r="CD5" s="170">
        <f>SUMIFS(BR$5:BR$353,$BQ$5:$BQ$353,$CC5)</f>
        <v>0</v>
      </c>
      <c r="CE5" s="170">
        <f t="shared" ref="CE5:CM5" si="12">SUMIFS(BS$5:BS$353,$BQ$5:$BQ$353,$CC5)</f>
        <v>0</v>
      </c>
      <c r="CF5" s="170">
        <f t="shared" si="12"/>
        <v>0</v>
      </c>
      <c r="CG5" s="170">
        <f t="shared" si="12"/>
        <v>0</v>
      </c>
      <c r="CH5" s="170">
        <f t="shared" si="12"/>
        <v>0</v>
      </c>
      <c r="CI5" s="170">
        <f t="shared" si="12"/>
        <v>0</v>
      </c>
      <c r="CJ5" s="170">
        <f t="shared" si="12"/>
        <v>0</v>
      </c>
      <c r="CK5" s="170">
        <f t="shared" si="12"/>
        <v>0</v>
      </c>
      <c r="CL5" s="170">
        <f t="shared" si="12"/>
        <v>0</v>
      </c>
      <c r="CM5" s="170">
        <f t="shared" si="12"/>
        <v>0</v>
      </c>
      <c r="CN5" s="96">
        <f>BN5</f>
        <v>0</v>
      </c>
      <c r="CO5" s="225">
        <f>NPV($CO$3,CD5:CM5)/((1-(1+$CO$3)^-10)/$CO$3)</f>
        <v>0</v>
      </c>
      <c r="CP5" s="169">
        <f>CO5*(CN5/SUM(CN$5:CN$73))</f>
        <v>0</v>
      </c>
      <c r="CQ5" s="225">
        <f>SUM(CP5:CP73)</f>
        <v>252.53717153770586</v>
      </c>
    </row>
    <row r="6" spans="1:110">
      <c r="B6" s="96" t="s">
        <v>17</v>
      </c>
      <c r="C6" s="96">
        <v>87140.560000000012</v>
      </c>
      <c r="D6" s="96">
        <v>49464.44999999999</v>
      </c>
      <c r="E6" s="96">
        <v>251219.71000000002</v>
      </c>
      <c r="F6" s="96">
        <v>807.5</v>
      </c>
      <c r="P6" s="96" t="s">
        <v>17</v>
      </c>
      <c r="Q6" s="170">
        <v>87140.560000000012</v>
      </c>
      <c r="R6" s="170">
        <v>89231.933440000008</v>
      </c>
      <c r="S6" s="170">
        <v>91105.804042240008</v>
      </c>
      <c r="T6" s="170">
        <v>93019.025927127033</v>
      </c>
      <c r="U6" s="170">
        <v>94972.425471596696</v>
      </c>
      <c r="V6" s="170">
        <v>96966.846406500219</v>
      </c>
      <c r="W6" s="170">
        <v>99003.150181036719</v>
      </c>
      <c r="X6" s="170">
        <v>101082.21633483848</v>
      </c>
      <c r="Y6" s="170">
        <v>103204.94287787008</v>
      </c>
      <c r="Z6" s="170">
        <v>105372.24667830532</v>
      </c>
      <c r="AB6" s="96" t="s">
        <v>17</v>
      </c>
      <c r="AC6" s="96">
        <v>807.5</v>
      </c>
      <c r="AE6" s="96">
        <f t="shared" ref="AE6:AE35" si="13">Q6/$AC6</f>
        <v>107.91400619195048</v>
      </c>
      <c r="AF6" s="96">
        <f t="shared" ref="AF6:AF35" si="14">R6/$AC6</f>
        <v>110.50394234055729</v>
      </c>
      <c r="AG6" s="96">
        <f t="shared" ref="AG6:AG35" si="15">S6/$AC6</f>
        <v>112.82452512970899</v>
      </c>
      <c r="AH6" s="96">
        <f t="shared" ref="AH6:AH35" si="16">T6/$AC6</f>
        <v>115.19384015743286</v>
      </c>
      <c r="AI6" s="96">
        <f t="shared" ref="AI6:AI35" si="17">U6/$AC6</f>
        <v>117.61291080073894</v>
      </c>
      <c r="AJ6" s="96">
        <f t="shared" ref="AJ6:AJ35" si="18">V6/$AC6</f>
        <v>120.08278192755445</v>
      </c>
      <c r="AK6" s="96">
        <f t="shared" ref="AK6:AK35" si="19">W6/$AC6</f>
        <v>122.60452034803309</v>
      </c>
      <c r="AL6" s="96">
        <f t="shared" ref="AL6:AL35" si="20">X6/$AC6</f>
        <v>125.17921527534178</v>
      </c>
      <c r="AM6" s="96">
        <f t="shared" ref="AM6:AM35" si="21">Y6/$AC6</f>
        <v>127.80797879612395</v>
      </c>
      <c r="AN6" s="96">
        <f t="shared" ref="AN6:AN35" si="22">Z6/$AC6</f>
        <v>130.49194635084251</v>
      </c>
      <c r="AP6" s="73" t="s">
        <v>10</v>
      </c>
      <c r="AQ6" s="168">
        <v>0.10730000000000001</v>
      </c>
      <c r="AS6" s="96" t="s">
        <v>17</v>
      </c>
      <c r="AT6" s="96">
        <f t="shared" ref="AT6:AT69" si="23">AE6*$AQ$7</f>
        <v>13.241048559752324</v>
      </c>
      <c r="AU6" s="96">
        <f t="shared" ref="AU6:AU69" si="24">AF6*$AQ$7</f>
        <v>13.55883372518638</v>
      </c>
      <c r="AV6" s="96">
        <f t="shared" ref="AV6:AV69" si="25">AG6*$AQ$7</f>
        <v>13.843569233415293</v>
      </c>
      <c r="AW6" s="96">
        <f t="shared" ref="AW6:AW69" si="26">AH6*$AQ$7</f>
        <v>14.134284187317013</v>
      </c>
      <c r="AX6" s="96">
        <f t="shared" ref="AX6:AX69" si="27">AI6*$AQ$7</f>
        <v>14.431104155250669</v>
      </c>
      <c r="AY6" s="96">
        <f t="shared" ref="AY6:AY69" si="28">AJ6*$AQ$7</f>
        <v>14.734157342510931</v>
      </c>
      <c r="AZ6" s="96">
        <f t="shared" ref="AZ6:AZ69" si="29">AK6*$AQ$7</f>
        <v>15.043574646703661</v>
      </c>
      <c r="BA6" s="96">
        <f t="shared" ref="BA6:BA69" si="30">AL6*$AQ$7</f>
        <v>15.359489714284436</v>
      </c>
      <c r="BB6" s="96">
        <f t="shared" ref="BB6:BB69" si="31">AM6*$AQ$7</f>
        <v>15.682038998284408</v>
      </c>
      <c r="BC6" s="96">
        <f t="shared" ref="BC6:BC69" si="32">AN6*$AQ$7</f>
        <v>16.011361817248378</v>
      </c>
      <c r="BE6" s="169">
        <f t="shared" ref="BE6:BE72" si="33">NPV($BE$1,AT6:BC6)/((1-(1+$BE$1)^-10)/$BE$1)</f>
        <v>14.402869246910136</v>
      </c>
      <c r="BM6" s="81" t="s">
        <v>15</v>
      </c>
      <c r="BN6" s="96">
        <f t="shared" ref="BN6:BN69" si="34">SUMIFS($AC$137:$AC$266,$AB$137:$AB$266,$BM6)</f>
        <v>716000</v>
      </c>
      <c r="BQ6" s="81" t="s">
        <v>15</v>
      </c>
      <c r="BR6" s="173">
        <f t="shared" si="2"/>
        <v>0</v>
      </c>
      <c r="BS6" s="173">
        <f t="shared" si="3"/>
        <v>0</v>
      </c>
      <c r="BT6" s="173">
        <f t="shared" si="4"/>
        <v>0</v>
      </c>
      <c r="BU6" s="173">
        <f t="shared" si="5"/>
        <v>0</v>
      </c>
      <c r="BV6" s="173">
        <f t="shared" si="6"/>
        <v>0</v>
      </c>
      <c r="BW6" s="173">
        <f t="shared" si="7"/>
        <v>0</v>
      </c>
      <c r="BX6" s="173">
        <f t="shared" si="8"/>
        <v>0</v>
      </c>
      <c r="BY6" s="173">
        <f t="shared" si="9"/>
        <v>0</v>
      </c>
      <c r="BZ6" s="173">
        <f t="shared" si="10"/>
        <v>0</v>
      </c>
      <c r="CA6" s="173">
        <f t="shared" si="11"/>
        <v>0</v>
      </c>
      <c r="CC6" s="81" t="s">
        <v>15</v>
      </c>
      <c r="CD6" s="170">
        <f>SUMIFS(BR$5:BR$353,$BQ$5:$BQ$353,$CC6)</f>
        <v>55.723744692737441</v>
      </c>
      <c r="CE6" s="170">
        <f t="shared" ref="CE6:CE69" si="35">SUMIFS(BS$5:BS$353,$BQ$5:$BQ$353,$CC6)</f>
        <v>76.939872107262588</v>
      </c>
      <c r="CF6" s="170">
        <f t="shared" ref="CF6:CF69" si="36">SUMIFS(BT$5:BT$353,$BQ$5:$BQ$353,$CC6)</f>
        <v>95.560673573470396</v>
      </c>
      <c r="CG6" s="170">
        <f t="shared" ref="CG6:CG69" si="37">SUMIFS(BU$5:BU$353,$BQ$5:$BQ$353,$CC6)</f>
        <v>127.57185634538547</v>
      </c>
      <c r="CH6" s="170">
        <f t="shared" ref="CH6:CH69" si="38">SUMIFS(BV$5:BV$353,$BQ$5:$BQ$353,$CC6)</f>
        <v>148.83660392161821</v>
      </c>
      <c r="CI6" s="170">
        <f t="shared" ref="CI6:CI69" si="39">SUMIFS(BW$5:BW$353,$BQ$5:$BQ$353,$CC6)</f>
        <v>208.89028991426886</v>
      </c>
      <c r="CJ6" s="170">
        <f t="shared" ref="CJ6:CJ69" si="40">SUMIFS(BX$5:BX$353,$BQ$5:$BQ$353,$CC6)</f>
        <v>271.40059377628143</v>
      </c>
      <c r="CK6" s="170">
        <f t="shared" ref="CK6:CK69" si="41">SUMIFS(BY$5:BY$353,$BQ$5:$BQ$353,$CC6)</f>
        <v>376.00701214068823</v>
      </c>
      <c r="CL6" s="170">
        <f t="shared" ref="CL6:CL69" si="42">SUMIFS(BZ$5:BZ$353,$BQ$5:$BQ$353,$CC6)</f>
        <v>484.88721241454493</v>
      </c>
      <c r="CM6" s="170">
        <f>SUMIFS(CA$5:CA$353,$BQ$5:$BQ$353,$CC6)</f>
        <v>556.93267475462972</v>
      </c>
      <c r="CN6" s="96">
        <f t="shared" ref="CN6:CN69" si="43">BN6</f>
        <v>716000</v>
      </c>
      <c r="CO6" s="225">
        <f>NPV($CO$3,CD6:CM6)/((1-(1+$CO$3)^-10)/$CO$3)</f>
        <v>204.35575005146114</v>
      </c>
      <c r="CP6" s="169">
        <f t="shared" ref="CP6:CP69" si="44">CO6*(CN6/SUM(CN$5:CN$73))</f>
        <v>34.228158157898434</v>
      </c>
      <c r="CR6" s="173"/>
    </row>
    <row r="7" spans="1:110">
      <c r="B7" s="96" t="s">
        <v>17</v>
      </c>
      <c r="C7" s="96">
        <v>0</v>
      </c>
      <c r="D7" s="96">
        <v>0</v>
      </c>
      <c r="E7" s="96">
        <v>35350.94</v>
      </c>
      <c r="F7" s="96">
        <v>361.25</v>
      </c>
      <c r="P7" s="96" t="s">
        <v>18</v>
      </c>
      <c r="Q7" s="170">
        <v>84922.010000000024</v>
      </c>
      <c r="R7" s="170">
        <v>86960.138240000029</v>
      </c>
      <c r="S7" s="170">
        <v>88786.301143040022</v>
      </c>
      <c r="T7" s="170">
        <v>90650.813467043859</v>
      </c>
      <c r="U7" s="170">
        <v>92554.480549851753</v>
      </c>
      <c r="V7" s="170">
        <v>94498.124641398652</v>
      </c>
      <c r="W7" s="170">
        <v>96482.585258867999</v>
      </c>
      <c r="X7" s="170">
        <v>98508.719549304224</v>
      </c>
      <c r="Y7" s="170">
        <v>100577.4026598396</v>
      </c>
      <c r="Z7" s="170">
        <v>102689.52811569622</v>
      </c>
      <c r="AB7" s="96" t="s">
        <v>18</v>
      </c>
      <c r="AC7" s="96">
        <v>1923.55</v>
      </c>
      <c r="AE7" s="96">
        <f t="shared" si="13"/>
        <v>44.148584648176559</v>
      </c>
      <c r="AF7" s="96">
        <f t="shared" si="14"/>
        <v>45.208150679732803</v>
      </c>
      <c r="AG7" s="96">
        <f t="shared" si="15"/>
        <v>46.157521844007185</v>
      </c>
      <c r="AH7" s="96">
        <f t="shared" si="16"/>
        <v>47.126829802731336</v>
      </c>
      <c r="AI7" s="96">
        <f t="shared" si="17"/>
        <v>48.116493228588681</v>
      </c>
      <c r="AJ7" s="96">
        <f t="shared" si="18"/>
        <v>49.126939586389049</v>
      </c>
      <c r="AK7" s="96">
        <f t="shared" si="19"/>
        <v>50.158605317703206</v>
      </c>
      <c r="AL7" s="96">
        <f t="shared" si="20"/>
        <v>51.211936029374968</v>
      </c>
      <c r="AM7" s="96">
        <f t="shared" si="21"/>
        <v>52.287386685991841</v>
      </c>
      <c r="AN7" s="96">
        <f t="shared" si="22"/>
        <v>53.385421806397659</v>
      </c>
      <c r="AP7" s="73" t="s">
        <v>9</v>
      </c>
      <c r="AQ7" s="168">
        <v>0.1227</v>
      </c>
      <c r="AS7" s="96" t="s">
        <v>18</v>
      </c>
      <c r="AT7" s="96">
        <f t="shared" si="23"/>
        <v>5.4170313363312639</v>
      </c>
      <c r="AU7" s="96">
        <f t="shared" si="24"/>
        <v>5.5470400884032154</v>
      </c>
      <c r="AV7" s="96">
        <f t="shared" si="25"/>
        <v>5.6635279302596819</v>
      </c>
      <c r="AW7" s="96">
        <f t="shared" si="26"/>
        <v>5.7824620167951348</v>
      </c>
      <c r="AX7" s="96">
        <f t="shared" si="27"/>
        <v>5.9038937191478311</v>
      </c>
      <c r="AY7" s="96">
        <f t="shared" si="28"/>
        <v>6.0278754872499363</v>
      </c>
      <c r="AZ7" s="96">
        <f t="shared" si="29"/>
        <v>6.1544608724821837</v>
      </c>
      <c r="BA7" s="96">
        <f t="shared" si="30"/>
        <v>6.283704550804309</v>
      </c>
      <c r="BB7" s="96">
        <f t="shared" si="31"/>
        <v>6.4156623463711995</v>
      </c>
      <c r="BC7" s="96">
        <f t="shared" si="32"/>
        <v>6.5503912556449926</v>
      </c>
      <c r="BE7" s="169">
        <f t="shared" si="33"/>
        <v>5.8923425657351016</v>
      </c>
      <c r="BM7" s="81" t="s">
        <v>16</v>
      </c>
      <c r="BN7" s="96">
        <f t="shared" si="34"/>
        <v>2558</v>
      </c>
      <c r="BQ7" s="81" t="s">
        <v>16</v>
      </c>
      <c r="BR7" s="173">
        <f t="shared" si="2"/>
        <v>22.483436157684633</v>
      </c>
      <c r="BS7" s="173">
        <f t="shared" si="3"/>
        <v>23.023038625469066</v>
      </c>
      <c r="BT7" s="173">
        <f t="shared" si="4"/>
        <v>23.506522436603916</v>
      </c>
      <c r="BU7" s="173">
        <f t="shared" si="5"/>
        <v>24.000159407772593</v>
      </c>
      <c r="BV7" s="173">
        <f t="shared" si="6"/>
        <v>24.504162755335816</v>
      </c>
      <c r="BW7" s="173">
        <f t="shared" si="7"/>
        <v>25.018750173197869</v>
      </c>
      <c r="BX7" s="173">
        <f t="shared" si="8"/>
        <v>25.544143926835019</v>
      </c>
      <c r="BY7" s="173">
        <f t="shared" si="9"/>
        <v>26.080570949298551</v>
      </c>
      <c r="BZ7" s="173">
        <f t="shared" si="10"/>
        <v>26.628262939233817</v>
      </c>
      <c r="CA7" s="173">
        <f t="shared" si="11"/>
        <v>27.187456460957726</v>
      </c>
      <c r="CC7" s="81" t="s">
        <v>16</v>
      </c>
      <c r="CD7" s="170">
        <f t="shared" ref="CD7:CD69" si="45">SUMIFS(BR$5:BR$353,$BQ$5:$BQ$353,$CC7)</f>
        <v>60.698971920847917</v>
      </c>
      <c r="CE7" s="170">
        <f t="shared" si="35"/>
        <v>62.155747246948273</v>
      </c>
      <c r="CF7" s="170">
        <f t="shared" si="36"/>
        <v>63.461017939134173</v>
      </c>
      <c r="CG7" s="170">
        <f t="shared" si="37"/>
        <v>64.793699315855989</v>
      </c>
      <c r="CH7" s="170">
        <f t="shared" si="38"/>
        <v>66.15436700148895</v>
      </c>
      <c r="CI7" s="170">
        <f t="shared" si="39"/>
        <v>67.54360870852021</v>
      </c>
      <c r="CJ7" s="170">
        <f t="shared" si="40"/>
        <v>68.962024491399134</v>
      </c>
      <c r="CK7" s="170">
        <f t="shared" si="41"/>
        <v>70.410227005718511</v>
      </c>
      <c r="CL7" s="170">
        <f t="shared" si="42"/>
        <v>71.888841772838589</v>
      </c>
      <c r="CM7" s="170">
        <f t="shared" ref="CM7:CM69" si="46">SUMIFS(CA$5:CA$353,$BQ$5:$BQ$353,$CC7)</f>
        <v>73.398507450068195</v>
      </c>
      <c r="CN7" s="96">
        <f t="shared" si="43"/>
        <v>2558</v>
      </c>
      <c r="CO7" s="225">
        <f t="shared" ref="CO7:CO69" si="47">NPV($CO$3,CD7:CM7)/((1-(1+$CO$3)^-10)/$CO$3)</f>
        <v>66.024933905551279</v>
      </c>
      <c r="CP7" s="169">
        <f t="shared" si="44"/>
        <v>3.9508647330465101E-2</v>
      </c>
    </row>
    <row r="8" spans="1:110">
      <c r="B8" s="96" t="s">
        <v>17</v>
      </c>
      <c r="C8" s="96">
        <v>0</v>
      </c>
      <c r="D8" s="96">
        <v>0</v>
      </c>
      <c r="E8" s="96">
        <v>1223.1400000000001</v>
      </c>
      <c r="F8" s="96">
        <v>361.25</v>
      </c>
      <c r="P8" s="96" t="s">
        <v>18</v>
      </c>
      <c r="Q8" s="170">
        <v>117009.66999999998</v>
      </c>
      <c r="R8" s="170">
        <v>119817.90207999999</v>
      </c>
      <c r="S8" s="170">
        <v>122334.07802367998</v>
      </c>
      <c r="T8" s="170">
        <v>124903.09366217724</v>
      </c>
      <c r="U8" s="170">
        <v>127526.05862908295</v>
      </c>
      <c r="V8" s="170">
        <v>130204.10586029368</v>
      </c>
      <c r="W8" s="170">
        <v>132938.39208335985</v>
      </c>
      <c r="X8" s="170">
        <v>135730.09831711039</v>
      </c>
      <c r="Y8" s="170">
        <v>138580.43038176969</v>
      </c>
      <c r="Z8" s="170">
        <v>141490.61941978682</v>
      </c>
      <c r="AB8" s="96" t="s">
        <v>18</v>
      </c>
      <c r="AC8" s="96">
        <v>1422.05</v>
      </c>
      <c r="AE8" s="96">
        <f t="shared" si="13"/>
        <v>82.282388101684177</v>
      </c>
      <c r="AF8" s="96">
        <f t="shared" si="14"/>
        <v>84.257165416124607</v>
      </c>
      <c r="AG8" s="96">
        <f t="shared" si="15"/>
        <v>86.026565889863207</v>
      </c>
      <c r="AH8" s="96">
        <f t="shared" si="16"/>
        <v>87.833123773550327</v>
      </c>
      <c r="AI8" s="96">
        <f t="shared" si="17"/>
        <v>89.677619372794879</v>
      </c>
      <c r="AJ8" s="96">
        <f t="shared" si="18"/>
        <v>91.560849379623562</v>
      </c>
      <c r="AK8" s="96">
        <f t="shared" si="19"/>
        <v>93.483627216595664</v>
      </c>
      <c r="AL8" s="96">
        <f t="shared" si="20"/>
        <v>95.446783388144155</v>
      </c>
      <c r="AM8" s="96">
        <f t="shared" si="21"/>
        <v>97.451165839295172</v>
      </c>
      <c r="AN8" s="96">
        <f t="shared" si="22"/>
        <v>99.497640321920343</v>
      </c>
      <c r="AP8" s="73" t="s">
        <v>8</v>
      </c>
      <c r="AQ8" s="168">
        <v>0.1221</v>
      </c>
      <c r="AS8" s="96" t="s">
        <v>18</v>
      </c>
      <c r="AT8" s="96">
        <f t="shared" si="23"/>
        <v>10.096049020076649</v>
      </c>
      <c r="AU8" s="96">
        <f t="shared" si="24"/>
        <v>10.338354196558489</v>
      </c>
      <c r="AV8" s="96">
        <f t="shared" si="25"/>
        <v>10.555459634686216</v>
      </c>
      <c r="AW8" s="96">
        <f t="shared" si="26"/>
        <v>10.777124287014626</v>
      </c>
      <c r="AX8" s="96">
        <f t="shared" si="27"/>
        <v>11.003443897041931</v>
      </c>
      <c r="AY8" s="96">
        <f t="shared" si="28"/>
        <v>11.234516218879811</v>
      </c>
      <c r="AZ8" s="96">
        <f t="shared" si="29"/>
        <v>11.470441059476288</v>
      </c>
      <c r="BA8" s="96">
        <f t="shared" si="30"/>
        <v>11.711320321725289</v>
      </c>
      <c r="BB8" s="96">
        <f t="shared" si="31"/>
        <v>11.957258048481519</v>
      </c>
      <c r="BC8" s="96">
        <f t="shared" si="32"/>
        <v>12.208360467499627</v>
      </c>
      <c r="BE8" s="169">
        <f t="shared" si="33"/>
        <v>10.981915313607093</v>
      </c>
      <c r="BM8" s="81" t="s">
        <v>17</v>
      </c>
      <c r="BN8" s="96">
        <f t="shared" si="34"/>
        <v>2509.1999999999998</v>
      </c>
      <c r="BQ8" s="81" t="s">
        <v>17</v>
      </c>
      <c r="BR8" s="173">
        <f t="shared" si="2"/>
        <v>9.4617302753680015</v>
      </c>
      <c r="BS8" s="173">
        <f t="shared" si="3"/>
        <v>9.6888118019768328</v>
      </c>
      <c r="BT8" s="173">
        <f t="shared" si="4"/>
        <v>9.8922768498183444</v>
      </c>
      <c r="BU8" s="173">
        <f t="shared" si="5"/>
        <v>10.100014663664529</v>
      </c>
      <c r="BV8" s="173">
        <f t="shared" si="6"/>
        <v>10.312114971601481</v>
      </c>
      <c r="BW8" s="173">
        <f t="shared" si="7"/>
        <v>10.528669386005113</v>
      </c>
      <c r="BX8" s="173">
        <f t="shared" si="8"/>
        <v>10.74977144311122</v>
      </c>
      <c r="BY8" s="173">
        <f t="shared" si="9"/>
        <v>10.975516643416555</v>
      </c>
      <c r="BZ8" s="173">
        <f t="shared" si="10"/>
        <v>11.206002492928302</v>
      </c>
      <c r="CA8" s="173">
        <f t="shared" si="11"/>
        <v>11.441328545279793</v>
      </c>
      <c r="CC8" s="81" t="s">
        <v>17</v>
      </c>
      <c r="CD8" s="170">
        <f>SUMIFS(BR$5:BR$353,$BQ$5:$BQ$353,$CC8)</f>
        <v>52.604978699885478</v>
      </c>
      <c r="CE8" s="170">
        <f t="shared" si="35"/>
        <v>53.867498188682717</v>
      </c>
      <c r="CF8" s="170">
        <f t="shared" si="36"/>
        <v>54.998715650645053</v>
      </c>
      <c r="CG8" s="170">
        <f t="shared" si="37"/>
        <v>56.153688679308594</v>
      </c>
      <c r="CH8" s="170">
        <f t="shared" si="38"/>
        <v>57.332916141574067</v>
      </c>
      <c r="CI8" s="170">
        <f t="shared" si="39"/>
        <v>58.53690738054712</v>
      </c>
      <c r="CJ8" s="170">
        <f t="shared" si="40"/>
        <v>59.76618243553861</v>
      </c>
      <c r="CK8" s="170">
        <f t="shared" si="41"/>
        <v>61.021272266684903</v>
      </c>
      <c r="CL8" s="170">
        <f t="shared" si="42"/>
        <v>62.302718984285292</v>
      </c>
      <c r="CM8" s="170">
        <f t="shared" si="46"/>
        <v>63.611076082955265</v>
      </c>
      <c r="CN8" s="96">
        <f t="shared" si="43"/>
        <v>2509.1999999999998</v>
      </c>
      <c r="CO8" s="225">
        <f t="shared" si="47"/>
        <v>57.22074249119099</v>
      </c>
      <c r="CP8" s="169">
        <f t="shared" si="44"/>
        <v>3.3587092731646159E-2</v>
      </c>
    </row>
    <row r="9" spans="1:110">
      <c r="B9" s="96" t="s">
        <v>18</v>
      </c>
      <c r="C9" s="96">
        <v>84922.010000000024</v>
      </c>
      <c r="D9" s="96">
        <v>156416.86000000004</v>
      </c>
      <c r="E9" s="96">
        <v>441428.67999999988</v>
      </c>
      <c r="F9" s="96">
        <v>1923.55</v>
      </c>
      <c r="P9" s="96" t="s">
        <v>36</v>
      </c>
      <c r="Q9" s="170">
        <v>187969.62999999992</v>
      </c>
      <c r="R9" s="170">
        <v>192480.90111999991</v>
      </c>
      <c r="S9" s="170">
        <v>196523.00004351992</v>
      </c>
      <c r="T9" s="170">
        <v>200649.98304443381</v>
      </c>
      <c r="U9" s="170">
        <v>204863.6326883669</v>
      </c>
      <c r="V9" s="170">
        <v>209165.7689748226</v>
      </c>
      <c r="W9" s="170">
        <v>213558.25012329384</v>
      </c>
      <c r="X9" s="170">
        <v>218042.97337588298</v>
      </c>
      <c r="Y9" s="170">
        <v>222621.8758167765</v>
      </c>
      <c r="Z9" s="170">
        <v>227296.93520892877</v>
      </c>
      <c r="AB9" s="96" t="s">
        <v>36</v>
      </c>
      <c r="AC9" s="96">
        <v>501.5</v>
      </c>
      <c r="AE9" s="96">
        <f t="shared" si="13"/>
        <v>374.81481555333983</v>
      </c>
      <c r="AF9" s="96">
        <f t="shared" si="14"/>
        <v>383.81037112661994</v>
      </c>
      <c r="AG9" s="96">
        <f t="shared" si="15"/>
        <v>391.87038892027903</v>
      </c>
      <c r="AH9" s="96">
        <f t="shared" si="16"/>
        <v>400.09966708760481</v>
      </c>
      <c r="AI9" s="96">
        <f t="shared" si="17"/>
        <v>408.50176009644446</v>
      </c>
      <c r="AJ9" s="96">
        <f t="shared" si="18"/>
        <v>417.0802970584698</v>
      </c>
      <c r="AK9" s="96">
        <f t="shared" si="19"/>
        <v>425.83898329669756</v>
      </c>
      <c r="AL9" s="96">
        <f t="shared" si="20"/>
        <v>434.78160194592817</v>
      </c>
      <c r="AM9" s="96">
        <f t="shared" si="21"/>
        <v>443.91201558679262</v>
      </c>
      <c r="AN9" s="96">
        <f t="shared" si="22"/>
        <v>453.23416791411518</v>
      </c>
      <c r="AP9" s="73" t="s">
        <v>7</v>
      </c>
      <c r="AQ9" s="168">
        <v>0.12870000000000001</v>
      </c>
      <c r="AS9" s="96" t="s">
        <v>36</v>
      </c>
      <c r="AT9" s="96">
        <f t="shared" si="23"/>
        <v>45.989777868394796</v>
      </c>
      <c r="AU9" s="96">
        <f t="shared" si="24"/>
        <v>47.093532537236271</v>
      </c>
      <c r="AV9" s="96">
        <f t="shared" si="25"/>
        <v>48.082496720518236</v>
      </c>
      <c r="AW9" s="96">
        <f t="shared" si="26"/>
        <v>49.092229151649114</v>
      </c>
      <c r="AX9" s="96">
        <f t="shared" si="27"/>
        <v>50.123165963833735</v>
      </c>
      <c r="AY9" s="96">
        <f t="shared" si="28"/>
        <v>51.175752449074245</v>
      </c>
      <c r="AZ9" s="96">
        <f t="shared" si="29"/>
        <v>52.250443250504794</v>
      </c>
      <c r="BA9" s="96">
        <f t="shared" si="30"/>
        <v>53.347702558765391</v>
      </c>
      <c r="BB9" s="96">
        <f t="shared" si="31"/>
        <v>54.468004312499453</v>
      </c>
      <c r="BC9" s="96">
        <f t="shared" si="32"/>
        <v>55.611832403061932</v>
      </c>
      <c r="BE9" s="169">
        <f t="shared" si="33"/>
        <v>50.025098416021663</v>
      </c>
      <c r="BM9" s="81" t="s">
        <v>18</v>
      </c>
      <c r="BN9" s="96">
        <f t="shared" si="34"/>
        <v>5700.95</v>
      </c>
      <c r="BQ9" s="81" t="s">
        <v>18</v>
      </c>
      <c r="BR9" s="173">
        <f t="shared" si="2"/>
        <v>7.4058516068866576</v>
      </c>
      <c r="BS9" s="173">
        <f t="shared" si="3"/>
        <v>7.5835920454519385</v>
      </c>
      <c r="BT9" s="173">
        <f t="shared" si="4"/>
        <v>7.7428474784064285</v>
      </c>
      <c r="BU9" s="173">
        <f t="shared" si="5"/>
        <v>7.9054472754529632</v>
      </c>
      <c r="BV9" s="173">
        <f t="shared" si="6"/>
        <v>8.0714616682374718</v>
      </c>
      <c r="BW9" s="173">
        <f t="shared" si="7"/>
        <v>8.2409623632704587</v>
      </c>
      <c r="BX9" s="173">
        <f t="shared" si="8"/>
        <v>8.4140225728991389</v>
      </c>
      <c r="BY9" s="173">
        <f t="shared" si="9"/>
        <v>8.5907170469300205</v>
      </c>
      <c r="BZ9" s="173">
        <f t="shared" si="10"/>
        <v>8.7711221049155501</v>
      </c>
      <c r="CA9" s="173">
        <f t="shared" si="11"/>
        <v>8.9553156691187734</v>
      </c>
      <c r="CC9" s="81" t="s">
        <v>18</v>
      </c>
      <c r="CD9" s="170">
        <f t="shared" si="45"/>
        <v>42.214724986244619</v>
      </c>
      <c r="CE9" s="170">
        <f t="shared" si="35"/>
        <v>43.227878385914501</v>
      </c>
      <c r="CF9" s="170">
        <f t="shared" si="36"/>
        <v>44.135663832018693</v>
      </c>
      <c r="CG9" s="170">
        <f t="shared" si="37"/>
        <v>45.06251277249109</v>
      </c>
      <c r="CH9" s="170">
        <f t="shared" si="38"/>
        <v>46.008825540713396</v>
      </c>
      <c r="CI9" s="170">
        <f t="shared" si="39"/>
        <v>46.975010877068371</v>
      </c>
      <c r="CJ9" s="170">
        <f t="shared" si="40"/>
        <v>47.961486105486806</v>
      </c>
      <c r="CK9" s="170">
        <f t="shared" si="41"/>
        <v>48.968677313702024</v>
      </c>
      <c r="CL9" s="170">
        <f t="shared" si="42"/>
        <v>49.997019537289766</v>
      </c>
      <c r="CM9" s="170">
        <f t="shared" si="46"/>
        <v>51.046956947572838</v>
      </c>
      <c r="CN9" s="96">
        <f t="shared" si="43"/>
        <v>5700.95</v>
      </c>
      <c r="CO9" s="225">
        <f t="shared" si="47"/>
        <v>45.918807829107799</v>
      </c>
      <c r="CP9" s="169">
        <f t="shared" si="44"/>
        <v>6.1238068154271692E-2</v>
      </c>
    </row>
    <row r="10" spans="1:110">
      <c r="B10" s="96" t="s">
        <v>18</v>
      </c>
      <c r="C10" s="96">
        <v>0</v>
      </c>
      <c r="D10" s="96">
        <v>0</v>
      </c>
      <c r="E10" s="96">
        <v>292261.7</v>
      </c>
      <c r="F10" s="96">
        <v>549.1</v>
      </c>
      <c r="P10" s="96" t="s">
        <v>36</v>
      </c>
      <c r="Q10" s="170">
        <v>9252.1900000000023</v>
      </c>
      <c r="R10" s="170">
        <v>9474.2425600000024</v>
      </c>
      <c r="S10" s="170">
        <v>9673.201653760003</v>
      </c>
      <c r="T10" s="170">
        <v>9876.3388884889609</v>
      </c>
      <c r="U10" s="170">
        <v>10083.742005147227</v>
      </c>
      <c r="V10" s="170">
        <v>10295.500587255319</v>
      </c>
      <c r="W10" s="170">
        <v>10511.70609958768</v>
      </c>
      <c r="X10" s="170">
        <v>10732.45192767902</v>
      </c>
      <c r="Y10" s="170">
        <v>10957.833418160279</v>
      </c>
      <c r="Z10" s="170">
        <v>11187.947919941642</v>
      </c>
      <c r="AB10" s="96" t="s">
        <v>36</v>
      </c>
      <c r="AC10" s="96">
        <v>476</v>
      </c>
      <c r="AE10" s="96">
        <f t="shared" si="13"/>
        <v>19.437373949579836</v>
      </c>
      <c r="AF10" s="96">
        <f t="shared" si="14"/>
        <v>19.903870924369752</v>
      </c>
      <c r="AG10" s="96">
        <f t="shared" si="15"/>
        <v>20.321852213781519</v>
      </c>
      <c r="AH10" s="96">
        <f t="shared" si="16"/>
        <v>20.748611110270925</v>
      </c>
      <c r="AI10" s="96">
        <f t="shared" si="17"/>
        <v>21.184331943586614</v>
      </c>
      <c r="AJ10" s="96">
        <f t="shared" si="18"/>
        <v>21.62920291440193</v>
      </c>
      <c r="AK10" s="96">
        <f t="shared" si="19"/>
        <v>22.08341617560437</v>
      </c>
      <c r="AL10" s="96">
        <f t="shared" si="20"/>
        <v>22.547167915292057</v>
      </c>
      <c r="AM10" s="96">
        <f t="shared" si="21"/>
        <v>23.020658441513191</v>
      </c>
      <c r="AN10" s="96">
        <f t="shared" si="22"/>
        <v>23.504092268784962</v>
      </c>
      <c r="AS10" s="96" t="s">
        <v>36</v>
      </c>
      <c r="AT10" s="96">
        <f t="shared" si="23"/>
        <v>2.3849657836134459</v>
      </c>
      <c r="AU10" s="96">
        <f t="shared" si="24"/>
        <v>2.4422049624201687</v>
      </c>
      <c r="AV10" s="96">
        <f t="shared" si="25"/>
        <v>2.4934912666309925</v>
      </c>
      <c r="AW10" s="96">
        <f t="shared" si="26"/>
        <v>2.5458545832302426</v>
      </c>
      <c r="AX10" s="96">
        <f t="shared" si="27"/>
        <v>2.5993175294780775</v>
      </c>
      <c r="AY10" s="96">
        <f t="shared" si="28"/>
        <v>2.653903197597117</v>
      </c>
      <c r="AZ10" s="96">
        <f t="shared" si="29"/>
        <v>2.7096351647466563</v>
      </c>
      <c r="BA10" s="96">
        <f t="shared" si="30"/>
        <v>2.7665375032063353</v>
      </c>
      <c r="BB10" s="96">
        <f t="shared" si="31"/>
        <v>2.8246347907736689</v>
      </c>
      <c r="BC10" s="96">
        <f t="shared" si="32"/>
        <v>2.8839521213799149</v>
      </c>
      <c r="BE10" s="169">
        <f t="shared" si="33"/>
        <v>2.5942318831267519</v>
      </c>
      <c r="BM10" s="81" t="s">
        <v>19</v>
      </c>
      <c r="BN10" s="96">
        <f t="shared" si="34"/>
        <v>5237.7</v>
      </c>
      <c r="BQ10" s="81" t="s">
        <v>19</v>
      </c>
      <c r="BR10" s="173">
        <f t="shared" si="2"/>
        <v>46.239819478618621</v>
      </c>
      <c r="BS10" s="173">
        <f t="shared" si="3"/>
        <v>47.349575146105458</v>
      </c>
      <c r="BT10" s="173">
        <f t="shared" si="4"/>
        <v>48.343916224173675</v>
      </c>
      <c r="BU10" s="173">
        <f t="shared" si="5"/>
        <v>49.359138464881312</v>
      </c>
      <c r="BV10" s="173">
        <f t="shared" si="6"/>
        <v>50.39568037264381</v>
      </c>
      <c r="BW10" s="173">
        <f t="shared" si="7"/>
        <v>51.453989660469325</v>
      </c>
      <c r="BX10" s="173">
        <f t="shared" si="8"/>
        <v>52.534523443339182</v>
      </c>
      <c r="BY10" s="173">
        <f t="shared" si="9"/>
        <v>53.637748435649307</v>
      </c>
      <c r="BZ10" s="173">
        <f t="shared" si="10"/>
        <v>54.764141152797933</v>
      </c>
      <c r="CA10" s="173">
        <f t="shared" si="11"/>
        <v>55.914188117006674</v>
      </c>
      <c r="CC10" s="81" t="s">
        <v>19</v>
      </c>
      <c r="CD10" s="170">
        <f t="shared" si="45"/>
        <v>94.888611858817939</v>
      </c>
      <c r="CE10" s="170">
        <f t="shared" si="35"/>
        <v>97.165938543429576</v>
      </c>
      <c r="CF10" s="170">
        <f t="shared" si="36"/>
        <v>99.206423252841589</v>
      </c>
      <c r="CG10" s="170">
        <f t="shared" si="37"/>
        <v>101.28975814115122</v>
      </c>
      <c r="CH10" s="170">
        <f t="shared" si="38"/>
        <v>103.41684306211539</v>
      </c>
      <c r="CI10" s="170">
        <f t="shared" si="39"/>
        <v>105.58859676641981</v>
      </c>
      <c r="CJ10" s="170">
        <f t="shared" si="40"/>
        <v>107.80595729851463</v>
      </c>
      <c r="CK10" s="170">
        <f t="shared" si="41"/>
        <v>110.06988240178342</v>
      </c>
      <c r="CL10" s="170">
        <f t="shared" si="42"/>
        <v>112.38134993222087</v>
      </c>
      <c r="CM10" s="170">
        <f t="shared" si="46"/>
        <v>114.74135828079748</v>
      </c>
      <c r="CN10" s="96">
        <f t="shared" si="43"/>
        <v>5237.7</v>
      </c>
      <c r="CO10" s="225">
        <f t="shared" si="47"/>
        <v>103.21450476191932</v>
      </c>
      <c r="CP10" s="169">
        <f t="shared" si="44"/>
        <v>0.12646344211793423</v>
      </c>
    </row>
    <row r="11" spans="1:110">
      <c r="B11" s="96" t="s">
        <v>18</v>
      </c>
      <c r="C11" s="96">
        <v>117009.66999999998</v>
      </c>
      <c r="D11" s="96">
        <v>16160.019999999997</v>
      </c>
      <c r="E11" s="96">
        <v>226155.41000000006</v>
      </c>
      <c r="F11" s="96">
        <v>1422.05</v>
      </c>
      <c r="P11" s="96" t="s">
        <v>36</v>
      </c>
      <c r="Q11" s="170">
        <v>170918.50999999992</v>
      </c>
      <c r="R11" s="170">
        <v>175020.55423999991</v>
      </c>
      <c r="S11" s="170">
        <v>178695.98587903992</v>
      </c>
      <c r="T11" s="170">
        <v>182448.60158249974</v>
      </c>
      <c r="U11" s="170">
        <v>186280.0222157322</v>
      </c>
      <c r="V11" s="170">
        <v>190191.90268226256</v>
      </c>
      <c r="W11" s="170">
        <v>194185.93263859005</v>
      </c>
      <c r="X11" s="170">
        <v>198263.83722400042</v>
      </c>
      <c r="Y11" s="170">
        <v>202427.37780570443</v>
      </c>
      <c r="Z11" s="170">
        <v>206678.35273962418</v>
      </c>
      <c r="AB11" s="96" t="s">
        <v>36</v>
      </c>
      <c r="AC11" s="96">
        <v>263.5</v>
      </c>
      <c r="AE11" s="96">
        <f t="shared" si="13"/>
        <v>648.6470967741933</v>
      </c>
      <c r="AF11" s="96">
        <f t="shared" si="14"/>
        <v>664.21462709677382</v>
      </c>
      <c r="AG11" s="96">
        <f t="shared" si="15"/>
        <v>678.16313426580609</v>
      </c>
      <c r="AH11" s="96">
        <f t="shared" si="16"/>
        <v>692.40456008538797</v>
      </c>
      <c r="AI11" s="96">
        <f t="shared" si="17"/>
        <v>706.94505584718104</v>
      </c>
      <c r="AJ11" s="96">
        <f t="shared" si="18"/>
        <v>721.79090201997178</v>
      </c>
      <c r="AK11" s="96">
        <f t="shared" si="19"/>
        <v>736.94851096239108</v>
      </c>
      <c r="AL11" s="96">
        <f t="shared" si="20"/>
        <v>752.42442969260128</v>
      </c>
      <c r="AM11" s="96">
        <f t="shared" si="21"/>
        <v>768.22534271614586</v>
      </c>
      <c r="AN11" s="96">
        <f t="shared" si="22"/>
        <v>784.35807491318474</v>
      </c>
      <c r="AS11" s="96" t="s">
        <v>36</v>
      </c>
      <c r="AT11" s="96">
        <f t="shared" si="23"/>
        <v>79.588998774193527</v>
      </c>
      <c r="AU11" s="96">
        <f t="shared" si="24"/>
        <v>81.499134744774153</v>
      </c>
      <c r="AV11" s="96">
        <f t="shared" si="25"/>
        <v>83.210616574414416</v>
      </c>
      <c r="AW11" s="96">
        <f t="shared" si="26"/>
        <v>84.958039522477108</v>
      </c>
      <c r="AX11" s="96">
        <f t="shared" si="27"/>
        <v>86.74215835244911</v>
      </c>
      <c r="AY11" s="96">
        <f t="shared" si="28"/>
        <v>88.563743677850539</v>
      </c>
      <c r="AZ11" s="96">
        <f t="shared" si="29"/>
        <v>90.423582295085382</v>
      </c>
      <c r="BA11" s="96">
        <f t="shared" si="30"/>
        <v>92.322477523282174</v>
      </c>
      <c r="BB11" s="96">
        <f t="shared" si="31"/>
        <v>94.261249551271106</v>
      </c>
      <c r="BC11" s="96">
        <f t="shared" si="32"/>
        <v>96.240735791847769</v>
      </c>
      <c r="BE11" s="169">
        <f t="shared" si="33"/>
        <v>86.572444596384898</v>
      </c>
      <c r="BM11" s="81" t="s">
        <v>20</v>
      </c>
      <c r="BN11" s="96">
        <f t="shared" si="34"/>
        <v>722.5</v>
      </c>
      <c r="BQ11" s="81" t="s">
        <v>20</v>
      </c>
      <c r="BR11" s="173">
        <f t="shared" si="2"/>
        <v>0</v>
      </c>
      <c r="BS11" s="173">
        <f t="shared" si="3"/>
        <v>0</v>
      </c>
      <c r="BT11" s="173">
        <f t="shared" si="4"/>
        <v>0</v>
      </c>
      <c r="BU11" s="173">
        <f t="shared" si="5"/>
        <v>0</v>
      </c>
      <c r="BV11" s="173">
        <f t="shared" si="6"/>
        <v>0</v>
      </c>
      <c r="BW11" s="173">
        <f t="shared" si="7"/>
        <v>0</v>
      </c>
      <c r="BX11" s="173">
        <f t="shared" si="8"/>
        <v>0</v>
      </c>
      <c r="BY11" s="173">
        <f t="shared" si="9"/>
        <v>0</v>
      </c>
      <c r="BZ11" s="173">
        <f t="shared" si="10"/>
        <v>0</v>
      </c>
      <c r="CA11" s="173">
        <f t="shared" si="11"/>
        <v>0</v>
      </c>
      <c r="CC11" s="81" t="s">
        <v>20</v>
      </c>
      <c r="CD11" s="170">
        <f t="shared" si="45"/>
        <v>35.399588052595156</v>
      </c>
      <c r="CE11" s="170">
        <f t="shared" si="35"/>
        <v>36.249178165857444</v>
      </c>
      <c r="CF11" s="170">
        <f t="shared" si="36"/>
        <v>37.010410907340443</v>
      </c>
      <c r="CG11" s="170">
        <f t="shared" si="37"/>
        <v>37.78762953639459</v>
      </c>
      <c r="CH11" s="170">
        <f t="shared" si="38"/>
        <v>38.581169756658866</v>
      </c>
      <c r="CI11" s="170">
        <f t="shared" si="39"/>
        <v>39.391374321548703</v>
      </c>
      <c r="CJ11" s="170">
        <f t="shared" si="40"/>
        <v>40.21859318230122</v>
      </c>
      <c r="CK11" s="170">
        <f t="shared" si="41"/>
        <v>41.063183639129548</v>
      </c>
      <c r="CL11" s="170">
        <f t="shared" si="42"/>
        <v>41.925510495551258</v>
      </c>
      <c r="CM11" s="170">
        <f t="shared" si="46"/>
        <v>42.805946215957825</v>
      </c>
      <c r="CN11" s="96">
        <f t="shared" si="43"/>
        <v>722.5</v>
      </c>
      <c r="CO11" s="225">
        <f t="shared" si="47"/>
        <v>38.505684486784119</v>
      </c>
      <c r="CP11" s="169">
        <f t="shared" si="44"/>
        <v>6.5079820279777935E-3</v>
      </c>
    </row>
    <row r="12" spans="1:110">
      <c r="B12" s="96" t="s">
        <v>18</v>
      </c>
      <c r="C12" s="96">
        <v>0</v>
      </c>
      <c r="D12" s="96">
        <v>0</v>
      </c>
      <c r="E12" s="96">
        <v>85826.44</v>
      </c>
      <c r="F12" s="96">
        <v>361.25</v>
      </c>
      <c r="P12" s="96" t="s">
        <v>36</v>
      </c>
      <c r="Q12" s="170">
        <v>612238.72000000009</v>
      </c>
      <c r="R12" s="170">
        <v>626932.44928000006</v>
      </c>
      <c r="S12" s="170">
        <v>640098.03071488009</v>
      </c>
      <c r="T12" s="170">
        <v>653540.08935989253</v>
      </c>
      <c r="U12" s="170">
        <v>667264.43123645009</v>
      </c>
      <c r="V12" s="170">
        <v>681276.98429241555</v>
      </c>
      <c r="W12" s="170">
        <v>695583.80096255615</v>
      </c>
      <c r="X12" s="170">
        <v>710191.06078276981</v>
      </c>
      <c r="Y12" s="170">
        <v>725105.07305920788</v>
      </c>
      <c r="Z12" s="170">
        <v>740332.27959345118</v>
      </c>
      <c r="AB12" s="96" t="s">
        <v>36</v>
      </c>
      <c r="AC12" s="96">
        <v>5299.75</v>
      </c>
      <c r="AE12" s="96">
        <f t="shared" si="13"/>
        <v>115.52218878248976</v>
      </c>
      <c r="AF12" s="96">
        <f t="shared" si="14"/>
        <v>118.29472131326951</v>
      </c>
      <c r="AG12" s="96">
        <f t="shared" si="15"/>
        <v>120.77891046084817</v>
      </c>
      <c r="AH12" s="96">
        <f t="shared" si="16"/>
        <v>123.31526758052597</v>
      </c>
      <c r="AI12" s="96">
        <f t="shared" si="17"/>
        <v>125.90488819971698</v>
      </c>
      <c r="AJ12" s="96">
        <f t="shared" si="18"/>
        <v>128.54889085191104</v>
      </c>
      <c r="AK12" s="96">
        <f t="shared" si="19"/>
        <v>131.24841755980114</v>
      </c>
      <c r="AL12" s="96">
        <f t="shared" si="20"/>
        <v>134.00463432855696</v>
      </c>
      <c r="AM12" s="96">
        <f t="shared" si="21"/>
        <v>136.81873164945665</v>
      </c>
      <c r="AN12" s="96">
        <f t="shared" si="22"/>
        <v>139.69192501409523</v>
      </c>
      <c r="AS12" s="96" t="s">
        <v>36</v>
      </c>
      <c r="AT12" s="96">
        <f t="shared" si="23"/>
        <v>14.174572563611495</v>
      </c>
      <c r="AU12" s="96">
        <f t="shared" si="24"/>
        <v>14.514762305138168</v>
      </c>
      <c r="AV12" s="96">
        <f t="shared" si="25"/>
        <v>14.81957231354607</v>
      </c>
      <c r="AW12" s="96">
        <f t="shared" si="26"/>
        <v>15.130783332130537</v>
      </c>
      <c r="AX12" s="96">
        <f t="shared" si="27"/>
        <v>15.448529782105274</v>
      </c>
      <c r="AY12" s="96">
        <f t="shared" si="28"/>
        <v>15.772948907529486</v>
      </c>
      <c r="AZ12" s="96">
        <f t="shared" si="29"/>
        <v>16.104180834587602</v>
      </c>
      <c r="BA12" s="96">
        <f t="shared" si="30"/>
        <v>16.44236863211394</v>
      </c>
      <c r="BB12" s="96">
        <f t="shared" si="31"/>
        <v>16.787658373388332</v>
      </c>
      <c r="BC12" s="96">
        <f t="shared" si="32"/>
        <v>17.140199199229485</v>
      </c>
      <c r="BE12" s="169">
        <f t="shared" si="33"/>
        <v>15.418304248583988</v>
      </c>
      <c r="BM12" s="81" t="s">
        <v>21</v>
      </c>
      <c r="BN12" s="96">
        <f t="shared" si="34"/>
        <v>33134</v>
      </c>
      <c r="BQ12" s="81" t="s">
        <v>21</v>
      </c>
      <c r="BR12" s="173">
        <f t="shared" si="2"/>
        <v>7.7672660550161821</v>
      </c>
      <c r="BS12" s="173">
        <f t="shared" si="3"/>
        <v>7.9536804403365693</v>
      </c>
      <c r="BT12" s="173">
        <f t="shared" si="4"/>
        <v>8.1207077295836392</v>
      </c>
      <c r="BU12" s="173">
        <f t="shared" si="5"/>
        <v>8.2912425919048935</v>
      </c>
      <c r="BV12" s="173">
        <f t="shared" si="6"/>
        <v>8.4653586863348931</v>
      </c>
      <c r="BW12" s="173">
        <f t="shared" si="7"/>
        <v>8.6431312187479286</v>
      </c>
      <c r="BX12" s="173">
        <f t="shared" si="8"/>
        <v>8.8246369743416331</v>
      </c>
      <c r="BY12" s="173">
        <f t="shared" si="9"/>
        <v>9.0099543508028077</v>
      </c>
      <c r="BZ12" s="173">
        <f t="shared" si="10"/>
        <v>9.1991633921696643</v>
      </c>
      <c r="CA12" s="173">
        <f t="shared" si="11"/>
        <v>9.3923458234052255</v>
      </c>
      <c r="CC12" s="81" t="s">
        <v>21</v>
      </c>
      <c r="CD12" s="170">
        <f t="shared" si="45"/>
        <v>101.21921588123492</v>
      </c>
      <c r="CE12" s="170">
        <f t="shared" si="35"/>
        <v>103.64847706238456</v>
      </c>
      <c r="CF12" s="170">
        <f t="shared" si="36"/>
        <v>105.82509508069465</v>
      </c>
      <c r="CG12" s="170">
        <f t="shared" si="37"/>
        <v>108.04742207738921</v>
      </c>
      <c r="CH12" s="170">
        <f t="shared" si="38"/>
        <v>110.31641794101435</v>
      </c>
      <c r="CI12" s="170">
        <f t="shared" si="39"/>
        <v>139.65984296316159</v>
      </c>
      <c r="CJ12" s="170">
        <f t="shared" si="40"/>
        <v>171.01487257484325</v>
      </c>
      <c r="CK12" s="170">
        <f t="shared" si="41"/>
        <v>204.49579459568537</v>
      </c>
      <c r="CL12" s="170">
        <f t="shared" si="42"/>
        <v>208.79020628219473</v>
      </c>
      <c r="CM12" s="170">
        <f t="shared" si="46"/>
        <v>213.17480061412078</v>
      </c>
      <c r="CN12" s="96">
        <f t="shared" si="43"/>
        <v>33134</v>
      </c>
      <c r="CO12" s="225">
        <f t="shared" si="47"/>
        <v>137.05325353607603</v>
      </c>
      <c r="CP12" s="169">
        <f t="shared" si="44"/>
        <v>1.0622992217492244</v>
      </c>
    </row>
    <row r="13" spans="1:110">
      <c r="B13" s="96" t="s">
        <v>18</v>
      </c>
      <c r="C13" s="96">
        <v>0</v>
      </c>
      <c r="D13" s="96">
        <v>0</v>
      </c>
      <c r="E13" s="96">
        <v>146178.4</v>
      </c>
      <c r="F13" s="96">
        <v>361.25</v>
      </c>
      <c r="P13" s="96" t="s">
        <v>52</v>
      </c>
      <c r="Q13" s="170">
        <v>170418.42999999996</v>
      </c>
      <c r="R13" s="170">
        <v>174508.47231999997</v>
      </c>
      <c r="S13" s="170">
        <v>178173.15023871997</v>
      </c>
      <c r="T13" s="170">
        <v>181914.78639373305</v>
      </c>
      <c r="U13" s="170">
        <v>185734.99690800143</v>
      </c>
      <c r="V13" s="170">
        <v>189635.43184306944</v>
      </c>
      <c r="W13" s="170">
        <v>193617.77591177388</v>
      </c>
      <c r="X13" s="170">
        <v>197683.74920592111</v>
      </c>
      <c r="Y13" s="170">
        <v>201835.10793924544</v>
      </c>
      <c r="Z13" s="170">
        <v>206073.64520596957</v>
      </c>
      <c r="AB13" s="96" t="s">
        <v>52</v>
      </c>
      <c r="AC13" s="96">
        <v>741.19999999999993</v>
      </c>
      <c r="AE13" s="96">
        <f t="shared" si="13"/>
        <v>229.92232865623311</v>
      </c>
      <c r="AF13" s="96">
        <f t="shared" si="14"/>
        <v>235.44046454398273</v>
      </c>
      <c r="AG13" s="96">
        <f t="shared" si="15"/>
        <v>240.38471429940634</v>
      </c>
      <c r="AH13" s="96">
        <f t="shared" si="16"/>
        <v>245.43279329969383</v>
      </c>
      <c r="AI13" s="96">
        <f t="shared" si="17"/>
        <v>250.58688195898739</v>
      </c>
      <c r="AJ13" s="96">
        <f t="shared" si="18"/>
        <v>255.8492064801261</v>
      </c>
      <c r="AK13" s="96">
        <f t="shared" si="19"/>
        <v>261.22203981620868</v>
      </c>
      <c r="AL13" s="96">
        <f t="shared" si="20"/>
        <v>266.70770265234904</v>
      </c>
      <c r="AM13" s="96">
        <f t="shared" si="21"/>
        <v>272.30856440804837</v>
      </c>
      <c r="AN13" s="96">
        <f t="shared" si="22"/>
        <v>278.02704426061734</v>
      </c>
      <c r="AS13" s="96" t="s">
        <v>52</v>
      </c>
      <c r="AT13" s="96">
        <f t="shared" si="23"/>
        <v>28.211469726119802</v>
      </c>
      <c r="AU13" s="96">
        <f t="shared" si="24"/>
        <v>28.888544999546681</v>
      </c>
      <c r="AV13" s="96">
        <f t="shared" si="25"/>
        <v>29.495204444537158</v>
      </c>
      <c r="AW13" s="96">
        <f t="shared" si="26"/>
        <v>30.114603737872432</v>
      </c>
      <c r="AX13" s="96">
        <f t="shared" si="27"/>
        <v>30.747010416367754</v>
      </c>
      <c r="AY13" s="96">
        <f t="shared" si="28"/>
        <v>31.392697635111475</v>
      </c>
      <c r="AZ13" s="96">
        <f t="shared" si="29"/>
        <v>32.051944285448805</v>
      </c>
      <c r="BA13" s="96">
        <f t="shared" si="30"/>
        <v>32.725035115443227</v>
      </c>
      <c r="BB13" s="96">
        <f t="shared" si="31"/>
        <v>33.412260852867533</v>
      </c>
      <c r="BC13" s="96">
        <f t="shared" si="32"/>
        <v>34.11391833077775</v>
      </c>
      <c r="BE13" s="169">
        <f t="shared" si="33"/>
        <v>30.686852925193683</v>
      </c>
      <c r="BM13" s="81" t="s">
        <v>54</v>
      </c>
      <c r="BN13" s="96">
        <f t="shared" si="34"/>
        <v>0</v>
      </c>
      <c r="BQ13" s="81" t="s">
        <v>54</v>
      </c>
      <c r="BR13" s="173">
        <f t="shared" si="2"/>
        <v>0</v>
      </c>
      <c r="BS13" s="173">
        <f t="shared" si="3"/>
        <v>0</v>
      </c>
      <c r="BT13" s="173">
        <f t="shared" si="4"/>
        <v>0</v>
      </c>
      <c r="BU13" s="173">
        <f t="shared" si="5"/>
        <v>0</v>
      </c>
      <c r="BV13" s="173">
        <f t="shared" si="6"/>
        <v>0</v>
      </c>
      <c r="BW13" s="173">
        <f t="shared" si="7"/>
        <v>0</v>
      </c>
      <c r="BX13" s="173">
        <f t="shared" si="8"/>
        <v>0</v>
      </c>
      <c r="BY13" s="173">
        <f t="shared" si="9"/>
        <v>0</v>
      </c>
      <c r="BZ13" s="173">
        <f t="shared" si="10"/>
        <v>0</v>
      </c>
      <c r="CA13" s="173">
        <f t="shared" si="11"/>
        <v>0</v>
      </c>
      <c r="CC13" s="81" t="s">
        <v>54</v>
      </c>
      <c r="CD13" s="170">
        <f t="shared" si="45"/>
        <v>0</v>
      </c>
      <c r="CE13" s="170">
        <f t="shared" si="35"/>
        <v>0</v>
      </c>
      <c r="CF13" s="170">
        <f t="shared" si="36"/>
        <v>0</v>
      </c>
      <c r="CG13" s="170">
        <f t="shared" si="37"/>
        <v>0</v>
      </c>
      <c r="CH13" s="170">
        <f t="shared" si="38"/>
        <v>0</v>
      </c>
      <c r="CI13" s="170">
        <f t="shared" si="39"/>
        <v>0</v>
      </c>
      <c r="CJ13" s="170">
        <f t="shared" si="40"/>
        <v>0</v>
      </c>
      <c r="CK13" s="170">
        <f t="shared" si="41"/>
        <v>0</v>
      </c>
      <c r="CL13" s="170">
        <f t="shared" si="42"/>
        <v>0</v>
      </c>
      <c r="CM13" s="170">
        <f t="shared" si="46"/>
        <v>0</v>
      </c>
      <c r="CN13" s="96">
        <f t="shared" si="43"/>
        <v>0</v>
      </c>
      <c r="CO13" s="225">
        <f t="shared" si="47"/>
        <v>0</v>
      </c>
      <c r="CP13" s="169">
        <f t="shared" si="44"/>
        <v>0</v>
      </c>
    </row>
    <row r="14" spans="1:110">
      <c r="B14" s="96" t="s">
        <v>18</v>
      </c>
      <c r="C14" s="96">
        <v>0</v>
      </c>
      <c r="D14" s="96">
        <v>0</v>
      </c>
      <c r="E14" s="96">
        <v>118132.4</v>
      </c>
      <c r="F14" s="96">
        <v>361.25</v>
      </c>
      <c r="P14" s="96" t="s">
        <v>52</v>
      </c>
      <c r="Q14" s="170">
        <v>167013.44</v>
      </c>
      <c r="R14" s="170">
        <v>171021.76256</v>
      </c>
      <c r="S14" s="170">
        <v>174613.21957376</v>
      </c>
      <c r="T14" s="170">
        <v>178280.09718480892</v>
      </c>
      <c r="U14" s="170">
        <v>182023.97922568989</v>
      </c>
      <c r="V14" s="170">
        <v>185846.48278942937</v>
      </c>
      <c r="W14" s="170">
        <v>189749.25892800739</v>
      </c>
      <c r="X14" s="170">
        <v>193733.99336549552</v>
      </c>
      <c r="Y14" s="170">
        <v>197802.40722617091</v>
      </c>
      <c r="Z14" s="170">
        <v>201956.25777792046</v>
      </c>
      <c r="AB14" s="96" t="s">
        <v>52</v>
      </c>
      <c r="AC14" s="96">
        <v>1949.05</v>
      </c>
      <c r="AE14" s="96">
        <f t="shared" si="13"/>
        <v>85.689664195377233</v>
      </c>
      <c r="AF14" s="96">
        <f t="shared" si="14"/>
        <v>87.746216136066295</v>
      </c>
      <c r="AG14" s="96">
        <f t="shared" si="15"/>
        <v>89.588886674923685</v>
      </c>
      <c r="AH14" s="96">
        <f t="shared" si="16"/>
        <v>91.470253295097066</v>
      </c>
      <c r="AI14" s="96">
        <f t="shared" si="17"/>
        <v>93.39112861429409</v>
      </c>
      <c r="AJ14" s="96">
        <f t="shared" si="18"/>
        <v>95.352342315194264</v>
      </c>
      <c r="AK14" s="96">
        <f t="shared" si="19"/>
        <v>97.354741503813344</v>
      </c>
      <c r="AL14" s="96">
        <f t="shared" si="20"/>
        <v>99.399191075393418</v>
      </c>
      <c r="AM14" s="96">
        <f t="shared" si="21"/>
        <v>101.48657408797666</v>
      </c>
      <c r="AN14" s="96">
        <f t="shared" si="22"/>
        <v>103.61779214382415</v>
      </c>
      <c r="AS14" s="96" t="s">
        <v>52</v>
      </c>
      <c r="AT14" s="96">
        <f t="shared" si="23"/>
        <v>10.514121796772788</v>
      </c>
      <c r="AU14" s="96">
        <f t="shared" si="24"/>
        <v>10.766460719895335</v>
      </c>
      <c r="AV14" s="96">
        <f t="shared" si="25"/>
        <v>10.992556395013137</v>
      </c>
      <c r="AW14" s="96">
        <f t="shared" si="26"/>
        <v>11.22340007930841</v>
      </c>
      <c r="AX14" s="96">
        <f t="shared" si="27"/>
        <v>11.459091480973886</v>
      </c>
      <c r="AY14" s="96">
        <f t="shared" si="28"/>
        <v>11.699732402074336</v>
      </c>
      <c r="AZ14" s="96">
        <f t="shared" si="29"/>
        <v>11.945426782517897</v>
      </c>
      <c r="BA14" s="96">
        <f t="shared" si="30"/>
        <v>12.196280744950773</v>
      </c>
      <c r="BB14" s="96">
        <f t="shared" si="31"/>
        <v>12.452402640594737</v>
      </c>
      <c r="BC14" s="96">
        <f t="shared" si="32"/>
        <v>12.713903096047224</v>
      </c>
      <c r="BE14" s="169">
        <f t="shared" si="33"/>
        <v>11.436671408736144</v>
      </c>
      <c r="BM14" s="81" t="s">
        <v>22</v>
      </c>
      <c r="BN14" s="96">
        <f t="shared" si="34"/>
        <v>85000</v>
      </c>
      <c r="BQ14" s="81" t="s">
        <v>22</v>
      </c>
      <c r="BR14" s="173">
        <f t="shared" si="2"/>
        <v>0</v>
      </c>
      <c r="BS14" s="173">
        <f t="shared" si="3"/>
        <v>0</v>
      </c>
      <c r="BT14" s="173">
        <f t="shared" si="4"/>
        <v>0</v>
      </c>
      <c r="BU14" s="173">
        <f t="shared" si="5"/>
        <v>0</v>
      </c>
      <c r="BV14" s="173">
        <f t="shared" si="6"/>
        <v>0</v>
      </c>
      <c r="BW14" s="173">
        <f t="shared" si="7"/>
        <v>0</v>
      </c>
      <c r="BX14" s="173">
        <f t="shared" si="8"/>
        <v>0</v>
      </c>
      <c r="BY14" s="173">
        <f t="shared" si="9"/>
        <v>0</v>
      </c>
      <c r="BZ14" s="173">
        <f t="shared" si="10"/>
        <v>0</v>
      </c>
      <c r="CA14" s="173">
        <f t="shared" si="11"/>
        <v>0</v>
      </c>
      <c r="CC14" s="81" t="s">
        <v>22</v>
      </c>
      <c r="CD14" s="170">
        <f t="shared" si="45"/>
        <v>0</v>
      </c>
      <c r="CE14" s="170">
        <f t="shared" si="35"/>
        <v>18.438306635294119</v>
      </c>
      <c r="CF14" s="170">
        <f t="shared" si="36"/>
        <v>56.476533223905882</v>
      </c>
      <c r="CG14" s="170">
        <f t="shared" si="37"/>
        <v>115.32508084321579</v>
      </c>
      <c r="CH14" s="170">
        <f t="shared" si="38"/>
        <v>238.6249653953933</v>
      </c>
      <c r="CI14" s="170">
        <f t="shared" si="39"/>
        <v>343.81908350143209</v>
      </c>
      <c r="CJ14" s="170">
        <f t="shared" si="40"/>
        <v>412.41138627689594</v>
      </c>
      <c r="CK14" s="170">
        <f t="shared" si="41"/>
        <v>421.0720253887107</v>
      </c>
      <c r="CL14" s="170">
        <f t="shared" si="42"/>
        <v>429.91453792187372</v>
      </c>
      <c r="CM14" s="170">
        <f t="shared" si="46"/>
        <v>438.94274321823292</v>
      </c>
      <c r="CN14" s="96">
        <f t="shared" si="43"/>
        <v>85000</v>
      </c>
      <c r="CO14" s="225">
        <f t="shared" si="47"/>
        <v>208.43670079928495</v>
      </c>
      <c r="CP14" s="169">
        <f t="shared" si="44"/>
        <v>4.1445440675994316</v>
      </c>
    </row>
    <row r="15" spans="1:110">
      <c r="B15" s="96" t="s">
        <v>18</v>
      </c>
      <c r="C15" s="96">
        <v>0</v>
      </c>
      <c r="D15" s="96">
        <v>0</v>
      </c>
      <c r="E15" s="96">
        <v>37057.879999999997</v>
      </c>
      <c r="F15" s="96">
        <v>361.25</v>
      </c>
      <c r="P15" s="96" t="s">
        <v>52</v>
      </c>
      <c r="Q15" s="170">
        <v>101201.44000000002</v>
      </c>
      <c r="R15" s="170">
        <v>103630.27456000002</v>
      </c>
      <c r="S15" s="170">
        <v>105806.51032576001</v>
      </c>
      <c r="T15" s="170">
        <v>108028.44704260096</v>
      </c>
      <c r="U15" s="170">
        <v>110297.04443049556</v>
      </c>
      <c r="V15" s="170">
        <v>112613.28236353597</v>
      </c>
      <c r="W15" s="170">
        <v>114978.16129317021</v>
      </c>
      <c r="X15" s="170">
        <v>117392.70268032678</v>
      </c>
      <c r="Y15" s="170">
        <v>119857.94943661364</v>
      </c>
      <c r="Z15" s="170">
        <v>122374.9663747825</v>
      </c>
      <c r="AB15" s="96" t="s">
        <v>52</v>
      </c>
      <c r="AC15" s="96">
        <v>1725.5</v>
      </c>
      <c r="AE15" s="96">
        <f t="shared" si="13"/>
        <v>58.650501303969875</v>
      </c>
      <c r="AF15" s="96">
        <f t="shared" si="14"/>
        <v>60.058113335265155</v>
      </c>
      <c r="AG15" s="96">
        <f t="shared" si="15"/>
        <v>61.319333715305717</v>
      </c>
      <c r="AH15" s="96">
        <f t="shared" si="16"/>
        <v>62.607039723327134</v>
      </c>
      <c r="AI15" s="96">
        <f t="shared" si="17"/>
        <v>63.921787557516986</v>
      </c>
      <c r="AJ15" s="96">
        <f t="shared" si="18"/>
        <v>65.264145096224837</v>
      </c>
      <c r="AK15" s="96">
        <f t="shared" si="19"/>
        <v>66.634692143245559</v>
      </c>
      <c r="AL15" s="96">
        <f t="shared" si="20"/>
        <v>68.034020678253711</v>
      </c>
      <c r="AM15" s="96">
        <f t="shared" si="21"/>
        <v>69.462735112497029</v>
      </c>
      <c r="AN15" s="96">
        <f t="shared" si="22"/>
        <v>70.921452549859453</v>
      </c>
      <c r="AS15" s="96" t="s">
        <v>52</v>
      </c>
      <c r="AT15" s="96">
        <f t="shared" si="23"/>
        <v>7.1964165099971042</v>
      </c>
      <c r="AU15" s="96">
        <f t="shared" si="24"/>
        <v>7.3691305062370347</v>
      </c>
      <c r="AV15" s="96">
        <f t="shared" si="25"/>
        <v>7.5238822468680118</v>
      </c>
      <c r="AW15" s="96">
        <f t="shared" si="26"/>
        <v>7.6818837740522392</v>
      </c>
      <c r="AX15" s="96">
        <f t="shared" si="27"/>
        <v>7.8432033333073345</v>
      </c>
      <c r="AY15" s="96">
        <f t="shared" si="28"/>
        <v>8.0079106033067884</v>
      </c>
      <c r="AZ15" s="96">
        <f t="shared" si="29"/>
        <v>8.1760767259762304</v>
      </c>
      <c r="BA15" s="96">
        <f t="shared" si="30"/>
        <v>8.3477743372217308</v>
      </c>
      <c r="BB15" s="96">
        <f t="shared" si="31"/>
        <v>8.5230775983033862</v>
      </c>
      <c r="BC15" s="96">
        <f t="shared" si="32"/>
        <v>8.7020622278677546</v>
      </c>
      <c r="BE15" s="169">
        <f t="shared" si="33"/>
        <v>7.8278578597503774</v>
      </c>
      <c r="BM15" s="81" t="s">
        <v>57</v>
      </c>
      <c r="BN15" s="96">
        <f t="shared" si="34"/>
        <v>0</v>
      </c>
      <c r="BQ15" s="81" t="s">
        <v>57</v>
      </c>
      <c r="BR15" s="173">
        <f t="shared" si="2"/>
        <v>0</v>
      </c>
      <c r="BS15" s="173">
        <f t="shared" si="3"/>
        <v>0</v>
      </c>
      <c r="BT15" s="173">
        <f t="shared" si="4"/>
        <v>0</v>
      </c>
      <c r="BU15" s="173">
        <f t="shared" si="5"/>
        <v>0</v>
      </c>
      <c r="BV15" s="173">
        <f t="shared" si="6"/>
        <v>0</v>
      </c>
      <c r="BW15" s="173">
        <f t="shared" si="7"/>
        <v>0</v>
      </c>
      <c r="BX15" s="173">
        <f t="shared" si="8"/>
        <v>0</v>
      </c>
      <c r="BY15" s="173">
        <f t="shared" si="9"/>
        <v>0</v>
      </c>
      <c r="BZ15" s="173">
        <f t="shared" si="10"/>
        <v>0</v>
      </c>
      <c r="CA15" s="173">
        <f t="shared" si="11"/>
        <v>0</v>
      </c>
      <c r="CC15" s="81" t="s">
        <v>57</v>
      </c>
      <c r="CD15" s="170">
        <f t="shared" si="45"/>
        <v>0</v>
      </c>
      <c r="CE15" s="170">
        <f t="shared" si="35"/>
        <v>0</v>
      </c>
      <c r="CF15" s="170">
        <f t="shared" si="36"/>
        <v>0</v>
      </c>
      <c r="CG15" s="170">
        <f t="shared" si="37"/>
        <v>0</v>
      </c>
      <c r="CH15" s="170">
        <f t="shared" si="38"/>
        <v>0</v>
      </c>
      <c r="CI15" s="170">
        <f t="shared" si="39"/>
        <v>0</v>
      </c>
      <c r="CJ15" s="170">
        <f t="shared" si="40"/>
        <v>0</v>
      </c>
      <c r="CK15" s="170">
        <f t="shared" si="41"/>
        <v>0</v>
      </c>
      <c r="CL15" s="170">
        <f t="shared" si="42"/>
        <v>0</v>
      </c>
      <c r="CM15" s="170">
        <f t="shared" si="46"/>
        <v>0</v>
      </c>
      <c r="CN15" s="96">
        <f t="shared" si="43"/>
        <v>0</v>
      </c>
      <c r="CO15" s="225">
        <f t="shared" si="47"/>
        <v>0</v>
      </c>
      <c r="CP15" s="169">
        <f t="shared" si="44"/>
        <v>0</v>
      </c>
    </row>
    <row r="16" spans="1:110">
      <c r="B16" s="96" t="s">
        <v>18</v>
      </c>
      <c r="C16" s="96">
        <v>0</v>
      </c>
      <c r="D16" s="96">
        <v>0</v>
      </c>
      <c r="E16" s="96">
        <v>27667.200000000001</v>
      </c>
      <c r="F16" s="96">
        <v>361.25</v>
      </c>
      <c r="P16" s="96" t="s">
        <v>65</v>
      </c>
      <c r="Q16" s="170">
        <v>90546.739999999991</v>
      </c>
      <c r="R16" s="170">
        <v>92719.861759999985</v>
      </c>
      <c r="S16" s="170">
        <v>94666.978856959991</v>
      </c>
      <c r="T16" s="170">
        <v>96654.985412956143</v>
      </c>
      <c r="U16" s="170">
        <v>98684.740106628204</v>
      </c>
      <c r="V16" s="170">
        <v>100757.11964886739</v>
      </c>
      <c r="W16" s="170">
        <v>102873.01916149359</v>
      </c>
      <c r="X16" s="170">
        <v>105033.35256388495</v>
      </c>
      <c r="Y16" s="170">
        <v>107239.05296772653</v>
      </c>
      <c r="Z16" s="170">
        <v>109491.07308004877</v>
      </c>
      <c r="AB16" s="96" t="s">
        <v>65</v>
      </c>
      <c r="AC16" s="96">
        <v>1167</v>
      </c>
      <c r="AE16" s="96">
        <f t="shared" si="13"/>
        <v>77.58932305055697</v>
      </c>
      <c r="AF16" s="96">
        <f t="shared" si="14"/>
        <v>79.451466803770344</v>
      </c>
      <c r="AG16" s="96">
        <f t="shared" si="15"/>
        <v>81.119947606649518</v>
      </c>
      <c r="AH16" s="96">
        <f t="shared" si="16"/>
        <v>82.823466506389153</v>
      </c>
      <c r="AI16" s="96">
        <f t="shared" si="17"/>
        <v>84.562759303023313</v>
      </c>
      <c r="AJ16" s="96">
        <f t="shared" si="18"/>
        <v>86.338577248386798</v>
      </c>
      <c r="AK16" s="96">
        <f t="shared" si="19"/>
        <v>88.1516873706029</v>
      </c>
      <c r="AL16" s="96">
        <f t="shared" si="20"/>
        <v>90.002872805385564</v>
      </c>
      <c r="AM16" s="96">
        <f t="shared" si="21"/>
        <v>91.892933134298659</v>
      </c>
      <c r="AN16" s="96">
        <f t="shared" si="22"/>
        <v>93.822684730118908</v>
      </c>
      <c r="AS16" s="96" t="s">
        <v>65</v>
      </c>
      <c r="AT16" s="96">
        <f t="shared" si="23"/>
        <v>9.5202099383033403</v>
      </c>
      <c r="AU16" s="96">
        <f t="shared" si="24"/>
        <v>9.7486949768226214</v>
      </c>
      <c r="AV16" s="96">
        <f t="shared" si="25"/>
        <v>9.9534175713358959</v>
      </c>
      <c r="AW16" s="96">
        <f t="shared" si="26"/>
        <v>10.162439340333949</v>
      </c>
      <c r="AX16" s="96">
        <f t="shared" si="27"/>
        <v>10.375850566480961</v>
      </c>
      <c r="AY16" s="96">
        <f t="shared" si="28"/>
        <v>10.59374342837706</v>
      </c>
      <c r="AZ16" s="96">
        <f t="shared" si="29"/>
        <v>10.816212040372976</v>
      </c>
      <c r="BA16" s="96">
        <f t="shared" si="30"/>
        <v>11.043352493220809</v>
      </c>
      <c r="BB16" s="96">
        <f t="shared" si="31"/>
        <v>11.275262895578445</v>
      </c>
      <c r="BC16" s="96">
        <f t="shared" si="32"/>
        <v>11.512043416385591</v>
      </c>
      <c r="BE16" s="169">
        <f t="shared" si="33"/>
        <v>10.355549889100496</v>
      </c>
      <c r="BM16" s="81" t="s">
        <v>59</v>
      </c>
      <c r="BN16" s="96">
        <f t="shared" si="34"/>
        <v>0</v>
      </c>
      <c r="BQ16" s="81" t="s">
        <v>59</v>
      </c>
      <c r="BR16" s="173">
        <f t="shared" si="2"/>
        <v>0</v>
      </c>
      <c r="BS16" s="173">
        <f t="shared" si="3"/>
        <v>0</v>
      </c>
      <c r="BT16" s="173">
        <f t="shared" si="4"/>
        <v>0</v>
      </c>
      <c r="BU16" s="173">
        <f t="shared" si="5"/>
        <v>0</v>
      </c>
      <c r="BV16" s="173">
        <f t="shared" si="6"/>
        <v>0</v>
      </c>
      <c r="BW16" s="173">
        <f t="shared" si="7"/>
        <v>0</v>
      </c>
      <c r="BX16" s="173">
        <f t="shared" si="8"/>
        <v>0</v>
      </c>
      <c r="BY16" s="173">
        <f t="shared" si="9"/>
        <v>0</v>
      </c>
      <c r="BZ16" s="173">
        <f t="shared" si="10"/>
        <v>0</v>
      </c>
      <c r="CA16" s="173">
        <f t="shared" si="11"/>
        <v>0</v>
      </c>
      <c r="CC16" s="81" t="s">
        <v>59</v>
      </c>
      <c r="CD16" s="170">
        <f t="shared" si="45"/>
        <v>0</v>
      </c>
      <c r="CE16" s="170">
        <f t="shared" si="35"/>
        <v>0</v>
      </c>
      <c r="CF16" s="170">
        <f t="shared" si="36"/>
        <v>0</v>
      </c>
      <c r="CG16" s="170">
        <f t="shared" si="37"/>
        <v>0</v>
      </c>
      <c r="CH16" s="170">
        <f t="shared" si="38"/>
        <v>0</v>
      </c>
      <c r="CI16" s="170">
        <f t="shared" si="39"/>
        <v>0</v>
      </c>
      <c r="CJ16" s="170">
        <f t="shared" si="40"/>
        <v>0</v>
      </c>
      <c r="CK16" s="170">
        <f t="shared" si="41"/>
        <v>0</v>
      </c>
      <c r="CL16" s="170">
        <f t="shared" si="42"/>
        <v>0</v>
      </c>
      <c r="CM16" s="170">
        <f t="shared" si="46"/>
        <v>0</v>
      </c>
      <c r="CN16" s="96">
        <f t="shared" si="43"/>
        <v>0</v>
      </c>
      <c r="CO16" s="225">
        <f t="shared" si="47"/>
        <v>0</v>
      </c>
      <c r="CP16" s="169">
        <f t="shared" si="44"/>
        <v>0</v>
      </c>
    </row>
    <row r="17" spans="2:103">
      <c r="B17" s="96" t="s">
        <v>20</v>
      </c>
      <c r="C17" s="96" t="s">
        <v>97</v>
      </c>
      <c r="D17" s="96" t="s">
        <v>97</v>
      </c>
      <c r="E17" s="96" t="s">
        <v>97</v>
      </c>
      <c r="F17" s="96">
        <v>0</v>
      </c>
      <c r="P17" s="96" t="s">
        <v>16</v>
      </c>
      <c r="Q17" s="170">
        <v>275408.35000000003</v>
      </c>
      <c r="R17" s="170">
        <v>282018.15040000004</v>
      </c>
      <c r="S17" s="170">
        <v>287940.53155840002</v>
      </c>
      <c r="T17" s="170">
        <v>293987.28272112639</v>
      </c>
      <c r="U17" s="170">
        <v>300161.01565826999</v>
      </c>
      <c r="V17" s="170">
        <v>306464.39698709367</v>
      </c>
      <c r="W17" s="170">
        <v>312900.14932382258</v>
      </c>
      <c r="X17" s="170">
        <v>319471.05245962285</v>
      </c>
      <c r="Y17" s="170">
        <v>326179.9445612749</v>
      </c>
      <c r="Z17" s="170">
        <v>333029.72339706164</v>
      </c>
      <c r="AB17" s="96" t="s">
        <v>16</v>
      </c>
      <c r="AC17" s="96">
        <v>1503</v>
      </c>
      <c r="AE17" s="96">
        <f t="shared" si="13"/>
        <v>183.2390884896873</v>
      </c>
      <c r="AF17" s="96">
        <f t="shared" si="14"/>
        <v>187.63682661343981</v>
      </c>
      <c r="AG17" s="96">
        <f t="shared" si="15"/>
        <v>191.57719997232203</v>
      </c>
      <c r="AH17" s="96">
        <f t="shared" si="16"/>
        <v>195.60032117174077</v>
      </c>
      <c r="AI17" s="96">
        <f t="shared" si="17"/>
        <v>199.7079279163473</v>
      </c>
      <c r="AJ17" s="96">
        <f t="shared" si="18"/>
        <v>203.90179440259061</v>
      </c>
      <c r="AK17" s="96">
        <f t="shared" si="19"/>
        <v>208.18373208504497</v>
      </c>
      <c r="AL17" s="96">
        <f t="shared" si="20"/>
        <v>212.55559045883089</v>
      </c>
      <c r="AM17" s="96">
        <f t="shared" si="21"/>
        <v>217.01925785846632</v>
      </c>
      <c r="AN17" s="96">
        <f t="shared" si="22"/>
        <v>221.57666227349409</v>
      </c>
      <c r="AS17" s="96" t="s">
        <v>16</v>
      </c>
      <c r="AT17" s="96">
        <f t="shared" si="23"/>
        <v>22.483436157684633</v>
      </c>
      <c r="AU17" s="96">
        <f t="shared" si="24"/>
        <v>23.023038625469066</v>
      </c>
      <c r="AV17" s="96">
        <f t="shared" si="25"/>
        <v>23.506522436603916</v>
      </c>
      <c r="AW17" s="96">
        <f t="shared" si="26"/>
        <v>24.000159407772593</v>
      </c>
      <c r="AX17" s="96">
        <f t="shared" si="27"/>
        <v>24.504162755335816</v>
      </c>
      <c r="AY17" s="96">
        <f t="shared" si="28"/>
        <v>25.018750173197869</v>
      </c>
      <c r="AZ17" s="96">
        <f t="shared" si="29"/>
        <v>25.544143926835019</v>
      </c>
      <c r="BA17" s="96">
        <f t="shared" si="30"/>
        <v>26.080570949298551</v>
      </c>
      <c r="BB17" s="96">
        <f t="shared" si="31"/>
        <v>26.628262939233817</v>
      </c>
      <c r="BC17" s="96">
        <f t="shared" si="32"/>
        <v>27.187456460957726</v>
      </c>
      <c r="BE17" s="169">
        <f t="shared" si="33"/>
        <v>24.456219591603144</v>
      </c>
      <c r="BM17" s="81" t="s">
        <v>61</v>
      </c>
      <c r="BN17" s="96">
        <f t="shared" si="34"/>
        <v>0</v>
      </c>
      <c r="BQ17" s="81" t="s">
        <v>61</v>
      </c>
      <c r="BR17" s="173">
        <f t="shared" si="2"/>
        <v>0</v>
      </c>
      <c r="BS17" s="173">
        <f t="shared" si="3"/>
        <v>0</v>
      </c>
      <c r="BT17" s="173">
        <f t="shared" si="4"/>
        <v>0</v>
      </c>
      <c r="BU17" s="173">
        <f t="shared" si="5"/>
        <v>0</v>
      </c>
      <c r="BV17" s="173">
        <f t="shared" si="6"/>
        <v>0</v>
      </c>
      <c r="BW17" s="173">
        <f t="shared" si="7"/>
        <v>0</v>
      </c>
      <c r="BX17" s="173">
        <f t="shared" si="8"/>
        <v>0</v>
      </c>
      <c r="BY17" s="173">
        <f t="shared" si="9"/>
        <v>0</v>
      </c>
      <c r="BZ17" s="173">
        <f t="shared" si="10"/>
        <v>0</v>
      </c>
      <c r="CA17" s="173">
        <f t="shared" si="11"/>
        <v>0</v>
      </c>
      <c r="CC17" s="81" t="s">
        <v>61</v>
      </c>
      <c r="CD17" s="170">
        <f t="shared" si="45"/>
        <v>0</v>
      </c>
      <c r="CE17" s="170">
        <f t="shared" si="35"/>
        <v>0</v>
      </c>
      <c r="CF17" s="170">
        <f t="shared" si="36"/>
        <v>0</v>
      </c>
      <c r="CG17" s="170">
        <f t="shared" si="37"/>
        <v>0</v>
      </c>
      <c r="CH17" s="170">
        <f t="shared" si="38"/>
        <v>0</v>
      </c>
      <c r="CI17" s="170">
        <f t="shared" si="39"/>
        <v>0</v>
      </c>
      <c r="CJ17" s="170">
        <f t="shared" si="40"/>
        <v>0</v>
      </c>
      <c r="CK17" s="170">
        <f t="shared" si="41"/>
        <v>0</v>
      </c>
      <c r="CL17" s="170">
        <f t="shared" si="42"/>
        <v>0</v>
      </c>
      <c r="CM17" s="170">
        <f t="shared" si="46"/>
        <v>0</v>
      </c>
      <c r="CN17" s="96">
        <f t="shared" si="43"/>
        <v>0</v>
      </c>
      <c r="CO17" s="225">
        <f t="shared" si="47"/>
        <v>0</v>
      </c>
      <c r="CP17" s="169">
        <f t="shared" si="44"/>
        <v>0</v>
      </c>
    </row>
    <row r="18" spans="2:103">
      <c r="B18" s="96" t="s">
        <v>20</v>
      </c>
      <c r="C18" s="96">
        <v>0</v>
      </c>
      <c r="D18" s="96">
        <v>0</v>
      </c>
      <c r="E18" s="96">
        <v>138961.79999999999</v>
      </c>
      <c r="F18" s="96">
        <v>361.25</v>
      </c>
      <c r="P18" s="96" t="s">
        <v>29</v>
      </c>
      <c r="Q18" s="170">
        <v>162157.46999999997</v>
      </c>
      <c r="R18" s="170">
        <v>166049.24927999999</v>
      </c>
      <c r="S18" s="170">
        <v>169536.28351487996</v>
      </c>
      <c r="T18" s="170">
        <v>173096.54546869243</v>
      </c>
      <c r="U18" s="170">
        <v>176731.57292353493</v>
      </c>
      <c r="V18" s="170">
        <v>180442.93595492918</v>
      </c>
      <c r="W18" s="170">
        <v>184232.23760998267</v>
      </c>
      <c r="X18" s="170">
        <v>188101.11459979229</v>
      </c>
      <c r="Y18" s="170">
        <v>192051.2380063879</v>
      </c>
      <c r="Z18" s="170">
        <v>196084.31400452202</v>
      </c>
      <c r="AB18" s="96" t="s">
        <v>29</v>
      </c>
      <c r="AC18" s="96">
        <v>1130</v>
      </c>
      <c r="AE18" s="96">
        <f t="shared" si="13"/>
        <v>143.50218584070794</v>
      </c>
      <c r="AF18" s="96">
        <f t="shared" si="14"/>
        <v>146.94623830088494</v>
      </c>
      <c r="AG18" s="96">
        <f t="shared" si="15"/>
        <v>150.03210930520351</v>
      </c>
      <c r="AH18" s="96">
        <f t="shared" si="16"/>
        <v>153.18278360061277</v>
      </c>
      <c r="AI18" s="96">
        <f t="shared" si="17"/>
        <v>156.39962205622561</v>
      </c>
      <c r="AJ18" s="96">
        <f t="shared" si="18"/>
        <v>159.68401411940636</v>
      </c>
      <c r="AK18" s="96">
        <f t="shared" si="19"/>
        <v>163.03737841591385</v>
      </c>
      <c r="AL18" s="96">
        <f t="shared" si="20"/>
        <v>166.46116336264805</v>
      </c>
      <c r="AM18" s="96">
        <f t="shared" si="21"/>
        <v>169.95684779326362</v>
      </c>
      <c r="AN18" s="96">
        <f t="shared" si="22"/>
        <v>173.52594159692214</v>
      </c>
      <c r="AS18" s="96" t="s">
        <v>29</v>
      </c>
      <c r="AT18" s="96">
        <f t="shared" si="23"/>
        <v>17.607718202654866</v>
      </c>
      <c r="AU18" s="96">
        <f t="shared" si="24"/>
        <v>18.030303439518583</v>
      </c>
      <c r="AV18" s="96">
        <f t="shared" si="25"/>
        <v>18.408939811748471</v>
      </c>
      <c r="AW18" s="96">
        <f t="shared" si="26"/>
        <v>18.795527547795185</v>
      </c>
      <c r="AX18" s="96">
        <f t="shared" si="27"/>
        <v>19.190233626298884</v>
      </c>
      <c r="AY18" s="96">
        <f t="shared" si="28"/>
        <v>19.59322853245116</v>
      </c>
      <c r="AZ18" s="96">
        <f t="shared" si="29"/>
        <v>20.00468633163263</v>
      </c>
      <c r="BA18" s="96">
        <f t="shared" si="30"/>
        <v>20.424784744596916</v>
      </c>
      <c r="BB18" s="96">
        <f t="shared" si="31"/>
        <v>20.853705224233448</v>
      </c>
      <c r="BC18" s="96">
        <f t="shared" si="32"/>
        <v>21.291633033942347</v>
      </c>
      <c r="BE18" s="169">
        <f t="shared" si="33"/>
        <v>19.152687331736608</v>
      </c>
      <c r="BM18" s="81" t="s">
        <v>23</v>
      </c>
      <c r="BN18" s="96">
        <f t="shared" si="34"/>
        <v>1177.25</v>
      </c>
      <c r="BQ18" s="81" t="s">
        <v>23</v>
      </c>
      <c r="BR18" s="173">
        <f t="shared" si="2"/>
        <v>69.199648207262697</v>
      </c>
      <c r="BS18" s="173">
        <f t="shared" si="3"/>
        <v>70.860439764236986</v>
      </c>
      <c r="BT18" s="173">
        <f t="shared" si="4"/>
        <v>72.348508999285968</v>
      </c>
      <c r="BU18" s="173">
        <f t="shared" si="5"/>
        <v>73.867827688270978</v>
      </c>
      <c r="BV18" s="173">
        <f t="shared" si="6"/>
        <v>75.419052069724657</v>
      </c>
      <c r="BW18" s="173">
        <f t="shared" si="7"/>
        <v>77.002852163188862</v>
      </c>
      <c r="BX18" s="173">
        <f t="shared" si="8"/>
        <v>78.619912058615824</v>
      </c>
      <c r="BY18" s="173">
        <f t="shared" si="9"/>
        <v>80.270930211846746</v>
      </c>
      <c r="BZ18" s="173">
        <f t="shared" si="10"/>
        <v>81.956619746295516</v>
      </c>
      <c r="CA18" s="173">
        <f t="shared" si="11"/>
        <v>83.677708760967718</v>
      </c>
      <c r="CC18" s="81" t="s">
        <v>23</v>
      </c>
      <c r="CD18" s="170">
        <f t="shared" si="45"/>
        <v>89.991165424506278</v>
      </c>
      <c r="CE18" s="170">
        <f t="shared" si="35"/>
        <v>92.150953394694398</v>
      </c>
      <c r="CF18" s="170">
        <f t="shared" si="36"/>
        <v>94.08612341598301</v>
      </c>
      <c r="CG18" s="170">
        <f t="shared" si="37"/>
        <v>96.061932007718639</v>
      </c>
      <c r="CH18" s="170">
        <f t="shared" si="38"/>
        <v>98.07923257988071</v>
      </c>
      <c r="CI18" s="170">
        <f t="shared" si="39"/>
        <v>100.13889646405821</v>
      </c>
      <c r="CJ18" s="170">
        <f t="shared" si="40"/>
        <v>102.24181328980342</v>
      </c>
      <c r="CK18" s="170">
        <f t="shared" si="41"/>
        <v>104.38889136888928</v>
      </c>
      <c r="CL18" s="170">
        <f t="shared" si="42"/>
        <v>106.58105808763592</v>
      </c>
      <c r="CM18" s="170">
        <f t="shared" si="46"/>
        <v>108.8192603074763</v>
      </c>
      <c r="CN18" s="96">
        <f t="shared" si="43"/>
        <v>1177.25</v>
      </c>
      <c r="CO18" s="225">
        <f t="shared" si="47"/>
        <v>97.887337482166032</v>
      </c>
      <c r="CP18" s="169">
        <f t="shared" si="44"/>
        <v>2.695745324524183E-2</v>
      </c>
    </row>
    <row r="19" spans="2:103">
      <c r="B19" s="96" t="s">
        <v>20</v>
      </c>
      <c r="C19" s="96">
        <v>0</v>
      </c>
      <c r="D19" s="96">
        <v>0</v>
      </c>
      <c r="E19" s="96">
        <v>71715.320000000007</v>
      </c>
      <c r="F19" s="96">
        <v>361.25</v>
      </c>
      <c r="P19" s="96" t="s">
        <v>29</v>
      </c>
      <c r="Q19" s="170">
        <v>6905</v>
      </c>
      <c r="R19" s="170">
        <v>7070.72</v>
      </c>
      <c r="S19" s="170">
        <v>7219.2051199999996</v>
      </c>
      <c r="T19" s="170">
        <v>7370.808427519999</v>
      </c>
      <c r="U19" s="170">
        <v>7525.595404497918</v>
      </c>
      <c r="V19" s="170">
        <v>7683.6329079923744</v>
      </c>
      <c r="W19" s="170">
        <v>7844.9891990602127</v>
      </c>
      <c r="X19" s="170">
        <v>8009.7339722404768</v>
      </c>
      <c r="Y19" s="170">
        <v>8177.9383856575259</v>
      </c>
      <c r="Z19" s="170">
        <v>8349.6750917563331</v>
      </c>
      <c r="AB19" s="96" t="s">
        <v>29</v>
      </c>
      <c r="AC19" s="96">
        <v>470</v>
      </c>
      <c r="AE19" s="96">
        <f t="shared" si="13"/>
        <v>14.691489361702128</v>
      </c>
      <c r="AF19" s="96">
        <f t="shared" si="14"/>
        <v>15.04408510638298</v>
      </c>
      <c r="AG19" s="96">
        <f t="shared" si="15"/>
        <v>15.360010893617021</v>
      </c>
      <c r="AH19" s="96">
        <f t="shared" si="16"/>
        <v>15.682571122382976</v>
      </c>
      <c r="AI19" s="96">
        <f t="shared" si="17"/>
        <v>16.011905115953017</v>
      </c>
      <c r="AJ19" s="96">
        <f t="shared" si="18"/>
        <v>16.348155123388029</v>
      </c>
      <c r="AK19" s="96">
        <f t="shared" si="19"/>
        <v>16.691466380979175</v>
      </c>
      <c r="AL19" s="96">
        <f t="shared" si="20"/>
        <v>17.041987174979738</v>
      </c>
      <c r="AM19" s="96">
        <f t="shared" si="21"/>
        <v>17.399868905654312</v>
      </c>
      <c r="AN19" s="96">
        <f t="shared" si="22"/>
        <v>17.76526615267305</v>
      </c>
      <c r="AS19" s="96" t="s">
        <v>29</v>
      </c>
      <c r="AT19" s="96">
        <f t="shared" si="23"/>
        <v>1.8026457446808513</v>
      </c>
      <c r="AU19" s="96">
        <f t="shared" si="24"/>
        <v>1.8459092425531916</v>
      </c>
      <c r="AV19" s="96">
        <f t="shared" si="25"/>
        <v>1.8846733366468085</v>
      </c>
      <c r="AW19" s="96">
        <f t="shared" si="26"/>
        <v>1.9242514767163912</v>
      </c>
      <c r="AX19" s="96">
        <f t="shared" si="27"/>
        <v>1.9646607577274351</v>
      </c>
      <c r="AY19" s="96">
        <f t="shared" si="28"/>
        <v>2.0059186336397112</v>
      </c>
      <c r="AZ19" s="96">
        <f t="shared" si="29"/>
        <v>2.0480429249461447</v>
      </c>
      <c r="BA19" s="96">
        <f t="shared" si="30"/>
        <v>2.091051826370014</v>
      </c>
      <c r="BB19" s="96">
        <f t="shared" si="31"/>
        <v>2.1349639147237842</v>
      </c>
      <c r="BC19" s="96">
        <f t="shared" si="32"/>
        <v>2.1797981569329834</v>
      </c>
      <c r="BE19" s="169">
        <f t="shared" si="33"/>
        <v>1.9608168372749248</v>
      </c>
      <c r="BM19" s="175" t="s">
        <v>24</v>
      </c>
      <c r="BN19" s="176">
        <f>SUMIFS($AC$137:$AC$266,$AB$137:$AB$266,$BM19)+AC51+AC53</f>
        <v>2577</v>
      </c>
      <c r="BQ19" s="81" t="s">
        <v>24</v>
      </c>
      <c r="BR19" s="173">
        <f t="shared" si="2"/>
        <v>17.586479954749283</v>
      </c>
      <c r="BS19" s="173">
        <f t="shared" si="3"/>
        <v>18.008555473663272</v>
      </c>
      <c r="BT19" s="173">
        <f t="shared" si="4"/>
        <v>18.386735138610199</v>
      </c>
      <c r="BU19" s="173">
        <f t="shared" si="5"/>
        <v>18.772856576521004</v>
      </c>
      <c r="BV19" s="173">
        <f t="shared" si="6"/>
        <v>19.167086564627947</v>
      </c>
      <c r="BW19" s="173">
        <f t="shared" si="7"/>
        <v>19.569595382485133</v>
      </c>
      <c r="BX19" s="173">
        <f t="shared" si="8"/>
        <v>19.980556885517323</v>
      </c>
      <c r="BY19" s="173">
        <f t="shared" si="9"/>
        <v>20.400148580113182</v>
      </c>
      <c r="BZ19" s="173">
        <f t="shared" si="10"/>
        <v>20.828551700295552</v>
      </c>
      <c r="CA19" s="173">
        <f t="shared" si="11"/>
        <v>21.265951286001759</v>
      </c>
      <c r="CC19" s="81" t="s">
        <v>24</v>
      </c>
      <c r="CD19" s="170">
        <f t="shared" si="45"/>
        <v>30.999593335375948</v>
      </c>
      <c r="CE19" s="170">
        <f t="shared" si="35"/>
        <v>31.743583575424978</v>
      </c>
      <c r="CF19" s="170">
        <f t="shared" si="36"/>
        <v>32.410198830508904</v>
      </c>
      <c r="CG19" s="170">
        <f t="shared" si="37"/>
        <v>33.090813005949585</v>
      </c>
      <c r="CH19" s="170">
        <f t="shared" si="38"/>
        <v>33.785720079074515</v>
      </c>
      <c r="CI19" s="170">
        <f t="shared" si="39"/>
        <v>34.495220200735083</v>
      </c>
      <c r="CJ19" s="170">
        <f t="shared" si="40"/>
        <v>35.21961982495052</v>
      </c>
      <c r="CK19" s="170">
        <f t="shared" si="41"/>
        <v>35.959231841274473</v>
      </c>
      <c r="CL19" s="170">
        <f t="shared" si="42"/>
        <v>36.714375709941237</v>
      </c>
      <c r="CM19" s="170">
        <f t="shared" si="46"/>
        <v>37.485377599849997</v>
      </c>
      <c r="CN19" s="96">
        <f t="shared" si="43"/>
        <v>2577</v>
      </c>
      <c r="CO19" s="225">
        <f t="shared" si="47"/>
        <v>33.719617257045861</v>
      </c>
      <c r="CP19" s="169">
        <f t="shared" si="44"/>
        <v>2.0327346984038111E-2</v>
      </c>
    </row>
    <row r="20" spans="2:103">
      <c r="B20" s="96" t="s">
        <v>36</v>
      </c>
      <c r="C20" s="96">
        <v>187969.62999999992</v>
      </c>
      <c r="D20" s="96">
        <v>15192.9</v>
      </c>
      <c r="E20" s="96">
        <v>274389.08000000007</v>
      </c>
      <c r="F20" s="96">
        <v>501.5</v>
      </c>
      <c r="P20" s="96" t="s">
        <v>58</v>
      </c>
      <c r="Q20" s="170">
        <v>129443.79000000001</v>
      </c>
      <c r="R20" s="170">
        <v>132550.44096000001</v>
      </c>
      <c r="S20" s="170">
        <v>135334.00022016</v>
      </c>
      <c r="T20" s="170">
        <v>138176.01422478334</v>
      </c>
      <c r="U20" s="170">
        <v>141077.71052350377</v>
      </c>
      <c r="V20" s="170">
        <v>144040.34244449736</v>
      </c>
      <c r="W20" s="170">
        <v>147065.18963583178</v>
      </c>
      <c r="X20" s="170">
        <v>150153.55861818424</v>
      </c>
      <c r="Y20" s="170">
        <v>153306.7833491661</v>
      </c>
      <c r="Z20" s="170">
        <v>156526.22579949856</v>
      </c>
      <c r="AB20" s="96" t="s">
        <v>58</v>
      </c>
      <c r="AC20" s="96">
        <v>494.7</v>
      </c>
      <c r="AE20" s="96">
        <f t="shared" si="13"/>
        <v>261.66118859915105</v>
      </c>
      <c r="AF20" s="96">
        <f t="shared" si="14"/>
        <v>267.94105712553062</v>
      </c>
      <c r="AG20" s="96">
        <f t="shared" si="15"/>
        <v>273.56781932516679</v>
      </c>
      <c r="AH20" s="96">
        <f t="shared" si="16"/>
        <v>279.31274353099525</v>
      </c>
      <c r="AI20" s="96">
        <f t="shared" si="17"/>
        <v>285.1783111451461</v>
      </c>
      <c r="AJ20" s="96">
        <f t="shared" si="18"/>
        <v>291.16705567919422</v>
      </c>
      <c r="AK20" s="96">
        <f t="shared" si="19"/>
        <v>297.28156384845721</v>
      </c>
      <c r="AL20" s="96">
        <f t="shared" si="20"/>
        <v>303.52447668927482</v>
      </c>
      <c r="AM20" s="96">
        <f t="shared" si="21"/>
        <v>309.89849069974957</v>
      </c>
      <c r="AN20" s="96">
        <f t="shared" si="22"/>
        <v>316.40635900444425</v>
      </c>
      <c r="AS20" s="96" t="s">
        <v>58</v>
      </c>
      <c r="AT20" s="96">
        <f t="shared" si="23"/>
        <v>32.105827841115833</v>
      </c>
      <c r="AU20" s="96">
        <f t="shared" si="24"/>
        <v>32.876367709302606</v>
      </c>
      <c r="AV20" s="96">
        <f t="shared" si="25"/>
        <v>33.566771431197964</v>
      </c>
      <c r="AW20" s="96">
        <f t="shared" si="26"/>
        <v>34.271673631253115</v>
      </c>
      <c r="AX20" s="96">
        <f t="shared" si="27"/>
        <v>34.991378777509425</v>
      </c>
      <c r="AY20" s="96">
        <f t="shared" si="28"/>
        <v>35.726197731837132</v>
      </c>
      <c r="AZ20" s="96">
        <f t="shared" si="29"/>
        <v>36.476447884205697</v>
      </c>
      <c r="BA20" s="96">
        <f t="shared" si="30"/>
        <v>37.242453289774019</v>
      </c>
      <c r="BB20" s="96">
        <f t="shared" si="31"/>
        <v>38.024544808859275</v>
      </c>
      <c r="BC20" s="96">
        <f t="shared" si="32"/>
        <v>38.823060249845312</v>
      </c>
      <c r="BE20" s="169">
        <f t="shared" si="33"/>
        <v>34.92291704638594</v>
      </c>
      <c r="BM20" s="81" t="s">
        <v>25</v>
      </c>
      <c r="BN20" s="96">
        <f t="shared" si="34"/>
        <v>574</v>
      </c>
      <c r="BQ20" s="81" t="s">
        <v>25</v>
      </c>
      <c r="BR20" s="173">
        <f t="shared" si="2"/>
        <v>0</v>
      </c>
      <c r="BS20" s="173">
        <f t="shared" si="3"/>
        <v>0</v>
      </c>
      <c r="BT20" s="173">
        <f t="shared" si="4"/>
        <v>0</v>
      </c>
      <c r="BU20" s="173">
        <f t="shared" si="5"/>
        <v>0</v>
      </c>
      <c r="BV20" s="173">
        <f t="shared" si="6"/>
        <v>0</v>
      </c>
      <c r="BW20" s="173">
        <f t="shared" si="7"/>
        <v>0</v>
      </c>
      <c r="BX20" s="173">
        <f t="shared" si="8"/>
        <v>0</v>
      </c>
      <c r="BY20" s="173">
        <f t="shared" si="9"/>
        <v>0</v>
      </c>
      <c r="BZ20" s="173">
        <f t="shared" si="10"/>
        <v>0</v>
      </c>
      <c r="CA20" s="173">
        <f t="shared" si="11"/>
        <v>0</v>
      </c>
      <c r="CC20" s="81" t="s">
        <v>25</v>
      </c>
      <c r="CD20" s="170">
        <f t="shared" si="45"/>
        <v>36.987674013937301</v>
      </c>
      <c r="CE20" s="170">
        <f t="shared" si="35"/>
        <v>37.875378190271796</v>
      </c>
      <c r="CF20" s="170">
        <f t="shared" si="36"/>
        <v>38.670761132267501</v>
      </c>
      <c r="CG20" s="170">
        <f t="shared" si="37"/>
        <v>39.482847116045122</v>
      </c>
      <c r="CH20" s="170">
        <f t="shared" si="38"/>
        <v>40.311986905482058</v>
      </c>
      <c r="CI20" s="170">
        <f t="shared" si="39"/>
        <v>41.158538630497176</v>
      </c>
      <c r="CJ20" s="170">
        <f t="shared" si="40"/>
        <v>42.022867941737616</v>
      </c>
      <c r="CK20" s="170">
        <f t="shared" si="41"/>
        <v>42.905348168514095</v>
      </c>
      <c r="CL20" s="170">
        <f t="shared" si="42"/>
        <v>43.806360480052895</v>
      </c>
      <c r="CM20" s="170">
        <f t="shared" si="46"/>
        <v>44.726294050133994</v>
      </c>
      <c r="CN20" s="96">
        <f t="shared" si="43"/>
        <v>574</v>
      </c>
      <c r="CO20" s="225">
        <f t="shared" si="47"/>
        <v>40.233115237517076</v>
      </c>
      <c r="CP20" s="169">
        <f t="shared" si="44"/>
        <v>5.4023062374300105E-3</v>
      </c>
    </row>
    <row r="21" spans="2:103">
      <c r="B21" s="96" t="s">
        <v>36</v>
      </c>
      <c r="C21" s="96">
        <v>9252.1900000000023</v>
      </c>
      <c r="D21" s="96">
        <v>18711.370000000003</v>
      </c>
      <c r="E21" s="96">
        <v>0</v>
      </c>
      <c r="F21" s="96">
        <v>476</v>
      </c>
      <c r="P21" s="96" t="s">
        <v>58</v>
      </c>
      <c r="Q21" s="170">
        <v>208829.9199999999</v>
      </c>
      <c r="R21" s="170">
        <v>213841.8380799999</v>
      </c>
      <c r="S21" s="170">
        <v>218332.51667967989</v>
      </c>
      <c r="T21" s="170">
        <v>222917.49952995314</v>
      </c>
      <c r="U21" s="170">
        <v>227598.76702008213</v>
      </c>
      <c r="V21" s="170">
        <v>232378.34112750384</v>
      </c>
      <c r="W21" s="170">
        <v>237258.2862911814</v>
      </c>
      <c r="X21" s="170">
        <v>242240.71030329619</v>
      </c>
      <c r="Y21" s="170">
        <v>247327.76521966537</v>
      </c>
      <c r="Z21" s="170">
        <v>252521.6482892783</v>
      </c>
      <c r="AB21" s="96" t="s">
        <v>58</v>
      </c>
      <c r="AC21" s="96">
        <v>1866.6</v>
      </c>
      <c r="AE21" s="96">
        <f t="shared" si="13"/>
        <v>111.87716704168001</v>
      </c>
      <c r="AF21" s="96">
        <f t="shared" si="14"/>
        <v>114.56221905068033</v>
      </c>
      <c r="AG21" s="96">
        <f t="shared" si="15"/>
        <v>116.96802565074462</v>
      </c>
      <c r="AH21" s="96">
        <f t="shared" si="16"/>
        <v>119.42435418941024</v>
      </c>
      <c r="AI21" s="96">
        <f t="shared" si="17"/>
        <v>121.93226562738784</v>
      </c>
      <c r="AJ21" s="96">
        <f t="shared" si="18"/>
        <v>124.49284320556298</v>
      </c>
      <c r="AK21" s="96">
        <f t="shared" si="19"/>
        <v>127.10719291287978</v>
      </c>
      <c r="AL21" s="96">
        <f t="shared" si="20"/>
        <v>129.77644396405026</v>
      </c>
      <c r="AM21" s="96">
        <f t="shared" si="21"/>
        <v>132.5017492872953</v>
      </c>
      <c r="AN21" s="96">
        <f t="shared" si="22"/>
        <v>135.28428602232847</v>
      </c>
      <c r="AS21" s="96" t="s">
        <v>58</v>
      </c>
      <c r="AT21" s="96">
        <f t="shared" si="23"/>
        <v>13.727328396014137</v>
      </c>
      <c r="AU21" s="96">
        <f t="shared" si="24"/>
        <v>14.056784277518476</v>
      </c>
      <c r="AV21" s="96">
        <f t="shared" si="25"/>
        <v>14.351976747346365</v>
      </c>
      <c r="AW21" s="96">
        <f t="shared" si="26"/>
        <v>14.653368259040636</v>
      </c>
      <c r="AX21" s="96">
        <f t="shared" si="27"/>
        <v>14.961088992480487</v>
      </c>
      <c r="AY21" s="96">
        <f t="shared" si="28"/>
        <v>15.275271861322578</v>
      </c>
      <c r="AZ21" s="96">
        <f t="shared" si="29"/>
        <v>15.59605257041035</v>
      </c>
      <c r="BA21" s="96">
        <f t="shared" si="30"/>
        <v>15.923569674388967</v>
      </c>
      <c r="BB21" s="96">
        <f t="shared" si="31"/>
        <v>16.257964637551133</v>
      </c>
      <c r="BC21" s="96">
        <f t="shared" si="32"/>
        <v>16.599381894939704</v>
      </c>
      <c r="BE21" s="169">
        <f t="shared" si="33"/>
        <v>14.931817152167177</v>
      </c>
      <c r="BM21" s="81" t="s">
        <v>27</v>
      </c>
      <c r="BN21" s="96">
        <f t="shared" si="34"/>
        <v>1164</v>
      </c>
      <c r="BQ21" s="81" t="s">
        <v>27</v>
      </c>
      <c r="BR21" s="173">
        <f t="shared" si="2"/>
        <v>0</v>
      </c>
      <c r="BS21" s="173">
        <f t="shared" si="3"/>
        <v>0</v>
      </c>
      <c r="BT21" s="173">
        <f t="shared" si="4"/>
        <v>0</v>
      </c>
      <c r="BU21" s="173">
        <f t="shared" si="5"/>
        <v>0</v>
      </c>
      <c r="BV21" s="173">
        <f t="shared" si="6"/>
        <v>0</v>
      </c>
      <c r="BW21" s="173">
        <f t="shared" si="7"/>
        <v>0</v>
      </c>
      <c r="BX21" s="173">
        <f t="shared" si="8"/>
        <v>0</v>
      </c>
      <c r="BY21" s="173">
        <f t="shared" si="9"/>
        <v>0</v>
      </c>
      <c r="BZ21" s="173">
        <f t="shared" si="10"/>
        <v>0</v>
      </c>
      <c r="CA21" s="173">
        <f t="shared" si="11"/>
        <v>0</v>
      </c>
      <c r="CC21" s="81" t="s">
        <v>27</v>
      </c>
      <c r="CD21" s="170">
        <f t="shared" si="45"/>
        <v>16.87876034879725</v>
      </c>
      <c r="CE21" s="170">
        <f t="shared" si="35"/>
        <v>17.283850597168385</v>
      </c>
      <c r="CF21" s="170">
        <f t="shared" si="36"/>
        <v>17.646811459708921</v>
      </c>
      <c r="CG21" s="170">
        <f t="shared" si="37"/>
        <v>18.017394500362808</v>
      </c>
      <c r="CH21" s="170">
        <f t="shared" si="38"/>
        <v>18.395759784870421</v>
      </c>
      <c r="CI21" s="170">
        <f t="shared" si="39"/>
        <v>18.782070740352701</v>
      </c>
      <c r="CJ21" s="170">
        <f t="shared" si="40"/>
        <v>19.176494225900104</v>
      </c>
      <c r="CK21" s="170">
        <f t="shared" si="41"/>
        <v>19.579200604644008</v>
      </c>
      <c r="CL21" s="170">
        <f t="shared" si="42"/>
        <v>19.990363817341528</v>
      </c>
      <c r="CM21" s="170">
        <f t="shared" si="46"/>
        <v>20.410161457505694</v>
      </c>
      <c r="CN21" s="96">
        <f t="shared" si="43"/>
        <v>1164</v>
      </c>
      <c r="CO21" s="225">
        <f t="shared" si="47"/>
        <v>18.359767903321202</v>
      </c>
      <c r="CP21" s="169">
        <f t="shared" si="44"/>
        <v>4.9992379979458199E-3</v>
      </c>
    </row>
    <row r="22" spans="2:103">
      <c r="B22" s="96" t="s">
        <v>36</v>
      </c>
      <c r="C22" s="96">
        <v>170918.50999999992</v>
      </c>
      <c r="D22" s="96">
        <v>26727.780000000002</v>
      </c>
      <c r="E22" s="96">
        <v>327362.59000000003</v>
      </c>
      <c r="F22" s="96">
        <v>263.5</v>
      </c>
      <c r="P22" s="96" t="s">
        <v>60</v>
      </c>
      <c r="Q22" s="170">
        <v>268269.25999999995</v>
      </c>
      <c r="R22" s="170">
        <v>274707.72223999997</v>
      </c>
      <c r="S22" s="170">
        <v>280476.58440703992</v>
      </c>
      <c r="T22" s="170">
        <v>286366.59267958777</v>
      </c>
      <c r="U22" s="170">
        <v>292380.29112585902</v>
      </c>
      <c r="V22" s="170">
        <v>298520.27723950206</v>
      </c>
      <c r="W22" s="170">
        <v>304789.20306153159</v>
      </c>
      <c r="X22" s="170">
        <v>311189.77632582374</v>
      </c>
      <c r="Y22" s="170">
        <v>317724.76162866602</v>
      </c>
      <c r="Z22" s="170">
        <v>324396.98162286793</v>
      </c>
      <c r="AB22" s="96" t="s">
        <v>60</v>
      </c>
      <c r="AC22" s="96">
        <v>2440</v>
      </c>
      <c r="AE22" s="96">
        <f t="shared" si="13"/>
        <v>109.94641803278687</v>
      </c>
      <c r="AF22" s="96">
        <f t="shared" si="14"/>
        <v>112.58513206557376</v>
      </c>
      <c r="AG22" s="96">
        <f t="shared" si="15"/>
        <v>114.94941983895079</v>
      </c>
      <c r="AH22" s="96">
        <f t="shared" si="16"/>
        <v>117.36335765556876</v>
      </c>
      <c r="AI22" s="96">
        <f t="shared" si="17"/>
        <v>119.82798816633566</v>
      </c>
      <c r="AJ22" s="96">
        <f t="shared" si="18"/>
        <v>122.34437591782871</v>
      </c>
      <c r="AK22" s="96">
        <f t="shared" si="19"/>
        <v>124.91360781210311</v>
      </c>
      <c r="AL22" s="96">
        <f t="shared" si="20"/>
        <v>127.53679357615727</v>
      </c>
      <c r="AM22" s="96">
        <f t="shared" si="21"/>
        <v>130.21506624125658</v>
      </c>
      <c r="AN22" s="96">
        <f t="shared" si="22"/>
        <v>132.94958263232292</v>
      </c>
      <c r="AS22" s="96" t="s">
        <v>60</v>
      </c>
      <c r="AT22" s="96">
        <f t="shared" si="23"/>
        <v>13.490425492622949</v>
      </c>
      <c r="AU22" s="96">
        <f t="shared" si="24"/>
        <v>13.814195704445901</v>
      </c>
      <c r="AV22" s="96">
        <f t="shared" si="25"/>
        <v>14.104293814239263</v>
      </c>
      <c r="AW22" s="96">
        <f t="shared" si="26"/>
        <v>14.400483984338287</v>
      </c>
      <c r="AX22" s="96">
        <f t="shared" si="27"/>
        <v>14.702894148009385</v>
      </c>
      <c r="AY22" s="96">
        <f t="shared" si="28"/>
        <v>15.011654925117584</v>
      </c>
      <c r="AZ22" s="96">
        <f t="shared" si="29"/>
        <v>15.326899678545052</v>
      </c>
      <c r="BA22" s="96">
        <f t="shared" si="30"/>
        <v>15.648764571794496</v>
      </c>
      <c r="BB22" s="96">
        <f t="shared" si="31"/>
        <v>15.977388627802183</v>
      </c>
      <c r="BC22" s="96">
        <f t="shared" si="32"/>
        <v>16.312913788986023</v>
      </c>
      <c r="BE22" s="169">
        <f t="shared" si="33"/>
        <v>14.674127474015245</v>
      </c>
      <c r="BM22" s="81" t="s">
        <v>67</v>
      </c>
      <c r="BN22" s="96">
        <f t="shared" si="34"/>
        <v>0</v>
      </c>
      <c r="BQ22" s="81" t="s">
        <v>67</v>
      </c>
      <c r="BR22" s="173">
        <f t="shared" si="2"/>
        <v>0</v>
      </c>
      <c r="BS22" s="173">
        <f t="shared" si="3"/>
        <v>0</v>
      </c>
      <c r="BT22" s="173">
        <f t="shared" si="4"/>
        <v>0</v>
      </c>
      <c r="BU22" s="173">
        <f t="shared" si="5"/>
        <v>0</v>
      </c>
      <c r="BV22" s="173">
        <f t="shared" si="6"/>
        <v>0</v>
      </c>
      <c r="BW22" s="173">
        <f t="shared" si="7"/>
        <v>0</v>
      </c>
      <c r="BX22" s="173">
        <f t="shared" si="8"/>
        <v>0</v>
      </c>
      <c r="BY22" s="173">
        <f t="shared" si="9"/>
        <v>0</v>
      </c>
      <c r="BZ22" s="173">
        <f t="shared" si="10"/>
        <v>0</v>
      </c>
      <c r="CA22" s="173">
        <f t="shared" si="11"/>
        <v>0</v>
      </c>
      <c r="CC22" s="81" t="s">
        <v>67</v>
      </c>
      <c r="CD22" s="170">
        <f t="shared" si="45"/>
        <v>0</v>
      </c>
      <c r="CE22" s="170">
        <f t="shared" si="35"/>
        <v>0</v>
      </c>
      <c r="CF22" s="170">
        <f t="shared" si="36"/>
        <v>0</v>
      </c>
      <c r="CG22" s="170">
        <f t="shared" si="37"/>
        <v>0</v>
      </c>
      <c r="CH22" s="170">
        <f t="shared" si="38"/>
        <v>0</v>
      </c>
      <c r="CI22" s="170">
        <f t="shared" si="39"/>
        <v>0</v>
      </c>
      <c r="CJ22" s="170">
        <f t="shared" si="40"/>
        <v>0</v>
      </c>
      <c r="CK22" s="170">
        <f t="shared" si="41"/>
        <v>0</v>
      </c>
      <c r="CL22" s="170">
        <f t="shared" si="42"/>
        <v>0</v>
      </c>
      <c r="CM22" s="170">
        <f t="shared" si="46"/>
        <v>0</v>
      </c>
      <c r="CN22" s="96">
        <f t="shared" si="43"/>
        <v>0</v>
      </c>
      <c r="CO22" s="225">
        <f t="shared" si="47"/>
        <v>0</v>
      </c>
      <c r="CP22" s="169">
        <f t="shared" si="44"/>
        <v>0</v>
      </c>
    </row>
    <row r="23" spans="2:103">
      <c r="B23" s="96" t="s">
        <v>36</v>
      </c>
      <c r="C23" s="96">
        <v>612238.72000000009</v>
      </c>
      <c r="D23" s="96">
        <v>746929.51000000036</v>
      </c>
      <c r="E23" s="96">
        <v>2081.0700000000002</v>
      </c>
      <c r="F23" s="96">
        <v>5299.75</v>
      </c>
      <c r="P23" s="96" t="s">
        <v>62</v>
      </c>
      <c r="Q23" s="170">
        <v>297830.95</v>
      </c>
      <c r="R23" s="170">
        <v>304978.89280000003</v>
      </c>
      <c r="S23" s="170">
        <v>311383.44954880001</v>
      </c>
      <c r="T23" s="170">
        <v>317922.50198932475</v>
      </c>
      <c r="U23" s="170">
        <v>324598.87453110056</v>
      </c>
      <c r="V23" s="170">
        <v>331415.45089625363</v>
      </c>
      <c r="W23" s="170">
        <v>338375.17536507495</v>
      </c>
      <c r="X23" s="170">
        <v>345481.05404774146</v>
      </c>
      <c r="Y23" s="170">
        <v>352736.15618274402</v>
      </c>
      <c r="Z23" s="170">
        <v>360143.61546258157</v>
      </c>
      <c r="AB23" s="96" t="s">
        <v>62</v>
      </c>
      <c r="AC23" s="96">
        <v>2752</v>
      </c>
      <c r="AE23" s="96">
        <f t="shared" si="13"/>
        <v>108.22345566860466</v>
      </c>
      <c r="AF23" s="96">
        <f t="shared" si="14"/>
        <v>110.82081860465118</v>
      </c>
      <c r="AG23" s="96">
        <f t="shared" si="15"/>
        <v>113.14805579534884</v>
      </c>
      <c r="AH23" s="96">
        <f t="shared" si="16"/>
        <v>115.52416496705115</v>
      </c>
      <c r="AI23" s="96">
        <f t="shared" si="17"/>
        <v>117.95017243135922</v>
      </c>
      <c r="AJ23" s="96">
        <f t="shared" si="18"/>
        <v>120.42712605241775</v>
      </c>
      <c r="AK23" s="96">
        <f t="shared" si="19"/>
        <v>122.95609569951851</v>
      </c>
      <c r="AL23" s="96">
        <f t="shared" si="20"/>
        <v>125.53817370920838</v>
      </c>
      <c r="AM23" s="96">
        <f t="shared" si="21"/>
        <v>128.17447535710176</v>
      </c>
      <c r="AN23" s="96">
        <f t="shared" si="22"/>
        <v>130.86613933960086</v>
      </c>
      <c r="AS23" s="96" t="s">
        <v>62</v>
      </c>
      <c r="AT23" s="96">
        <f t="shared" si="23"/>
        <v>13.279018010537792</v>
      </c>
      <c r="AU23" s="96">
        <f t="shared" si="24"/>
        <v>13.5977144427907</v>
      </c>
      <c r="AV23" s="96">
        <f t="shared" si="25"/>
        <v>13.883266446089303</v>
      </c>
      <c r="AW23" s="96">
        <f t="shared" si="26"/>
        <v>14.174815041457176</v>
      </c>
      <c r="AX23" s="96">
        <f t="shared" si="27"/>
        <v>14.472486157327777</v>
      </c>
      <c r="AY23" s="96">
        <f t="shared" si="28"/>
        <v>14.776408366631658</v>
      </c>
      <c r="AZ23" s="96">
        <f t="shared" si="29"/>
        <v>15.086712942330921</v>
      </c>
      <c r="BA23" s="96">
        <f t="shared" si="30"/>
        <v>15.403533914119869</v>
      </c>
      <c r="BB23" s="96">
        <f t="shared" si="31"/>
        <v>15.727008126316386</v>
      </c>
      <c r="BC23" s="96">
        <f t="shared" si="32"/>
        <v>16.057275296969028</v>
      </c>
      <c r="BE23" s="169">
        <f t="shared" si="33"/>
        <v>14.444170283801006</v>
      </c>
      <c r="BM23" s="81" t="s">
        <v>69</v>
      </c>
      <c r="BN23" s="96">
        <f t="shared" si="34"/>
        <v>0</v>
      </c>
      <c r="BQ23" s="81" t="s">
        <v>69</v>
      </c>
      <c r="BR23" s="173">
        <f t="shared" si="2"/>
        <v>0</v>
      </c>
      <c r="BS23" s="173">
        <f t="shared" si="3"/>
        <v>0</v>
      </c>
      <c r="BT23" s="173">
        <f t="shared" si="4"/>
        <v>0</v>
      </c>
      <c r="BU23" s="173">
        <f t="shared" si="5"/>
        <v>0</v>
      </c>
      <c r="BV23" s="173">
        <f t="shared" si="6"/>
        <v>0</v>
      </c>
      <c r="BW23" s="173">
        <f t="shared" si="7"/>
        <v>0</v>
      </c>
      <c r="BX23" s="173">
        <f t="shared" si="8"/>
        <v>0</v>
      </c>
      <c r="BY23" s="173">
        <f t="shared" si="9"/>
        <v>0</v>
      </c>
      <c r="BZ23" s="173">
        <f t="shared" si="10"/>
        <v>0</v>
      </c>
      <c r="CA23" s="173">
        <f t="shared" si="11"/>
        <v>0</v>
      </c>
      <c r="CC23" s="81" t="s">
        <v>69</v>
      </c>
      <c r="CD23" s="170">
        <f t="shared" si="45"/>
        <v>0</v>
      </c>
      <c r="CE23" s="170">
        <f t="shared" si="35"/>
        <v>0</v>
      </c>
      <c r="CF23" s="170">
        <f t="shared" si="36"/>
        <v>0</v>
      </c>
      <c r="CG23" s="170">
        <f t="shared" si="37"/>
        <v>0</v>
      </c>
      <c r="CH23" s="170">
        <f t="shared" si="38"/>
        <v>0</v>
      </c>
      <c r="CI23" s="170">
        <f t="shared" si="39"/>
        <v>0</v>
      </c>
      <c r="CJ23" s="170">
        <f t="shared" si="40"/>
        <v>0</v>
      </c>
      <c r="CK23" s="170">
        <f t="shared" si="41"/>
        <v>0</v>
      </c>
      <c r="CL23" s="170">
        <f t="shared" si="42"/>
        <v>0</v>
      </c>
      <c r="CM23" s="170">
        <f t="shared" si="46"/>
        <v>0</v>
      </c>
      <c r="CN23" s="96">
        <f t="shared" si="43"/>
        <v>0</v>
      </c>
      <c r="CO23" s="225">
        <f t="shared" si="47"/>
        <v>0</v>
      </c>
      <c r="CP23" s="169">
        <f t="shared" si="44"/>
        <v>0</v>
      </c>
    </row>
    <row r="24" spans="2:103">
      <c r="B24" s="96" t="s">
        <v>36</v>
      </c>
      <c r="C24" s="96">
        <v>0</v>
      </c>
      <c r="D24" s="96">
        <v>0</v>
      </c>
      <c r="E24" s="96">
        <v>0</v>
      </c>
      <c r="F24" s="96">
        <v>361.25</v>
      </c>
      <c r="P24" s="96" t="s">
        <v>21</v>
      </c>
      <c r="Q24" s="170">
        <v>30456.7</v>
      </c>
      <c r="R24" s="170">
        <v>31187.660800000001</v>
      </c>
      <c r="S24" s="170">
        <v>31842.601676800001</v>
      </c>
      <c r="T24" s="170">
        <v>32511.296312012797</v>
      </c>
      <c r="U24" s="170">
        <v>33194.03353456506</v>
      </c>
      <c r="V24" s="170">
        <v>33891.108238790926</v>
      </c>
      <c r="W24" s="170">
        <v>34602.82151180553</v>
      </c>
      <c r="X24" s="170">
        <v>35329.480763553445</v>
      </c>
      <c r="Y24" s="170">
        <v>36071.399859588062</v>
      </c>
      <c r="Z24" s="170">
        <v>36828.899256639408</v>
      </c>
      <c r="AB24" s="96" t="s">
        <v>21</v>
      </c>
      <c r="AC24" s="96">
        <v>214</v>
      </c>
      <c r="AE24" s="96">
        <f t="shared" si="13"/>
        <v>142.32102803738317</v>
      </c>
      <c r="AF24" s="96">
        <f t="shared" si="14"/>
        <v>145.73673271028039</v>
      </c>
      <c r="AG24" s="96">
        <f t="shared" si="15"/>
        <v>148.79720409719627</v>
      </c>
      <c r="AH24" s="96">
        <f t="shared" si="16"/>
        <v>151.92194538323736</v>
      </c>
      <c r="AI24" s="96">
        <f t="shared" si="17"/>
        <v>155.11230623628532</v>
      </c>
      <c r="AJ24" s="96">
        <f t="shared" si="18"/>
        <v>158.36966466724732</v>
      </c>
      <c r="AK24" s="96">
        <f t="shared" si="19"/>
        <v>161.6954276252595</v>
      </c>
      <c r="AL24" s="96">
        <f t="shared" si="20"/>
        <v>165.09103160538993</v>
      </c>
      <c r="AM24" s="96">
        <f t="shared" si="21"/>
        <v>168.55794326910311</v>
      </c>
      <c r="AN24" s="96">
        <f t="shared" si="22"/>
        <v>172.09766007775426</v>
      </c>
      <c r="AS24" s="96" t="s">
        <v>21</v>
      </c>
      <c r="AT24" s="96">
        <f t="shared" si="23"/>
        <v>17.462790140186915</v>
      </c>
      <c r="AU24" s="96">
        <f t="shared" si="24"/>
        <v>17.881897103551406</v>
      </c>
      <c r="AV24" s="96">
        <f t="shared" si="25"/>
        <v>18.257416942725982</v>
      </c>
      <c r="AW24" s="96">
        <f t="shared" si="26"/>
        <v>18.640822698523223</v>
      </c>
      <c r="AX24" s="96">
        <f t="shared" si="27"/>
        <v>19.03227997519221</v>
      </c>
      <c r="AY24" s="96">
        <f t="shared" si="28"/>
        <v>19.431957854671246</v>
      </c>
      <c r="AZ24" s="96">
        <f t="shared" si="29"/>
        <v>19.84002896961934</v>
      </c>
      <c r="BA24" s="96">
        <f t="shared" si="30"/>
        <v>20.256669577981345</v>
      </c>
      <c r="BB24" s="96">
        <f t="shared" si="31"/>
        <v>20.68205963911895</v>
      </c>
      <c r="BC24" s="96">
        <f t="shared" si="32"/>
        <v>21.116382891540447</v>
      </c>
      <c r="BE24" s="169">
        <f t="shared" si="33"/>
        <v>18.99504272190724</v>
      </c>
      <c r="BM24" s="81" t="s">
        <v>28</v>
      </c>
      <c r="BN24" s="96">
        <f t="shared" si="34"/>
        <v>500</v>
      </c>
      <c r="BQ24" s="81" t="s">
        <v>28</v>
      </c>
      <c r="BR24" s="173">
        <f t="shared" si="2"/>
        <v>0</v>
      </c>
      <c r="BS24" s="173">
        <f t="shared" si="3"/>
        <v>0</v>
      </c>
      <c r="BT24" s="173">
        <f t="shared" si="4"/>
        <v>0</v>
      </c>
      <c r="BU24" s="173">
        <f t="shared" si="5"/>
        <v>0</v>
      </c>
      <c r="BV24" s="173">
        <f t="shared" si="6"/>
        <v>0</v>
      </c>
      <c r="BW24" s="173">
        <f t="shared" si="7"/>
        <v>0</v>
      </c>
      <c r="BX24" s="173">
        <f t="shared" si="8"/>
        <v>0</v>
      </c>
      <c r="BY24" s="173">
        <f t="shared" si="9"/>
        <v>0</v>
      </c>
      <c r="BZ24" s="173">
        <f t="shared" si="10"/>
        <v>0</v>
      </c>
      <c r="CA24" s="173">
        <f t="shared" si="11"/>
        <v>0</v>
      </c>
      <c r="CC24" s="81" t="s">
        <v>28</v>
      </c>
      <c r="CD24" s="170">
        <f t="shared" si="45"/>
        <v>21.589300112000004</v>
      </c>
      <c r="CE24" s="170">
        <f t="shared" si="35"/>
        <v>22.107443314688002</v>
      </c>
      <c r="CF24" s="170">
        <f t="shared" si="36"/>
        <v>22.57169962429645</v>
      </c>
      <c r="CG24" s="170">
        <f t="shared" si="37"/>
        <v>23.045705316406675</v>
      </c>
      <c r="CH24" s="170">
        <f t="shared" si="38"/>
        <v>23.529665128051214</v>
      </c>
      <c r="CI24" s="170">
        <f t="shared" si="39"/>
        <v>24.023788095740287</v>
      </c>
      <c r="CJ24" s="170">
        <f t="shared" si="40"/>
        <v>24.528287645750829</v>
      </c>
      <c r="CK24" s="170">
        <f t="shared" si="41"/>
        <v>25.043381686311591</v>
      </c>
      <c r="CL24" s="170">
        <f t="shared" si="42"/>
        <v>25.569292701724134</v>
      </c>
      <c r="CM24" s="170">
        <f t="shared" si="46"/>
        <v>26.106247848460338</v>
      </c>
      <c r="CN24" s="96">
        <f t="shared" si="43"/>
        <v>500</v>
      </c>
      <c r="CO24" s="225">
        <f t="shared" si="47"/>
        <v>23.483628599520422</v>
      </c>
      <c r="CP24" s="169">
        <f t="shared" si="44"/>
        <v>2.7467482291527938E-3</v>
      </c>
    </row>
    <row r="25" spans="2:103">
      <c r="B25" s="96" t="s">
        <v>36</v>
      </c>
      <c r="C25" s="96">
        <v>0</v>
      </c>
      <c r="D25" s="96">
        <v>0</v>
      </c>
      <c r="E25" s="96">
        <v>113559.3</v>
      </c>
      <c r="F25" s="96">
        <v>361.25</v>
      </c>
      <c r="P25" s="96" t="s">
        <v>21</v>
      </c>
      <c r="Q25" s="170">
        <v>27136.219999999998</v>
      </c>
      <c r="R25" s="170">
        <v>27787.489279999998</v>
      </c>
      <c r="S25" s="170">
        <v>28371.026554879998</v>
      </c>
      <c r="T25" s="170">
        <v>28966.818112532474</v>
      </c>
      <c r="U25" s="170">
        <v>29575.121292895652</v>
      </c>
      <c r="V25" s="170">
        <v>30196.198840046458</v>
      </c>
      <c r="W25" s="170">
        <v>30830.31901568743</v>
      </c>
      <c r="X25" s="170">
        <v>31477.755715016865</v>
      </c>
      <c r="Y25" s="170">
        <v>32138.788585032216</v>
      </c>
      <c r="Z25" s="170">
        <v>32813.703145317886</v>
      </c>
      <c r="AB25" s="96" t="s">
        <v>21</v>
      </c>
      <c r="AC25" s="96">
        <v>313</v>
      </c>
      <c r="AE25" s="96">
        <f t="shared" si="13"/>
        <v>86.697188498402554</v>
      </c>
      <c r="AF25" s="96">
        <f t="shared" si="14"/>
        <v>88.777921022364211</v>
      </c>
      <c r="AG25" s="96">
        <f t="shared" si="15"/>
        <v>90.642257363833863</v>
      </c>
      <c r="AH25" s="96">
        <f t="shared" si="16"/>
        <v>92.54574476847435</v>
      </c>
      <c r="AI25" s="96">
        <f t="shared" si="17"/>
        <v>94.489205408612307</v>
      </c>
      <c r="AJ25" s="96">
        <f t="shared" si="18"/>
        <v>96.47347872219315</v>
      </c>
      <c r="AK25" s="96">
        <f t="shared" si="19"/>
        <v>98.499421775359195</v>
      </c>
      <c r="AL25" s="96">
        <f t="shared" si="20"/>
        <v>100.56790963264174</v>
      </c>
      <c r="AM25" s="96">
        <f t="shared" si="21"/>
        <v>102.67983573492721</v>
      </c>
      <c r="AN25" s="96">
        <f t="shared" si="22"/>
        <v>104.83611228536066</v>
      </c>
      <c r="AS25" s="96" t="s">
        <v>21</v>
      </c>
      <c r="AT25" s="96">
        <f t="shared" si="23"/>
        <v>10.637745028753994</v>
      </c>
      <c r="AU25" s="96">
        <f t="shared" si="24"/>
        <v>10.893050909444089</v>
      </c>
      <c r="AV25" s="96">
        <f t="shared" si="25"/>
        <v>11.121804978542416</v>
      </c>
      <c r="AW25" s="96">
        <f t="shared" si="26"/>
        <v>11.355362883091804</v>
      </c>
      <c r="AX25" s="96">
        <f t="shared" si="27"/>
        <v>11.593825503636731</v>
      </c>
      <c r="AY25" s="96">
        <f t="shared" si="28"/>
        <v>11.8372958392131</v>
      </c>
      <c r="AZ25" s="96">
        <f t="shared" si="29"/>
        <v>12.085879051836574</v>
      </c>
      <c r="BA25" s="96">
        <f t="shared" si="30"/>
        <v>12.339682511925142</v>
      </c>
      <c r="BB25" s="96">
        <f t="shared" si="31"/>
        <v>12.598815844675569</v>
      </c>
      <c r="BC25" s="96">
        <f t="shared" si="32"/>
        <v>12.863390977413752</v>
      </c>
      <c r="BE25" s="169">
        <f t="shared" si="33"/>
        <v>11.571141820053709</v>
      </c>
      <c r="BM25" s="175" t="s">
        <v>29</v>
      </c>
      <c r="BN25" s="176">
        <f>SUMIFS($AC$137:$AC$266,$AB$137:$AB$266,$BM25)+AC19</f>
        <v>2091</v>
      </c>
      <c r="BQ25" s="81" t="s">
        <v>29</v>
      </c>
      <c r="BR25" s="173">
        <f t="shared" si="2"/>
        <v>12.964978168124997</v>
      </c>
      <c r="BS25" s="173">
        <f t="shared" si="3"/>
        <v>13.276137644159999</v>
      </c>
      <c r="BT25" s="173">
        <f t="shared" si="4"/>
        <v>13.554936534687357</v>
      </c>
      <c r="BU25" s="173">
        <f t="shared" si="5"/>
        <v>13.839590201915792</v>
      </c>
      <c r="BV25" s="173">
        <f t="shared" si="6"/>
        <v>14.130221596156021</v>
      </c>
      <c r="BW25" s="173">
        <f t="shared" si="7"/>
        <v>14.426956249675298</v>
      </c>
      <c r="BX25" s="173">
        <f t="shared" si="8"/>
        <v>14.729922330918477</v>
      </c>
      <c r="BY25" s="173">
        <f t="shared" si="9"/>
        <v>15.039250699867763</v>
      </c>
      <c r="BZ25" s="173">
        <f t="shared" si="10"/>
        <v>15.355074964564984</v>
      </c>
      <c r="CA25" s="173">
        <f t="shared" si="11"/>
        <v>15.677531538820848</v>
      </c>
      <c r="CC25" s="81" t="s">
        <v>29</v>
      </c>
      <c r="CD25" s="170">
        <f t="shared" si="45"/>
        <v>29.632124057398528</v>
      </c>
      <c r="CE25" s="170">
        <f t="shared" si="35"/>
        <v>30.343295034776091</v>
      </c>
      <c r="CF25" s="170">
        <f t="shared" si="36"/>
        <v>30.980504230506391</v>
      </c>
      <c r="CG25" s="170">
        <f t="shared" si="37"/>
        <v>31.63109481934702</v>
      </c>
      <c r="CH25" s="170">
        <f t="shared" si="38"/>
        <v>32.295347810553302</v>
      </c>
      <c r="CI25" s="170">
        <f t="shared" si="39"/>
        <v>32.973550114574927</v>
      </c>
      <c r="CJ25" s="170">
        <f t="shared" si="40"/>
        <v>33.665994666980993</v>
      </c>
      <c r="CK25" s="170">
        <f t="shared" si="41"/>
        <v>34.372980554987592</v>
      </c>
      <c r="CL25" s="170">
        <f t="shared" si="42"/>
        <v>35.094813146642323</v>
      </c>
      <c r="CM25" s="170">
        <f t="shared" si="46"/>
        <v>35.831804222721807</v>
      </c>
      <c r="CN25" s="96">
        <f t="shared" si="43"/>
        <v>2091</v>
      </c>
      <c r="CO25" s="225">
        <f t="shared" si="47"/>
        <v>32.232160948657857</v>
      </c>
      <c r="CP25" s="169">
        <f t="shared" si="44"/>
        <v>1.5766202539964379E-2</v>
      </c>
    </row>
    <row r="26" spans="2:103">
      <c r="B26" s="96" t="s">
        <v>36</v>
      </c>
      <c r="C26" s="96">
        <v>0</v>
      </c>
      <c r="D26" s="96">
        <v>0</v>
      </c>
      <c r="E26" s="96">
        <v>114537.1</v>
      </c>
      <c r="F26" s="96">
        <v>361.25</v>
      </c>
      <c r="P26" s="96" t="s">
        <v>21</v>
      </c>
      <c r="Q26" s="170">
        <v>1088.8699999999999</v>
      </c>
      <c r="R26" s="170">
        <v>1115.00288</v>
      </c>
      <c r="S26" s="170">
        <v>1138.41794048</v>
      </c>
      <c r="T26" s="170">
        <v>1162.3247172300796</v>
      </c>
      <c r="U26" s="170">
        <v>1186.7335362919112</v>
      </c>
      <c r="V26" s="170">
        <v>1211.6549405540413</v>
      </c>
      <c r="W26" s="170">
        <v>1237.0996943056759</v>
      </c>
      <c r="X26" s="170">
        <v>1263.0787878860951</v>
      </c>
      <c r="Y26" s="170">
        <v>1289.6034424317031</v>
      </c>
      <c r="Z26" s="170">
        <v>1316.6851147227685</v>
      </c>
      <c r="AB26" s="96" t="s">
        <v>21</v>
      </c>
      <c r="AC26" s="96">
        <v>400</v>
      </c>
      <c r="AE26" s="96">
        <f t="shared" si="13"/>
        <v>2.7221749999999996</v>
      </c>
      <c r="AF26" s="96">
        <f t="shared" si="14"/>
        <v>2.7875071999999999</v>
      </c>
      <c r="AG26" s="96">
        <f t="shared" si="15"/>
        <v>2.8460448511999998</v>
      </c>
      <c r="AH26" s="96">
        <f t="shared" si="16"/>
        <v>2.9058117930751992</v>
      </c>
      <c r="AI26" s="96">
        <f t="shared" si="17"/>
        <v>2.9668338407297781</v>
      </c>
      <c r="AJ26" s="96">
        <f t="shared" si="18"/>
        <v>3.0291373513851032</v>
      </c>
      <c r="AK26" s="96">
        <f t="shared" si="19"/>
        <v>3.0927492357641899</v>
      </c>
      <c r="AL26" s="96">
        <f t="shared" si="20"/>
        <v>3.1576969697152379</v>
      </c>
      <c r="AM26" s="96">
        <f t="shared" si="21"/>
        <v>3.2240086060792579</v>
      </c>
      <c r="AN26" s="96">
        <f t="shared" si="22"/>
        <v>3.2917127868069214</v>
      </c>
      <c r="AS26" s="96" t="s">
        <v>21</v>
      </c>
      <c r="AT26" s="96">
        <f t="shared" si="23"/>
        <v>0.33401087249999994</v>
      </c>
      <c r="AU26" s="96">
        <f t="shared" si="24"/>
        <v>0.34202713343999996</v>
      </c>
      <c r="AV26" s="96">
        <f t="shared" si="25"/>
        <v>0.34920970324223999</v>
      </c>
      <c r="AW26" s="96">
        <f t="shared" si="26"/>
        <v>0.35654310701032693</v>
      </c>
      <c r="AX26" s="96">
        <f t="shared" si="27"/>
        <v>0.36403051225754379</v>
      </c>
      <c r="AY26" s="96">
        <f t="shared" si="28"/>
        <v>0.37167515301495219</v>
      </c>
      <c r="AZ26" s="96">
        <f t="shared" si="29"/>
        <v>0.37948033122826613</v>
      </c>
      <c r="BA26" s="96">
        <f t="shared" si="30"/>
        <v>0.3874494181840597</v>
      </c>
      <c r="BB26" s="96">
        <f t="shared" si="31"/>
        <v>0.39558585596592494</v>
      </c>
      <c r="BC26" s="96">
        <f t="shared" si="32"/>
        <v>0.40389315894120925</v>
      </c>
      <c r="BE26" s="169">
        <f t="shared" si="33"/>
        <v>0.36331827513166809</v>
      </c>
      <c r="BM26" s="81" t="s">
        <v>30</v>
      </c>
      <c r="BN26" s="96">
        <f t="shared" si="34"/>
        <v>810</v>
      </c>
      <c r="BQ26" s="81" t="s">
        <v>30</v>
      </c>
      <c r="BR26" s="173">
        <f t="shared" si="2"/>
        <v>0</v>
      </c>
      <c r="BS26" s="173">
        <f t="shared" si="3"/>
        <v>0</v>
      </c>
      <c r="BT26" s="173">
        <f t="shared" si="4"/>
        <v>0</v>
      </c>
      <c r="BU26" s="173">
        <f t="shared" si="5"/>
        <v>0</v>
      </c>
      <c r="BV26" s="173">
        <f t="shared" si="6"/>
        <v>0</v>
      </c>
      <c r="BW26" s="173">
        <f t="shared" si="7"/>
        <v>0</v>
      </c>
      <c r="BX26" s="173">
        <f t="shared" si="8"/>
        <v>0</v>
      </c>
      <c r="BY26" s="173">
        <f t="shared" si="9"/>
        <v>0</v>
      </c>
      <c r="BZ26" s="173">
        <f t="shared" si="10"/>
        <v>0</v>
      </c>
      <c r="CA26" s="173">
        <f t="shared" si="11"/>
        <v>0</v>
      </c>
      <c r="CC26" s="81" t="s">
        <v>30</v>
      </c>
      <c r="CD26" s="170">
        <f t="shared" si="45"/>
        <v>54.420710896296271</v>
      </c>
      <c r="CE26" s="170">
        <f t="shared" si="35"/>
        <v>55.726807957807388</v>
      </c>
      <c r="CF26" s="170">
        <f t="shared" si="36"/>
        <v>56.897070924921337</v>
      </c>
      <c r="CG26" s="170">
        <f t="shared" si="37"/>
        <v>58.091909414344677</v>
      </c>
      <c r="CH26" s="170">
        <f t="shared" si="38"/>
        <v>59.311839512045907</v>
      </c>
      <c r="CI26" s="170">
        <f t="shared" si="39"/>
        <v>60.557388141798874</v>
      </c>
      <c r="CJ26" s="170">
        <f t="shared" si="40"/>
        <v>61.829093292776641</v>
      </c>
      <c r="CK26" s="170">
        <f t="shared" si="41"/>
        <v>63.12750425192494</v>
      </c>
      <c r="CL26" s="170">
        <f t="shared" si="42"/>
        <v>64.453181841215354</v>
      </c>
      <c r="CM26" s="170">
        <f t="shared" si="46"/>
        <v>65.806698659880865</v>
      </c>
      <c r="CN26" s="96">
        <f t="shared" si="43"/>
        <v>810</v>
      </c>
      <c r="CO26" s="225">
        <f t="shared" si="47"/>
        <v>59.195794035960724</v>
      </c>
      <c r="CP26" s="169">
        <f t="shared" si="44"/>
        <v>1.1216555637433321E-2</v>
      </c>
    </row>
    <row r="27" spans="2:103">
      <c r="B27" s="96" t="s">
        <v>36</v>
      </c>
      <c r="C27" s="96">
        <v>0</v>
      </c>
      <c r="D27" s="96">
        <v>0</v>
      </c>
      <c r="E27" s="96">
        <v>114196.4</v>
      </c>
      <c r="F27" s="96">
        <v>361.25</v>
      </c>
      <c r="P27" s="96" t="s">
        <v>23</v>
      </c>
      <c r="Q27" s="170">
        <v>663938.76</v>
      </c>
      <c r="R27" s="170">
        <v>679873.29024</v>
      </c>
      <c r="S27" s="170">
        <v>694150.62933503999</v>
      </c>
      <c r="T27" s="170">
        <v>708727.79255107581</v>
      </c>
      <c r="U27" s="170">
        <v>723611.07619464828</v>
      </c>
      <c r="V27" s="170">
        <v>738806.90879473579</v>
      </c>
      <c r="W27" s="170">
        <v>754321.85387942521</v>
      </c>
      <c r="X27" s="170">
        <v>770162.6128108931</v>
      </c>
      <c r="Y27" s="170">
        <v>786336.02767992171</v>
      </c>
      <c r="Z27" s="170">
        <v>802849.08426119993</v>
      </c>
      <c r="AB27" s="96" t="s">
        <v>23</v>
      </c>
      <c r="AC27" s="96">
        <v>1177.25</v>
      </c>
      <c r="AE27" s="96">
        <f t="shared" si="13"/>
        <v>563.97431301762583</v>
      </c>
      <c r="AF27" s="96">
        <f t="shared" si="14"/>
        <v>577.50969653004881</v>
      </c>
      <c r="AG27" s="96">
        <f t="shared" si="15"/>
        <v>589.63740015717985</v>
      </c>
      <c r="AH27" s="96">
        <f t="shared" si="16"/>
        <v>602.01978556048061</v>
      </c>
      <c r="AI27" s="96">
        <f t="shared" si="17"/>
        <v>614.66220105725063</v>
      </c>
      <c r="AJ27" s="96">
        <f t="shared" si="18"/>
        <v>627.57010727945283</v>
      </c>
      <c r="AK27" s="96">
        <f t="shared" si="19"/>
        <v>640.74907953232128</v>
      </c>
      <c r="AL27" s="96">
        <f t="shared" si="20"/>
        <v>654.20481020249997</v>
      </c>
      <c r="AM27" s="96">
        <f t="shared" si="21"/>
        <v>667.9431112167523</v>
      </c>
      <c r="AN27" s="96">
        <f t="shared" si="22"/>
        <v>681.96991655230408</v>
      </c>
      <c r="AS27" s="96" t="s">
        <v>23</v>
      </c>
      <c r="AT27" s="96">
        <f t="shared" si="23"/>
        <v>69.199648207262697</v>
      </c>
      <c r="AU27" s="96">
        <f t="shared" si="24"/>
        <v>70.860439764236986</v>
      </c>
      <c r="AV27" s="96">
        <f t="shared" si="25"/>
        <v>72.348508999285968</v>
      </c>
      <c r="AW27" s="96">
        <f t="shared" si="26"/>
        <v>73.867827688270978</v>
      </c>
      <c r="AX27" s="96">
        <f t="shared" si="27"/>
        <v>75.419052069724657</v>
      </c>
      <c r="AY27" s="96">
        <f t="shared" si="28"/>
        <v>77.002852163188862</v>
      </c>
      <c r="AZ27" s="96">
        <f t="shared" si="29"/>
        <v>78.619912058615824</v>
      </c>
      <c r="BA27" s="96">
        <f t="shared" si="30"/>
        <v>80.270930211846746</v>
      </c>
      <c r="BB27" s="96">
        <f t="shared" si="31"/>
        <v>81.956619746295516</v>
      </c>
      <c r="BC27" s="96">
        <f t="shared" si="32"/>
        <v>83.677708760967718</v>
      </c>
      <c r="BE27" s="169">
        <f t="shared" si="33"/>
        <v>75.271492326588586</v>
      </c>
      <c r="BM27" s="81" t="s">
        <v>70</v>
      </c>
      <c r="BN27" s="96">
        <f t="shared" si="34"/>
        <v>0</v>
      </c>
      <c r="BQ27" s="81" t="s">
        <v>70</v>
      </c>
      <c r="BR27" s="173">
        <f t="shared" si="2"/>
        <v>0</v>
      </c>
      <c r="BS27" s="173">
        <f t="shared" si="3"/>
        <v>0</v>
      </c>
      <c r="BT27" s="173">
        <f t="shared" si="4"/>
        <v>0</v>
      </c>
      <c r="BU27" s="173">
        <f t="shared" si="5"/>
        <v>0</v>
      </c>
      <c r="BV27" s="173">
        <f t="shared" si="6"/>
        <v>0</v>
      </c>
      <c r="BW27" s="173">
        <f t="shared" si="7"/>
        <v>0</v>
      </c>
      <c r="BX27" s="173">
        <f t="shared" si="8"/>
        <v>0</v>
      </c>
      <c r="BY27" s="173">
        <f t="shared" si="9"/>
        <v>0</v>
      </c>
      <c r="BZ27" s="173">
        <f t="shared" si="10"/>
        <v>0</v>
      </c>
      <c r="CA27" s="173">
        <f t="shared" si="11"/>
        <v>0</v>
      </c>
      <c r="CC27" s="81" t="s">
        <v>70</v>
      </c>
      <c r="CD27" s="170">
        <f t="shared" si="45"/>
        <v>0</v>
      </c>
      <c r="CE27" s="170">
        <f t="shared" si="35"/>
        <v>0</v>
      </c>
      <c r="CF27" s="170">
        <f t="shared" si="36"/>
        <v>0</v>
      </c>
      <c r="CG27" s="170">
        <f t="shared" si="37"/>
        <v>0</v>
      </c>
      <c r="CH27" s="170">
        <f t="shared" si="38"/>
        <v>0</v>
      </c>
      <c r="CI27" s="170">
        <f t="shared" si="39"/>
        <v>0</v>
      </c>
      <c r="CJ27" s="170">
        <f t="shared" si="40"/>
        <v>0</v>
      </c>
      <c r="CK27" s="170">
        <f t="shared" si="41"/>
        <v>0</v>
      </c>
      <c r="CL27" s="170">
        <f t="shared" si="42"/>
        <v>0</v>
      </c>
      <c r="CM27" s="170">
        <f t="shared" si="46"/>
        <v>0</v>
      </c>
      <c r="CN27" s="96">
        <f t="shared" si="43"/>
        <v>0</v>
      </c>
      <c r="CO27" s="225">
        <f t="shared" si="47"/>
        <v>0</v>
      </c>
      <c r="CP27" s="169">
        <f t="shared" si="44"/>
        <v>0</v>
      </c>
    </row>
    <row r="28" spans="2:103">
      <c r="B28" s="96" t="s">
        <v>36</v>
      </c>
      <c r="C28" s="96">
        <v>0</v>
      </c>
      <c r="D28" s="96">
        <v>0</v>
      </c>
      <c r="E28" s="96">
        <v>147039.6</v>
      </c>
      <c r="F28" s="96">
        <v>361.25</v>
      </c>
      <c r="P28" s="96" t="s">
        <v>34</v>
      </c>
      <c r="Q28" s="170">
        <v>155872.25000000003</v>
      </c>
      <c r="R28" s="170">
        <v>159613.18400000004</v>
      </c>
      <c r="S28" s="170">
        <v>162965.06086400003</v>
      </c>
      <c r="T28" s="170">
        <v>166387.327142144</v>
      </c>
      <c r="U28" s="170">
        <v>169881.461012129</v>
      </c>
      <c r="V28" s="170">
        <v>173448.9716933837</v>
      </c>
      <c r="W28" s="170">
        <v>177091.40009894475</v>
      </c>
      <c r="X28" s="170">
        <v>180810.31950102258</v>
      </c>
      <c r="Y28" s="170">
        <v>184607.33621054402</v>
      </c>
      <c r="Z28" s="170">
        <v>188484.09027096542</v>
      </c>
      <c r="AB28" s="96" t="s">
        <v>34</v>
      </c>
      <c r="AC28" s="96">
        <v>1057.3999999999999</v>
      </c>
      <c r="AE28" s="96">
        <f t="shared" si="13"/>
        <v>147.41086627577081</v>
      </c>
      <c r="AF28" s="96">
        <f t="shared" si="14"/>
        <v>150.94872706638932</v>
      </c>
      <c r="AG28" s="96">
        <f t="shared" si="15"/>
        <v>154.11865033478347</v>
      </c>
      <c r="AH28" s="96">
        <f t="shared" si="16"/>
        <v>157.35514199181389</v>
      </c>
      <c r="AI28" s="96">
        <f t="shared" si="17"/>
        <v>160.65959997364197</v>
      </c>
      <c r="AJ28" s="96">
        <f t="shared" si="18"/>
        <v>164.03345157308846</v>
      </c>
      <c r="AK28" s="96">
        <f t="shared" si="19"/>
        <v>167.47815405612329</v>
      </c>
      <c r="AL28" s="96">
        <f t="shared" si="20"/>
        <v>170.99519529130188</v>
      </c>
      <c r="AM28" s="96">
        <f t="shared" si="21"/>
        <v>174.58609439241917</v>
      </c>
      <c r="AN28" s="96">
        <f t="shared" si="22"/>
        <v>178.25240237465997</v>
      </c>
      <c r="AS28" s="96" t="s">
        <v>34</v>
      </c>
      <c r="AT28" s="96">
        <f t="shared" si="23"/>
        <v>18.087313292037081</v>
      </c>
      <c r="AU28" s="96">
        <f t="shared" si="24"/>
        <v>18.521408811045969</v>
      </c>
      <c r="AV28" s="96">
        <f t="shared" si="25"/>
        <v>18.910358396077932</v>
      </c>
      <c r="AW28" s="96">
        <f t="shared" si="26"/>
        <v>19.307475922395565</v>
      </c>
      <c r="AX28" s="96">
        <f t="shared" si="27"/>
        <v>19.712932916765872</v>
      </c>
      <c r="AY28" s="96">
        <f t="shared" si="28"/>
        <v>20.126904508017954</v>
      </c>
      <c r="AZ28" s="96">
        <f t="shared" si="29"/>
        <v>20.549569502686328</v>
      </c>
      <c r="BA28" s="96">
        <f t="shared" si="30"/>
        <v>20.981110462242743</v>
      </c>
      <c r="BB28" s="96">
        <f t="shared" si="31"/>
        <v>21.421713781949833</v>
      </c>
      <c r="BC28" s="96">
        <f t="shared" si="32"/>
        <v>21.87156977137078</v>
      </c>
      <c r="BE28" s="169">
        <f t="shared" si="33"/>
        <v>19.674363944631789</v>
      </c>
      <c r="BM28" s="175" t="s">
        <v>31</v>
      </c>
      <c r="BN28" s="176">
        <f>SUMIFS($AC$137:$AC$266,$AB$137:$AB$266,$BM28)+AC37+AC35</f>
        <v>9726</v>
      </c>
      <c r="BQ28" s="81" t="s">
        <v>31</v>
      </c>
      <c r="BR28" s="173">
        <f t="shared" si="2"/>
        <v>58.585452557372001</v>
      </c>
      <c r="BS28" s="173">
        <f t="shared" si="3"/>
        <v>59.99150341874892</v>
      </c>
      <c r="BT28" s="173">
        <f t="shared" si="4"/>
        <v>61.251324990542656</v>
      </c>
      <c r="BU28" s="173">
        <f t="shared" si="5"/>
        <v>62.537602815344044</v>
      </c>
      <c r="BV28" s="173">
        <f t="shared" si="6"/>
        <v>63.850892474466256</v>
      </c>
      <c r="BW28" s="173">
        <f t="shared" si="7"/>
        <v>65.191761216430052</v>
      </c>
      <c r="BX28" s="173">
        <f t="shared" si="8"/>
        <v>66.560788201975058</v>
      </c>
      <c r="BY28" s="173">
        <f t="shared" si="9"/>
        <v>67.958564754216525</v>
      </c>
      <c r="BZ28" s="173">
        <f t="shared" si="10"/>
        <v>69.385694614055069</v>
      </c>
      <c r="CA28" s="173">
        <f t="shared" si="11"/>
        <v>70.842794200950209</v>
      </c>
      <c r="CC28" s="81" t="s">
        <v>31</v>
      </c>
      <c r="CD28" s="170">
        <f t="shared" si="45"/>
        <v>98.626084730425674</v>
      </c>
      <c r="CE28" s="170">
        <f t="shared" si="35"/>
        <v>109.46974805209148</v>
      </c>
      <c r="CF28" s="170">
        <f t="shared" si="36"/>
        <v>120.42325943237185</v>
      </c>
      <c r="CG28" s="170">
        <f t="shared" si="37"/>
        <v>129.57944356891267</v>
      </c>
      <c r="CH28" s="170">
        <f t="shared" si="38"/>
        <v>151.47227376129609</v>
      </c>
      <c r="CI28" s="170">
        <f t="shared" si="39"/>
        <v>171.92460337222079</v>
      </c>
      <c r="CJ28" s="170">
        <f t="shared" si="40"/>
        <v>175.53502004303741</v>
      </c>
      <c r="CK28" s="170">
        <f t="shared" si="41"/>
        <v>179.22125546394116</v>
      </c>
      <c r="CL28" s="170">
        <f t="shared" si="42"/>
        <v>182.98490182868392</v>
      </c>
      <c r="CM28" s="170">
        <f t="shared" si="46"/>
        <v>186.82758476708625</v>
      </c>
      <c r="CN28" s="96">
        <f t="shared" si="43"/>
        <v>9726</v>
      </c>
      <c r="CO28" s="225">
        <f t="shared" si="47"/>
        <v>143.43945748196464</v>
      </c>
      <c r="CP28" s="169">
        <f t="shared" si="44"/>
        <v>0.32635220006786231</v>
      </c>
      <c r="CR28" s="173"/>
      <c r="CS28" s="173"/>
      <c r="CT28" s="173"/>
      <c r="CU28" s="173"/>
      <c r="CV28" s="173"/>
      <c r="CW28" s="173"/>
      <c r="CX28" s="173"/>
      <c r="CY28" s="173"/>
    </row>
    <row r="29" spans="2:103">
      <c r="B29" s="96" t="s">
        <v>36</v>
      </c>
      <c r="C29" s="96">
        <v>0</v>
      </c>
      <c r="D29" s="96">
        <v>0</v>
      </c>
      <c r="E29" s="96">
        <v>154280</v>
      </c>
      <c r="F29" s="96">
        <v>361.25</v>
      </c>
      <c r="P29" s="96" t="s">
        <v>34</v>
      </c>
      <c r="Q29" s="170">
        <v>192636.25999999998</v>
      </c>
      <c r="R29" s="170">
        <v>197259.53023999999</v>
      </c>
      <c r="S29" s="170">
        <v>201401.98037503997</v>
      </c>
      <c r="T29" s="170">
        <v>205631.4219629158</v>
      </c>
      <c r="U29" s="170">
        <v>209949.68182413699</v>
      </c>
      <c r="V29" s="170">
        <v>214358.62514244387</v>
      </c>
      <c r="W29" s="170">
        <v>218860.15627043517</v>
      </c>
      <c r="X29" s="170">
        <v>223456.21955211429</v>
      </c>
      <c r="Y29" s="170">
        <v>228148.80016270865</v>
      </c>
      <c r="Z29" s="170">
        <v>232939.92496612549</v>
      </c>
      <c r="AB29" s="96" t="s">
        <v>34</v>
      </c>
      <c r="AC29" s="96">
        <v>1347.25</v>
      </c>
      <c r="AE29" s="96">
        <f t="shared" si="13"/>
        <v>142.9847912414177</v>
      </c>
      <c r="AF29" s="96">
        <f t="shared" si="14"/>
        <v>146.41642623121172</v>
      </c>
      <c r="AG29" s="96">
        <f t="shared" si="15"/>
        <v>149.49117118206715</v>
      </c>
      <c r="AH29" s="96">
        <f t="shared" si="16"/>
        <v>152.63048577689057</v>
      </c>
      <c r="AI29" s="96">
        <f t="shared" si="17"/>
        <v>155.83572597820523</v>
      </c>
      <c r="AJ29" s="96">
        <f t="shared" si="18"/>
        <v>159.10827622374754</v>
      </c>
      <c r="AK29" s="96">
        <f t="shared" si="19"/>
        <v>162.44955002444621</v>
      </c>
      <c r="AL29" s="96">
        <f t="shared" si="20"/>
        <v>165.86099057495957</v>
      </c>
      <c r="AM29" s="96">
        <f t="shared" si="21"/>
        <v>169.34407137703369</v>
      </c>
      <c r="AN29" s="96">
        <f t="shared" si="22"/>
        <v>172.90029687595137</v>
      </c>
      <c r="AS29" s="96" t="s">
        <v>34</v>
      </c>
      <c r="AT29" s="96">
        <f t="shared" si="23"/>
        <v>17.544233885321951</v>
      </c>
      <c r="AU29" s="96">
        <f t="shared" si="24"/>
        <v>17.965295498569677</v>
      </c>
      <c r="AV29" s="96">
        <f t="shared" si="25"/>
        <v>18.342566704039641</v>
      </c>
      <c r="AW29" s="96">
        <f t="shared" si="26"/>
        <v>18.727760604824471</v>
      </c>
      <c r="AX29" s="96">
        <f t="shared" si="27"/>
        <v>19.121043577525782</v>
      </c>
      <c r="AY29" s="96">
        <f t="shared" si="28"/>
        <v>19.522585492653825</v>
      </c>
      <c r="AZ29" s="96">
        <f t="shared" si="29"/>
        <v>19.932559787999551</v>
      </c>
      <c r="BA29" s="96">
        <f t="shared" si="30"/>
        <v>20.35114354354754</v>
      </c>
      <c r="BB29" s="96">
        <f t="shared" si="31"/>
        <v>20.778517557962033</v>
      </c>
      <c r="BC29" s="96">
        <f t="shared" si="32"/>
        <v>21.214866426679233</v>
      </c>
      <c r="BE29" s="169">
        <f t="shared" si="33"/>
        <v>19.083632655466133</v>
      </c>
      <c r="BM29" s="175" t="s">
        <v>32</v>
      </c>
      <c r="BN29" s="176">
        <f>SUMIFS($AC$137:$AC$266,$AB$137:$AB$266,$BM29)+AC38+AC41+AC42+AC110</f>
        <v>6315.5</v>
      </c>
      <c r="BQ29" s="81" t="s">
        <v>32</v>
      </c>
      <c r="BR29" s="173">
        <f t="shared" si="2"/>
        <v>12.098042313836768</v>
      </c>
      <c r="BS29" s="173">
        <f t="shared" si="3"/>
        <v>12.388395329368848</v>
      </c>
      <c r="BT29" s="173">
        <f t="shared" si="4"/>
        <v>12.64855163128559</v>
      </c>
      <c r="BU29" s="173">
        <f t="shared" si="5"/>
        <v>12.914171215542586</v>
      </c>
      <c r="BV29" s="173">
        <f t="shared" si="6"/>
        <v>13.185368811068981</v>
      </c>
      <c r="BW29" s="173">
        <f t="shared" si="7"/>
        <v>13.46226155610143</v>
      </c>
      <c r="BX29" s="173">
        <f t="shared" si="8"/>
        <v>13.744969048779557</v>
      </c>
      <c r="BY29" s="173">
        <f t="shared" si="9"/>
        <v>14.033613398803928</v>
      </c>
      <c r="BZ29" s="173">
        <f t="shared" si="10"/>
        <v>14.328319280178809</v>
      </c>
      <c r="CA29" s="173">
        <f t="shared" si="11"/>
        <v>14.629213985062563</v>
      </c>
      <c r="CC29" s="81" t="s">
        <v>32</v>
      </c>
      <c r="CD29" s="170">
        <f t="shared" si="45"/>
        <v>17.29111459785528</v>
      </c>
      <c r="CE29" s="170">
        <f t="shared" si="35"/>
        <v>17.706101348203806</v>
      </c>
      <c r="CF29" s="170">
        <f t="shared" si="36"/>
        <v>18.077929476516079</v>
      </c>
      <c r="CG29" s="170">
        <f t="shared" si="37"/>
        <v>18.457565995522916</v>
      </c>
      <c r="CH29" s="170">
        <f t="shared" si="38"/>
        <v>18.845174881428896</v>
      </c>
      <c r="CI29" s="170">
        <f t="shared" si="39"/>
        <v>19.240923553938906</v>
      </c>
      <c r="CJ29" s="170">
        <f t="shared" si="40"/>
        <v>19.644982948571617</v>
      </c>
      <c r="CK29" s="170">
        <f t="shared" si="41"/>
        <v>20.057527590491624</v>
      </c>
      <c r="CL29" s="170">
        <f t="shared" si="42"/>
        <v>20.478735669891943</v>
      </c>
      <c r="CM29" s="170">
        <f t="shared" si="46"/>
        <v>20.908789118959671</v>
      </c>
      <c r="CN29" s="96">
        <f t="shared" si="43"/>
        <v>6315.5</v>
      </c>
      <c r="CO29" s="225">
        <f t="shared" si="47"/>
        <v>18.808303705133991</v>
      </c>
      <c r="CP29" s="169">
        <f t="shared" si="44"/>
        <v>2.7786958597092109E-2</v>
      </c>
    </row>
    <row r="30" spans="2:103">
      <c r="B30" s="96" t="s">
        <v>36</v>
      </c>
      <c r="C30" s="96">
        <v>0</v>
      </c>
      <c r="D30" s="96">
        <v>0</v>
      </c>
      <c r="E30" s="96">
        <v>49227.24</v>
      </c>
      <c r="F30" s="96">
        <v>361.25</v>
      </c>
      <c r="P30" s="96" t="s">
        <v>34</v>
      </c>
      <c r="Q30" s="170">
        <v>90144.719999999987</v>
      </c>
      <c r="R30" s="170">
        <v>92308.193279999992</v>
      </c>
      <c r="S30" s="170">
        <v>94246.66533887999</v>
      </c>
      <c r="T30" s="170">
        <v>96225.845310996447</v>
      </c>
      <c r="U30" s="170">
        <v>98246.588062527357</v>
      </c>
      <c r="V30" s="170">
        <v>100309.76641184044</v>
      </c>
      <c r="W30" s="170">
        <v>102416.27150648907</v>
      </c>
      <c r="X30" s="170">
        <v>104567.01320812534</v>
      </c>
      <c r="Y30" s="170">
        <v>106762.92048549595</v>
      </c>
      <c r="Z30" s="170">
        <v>109004.94181569136</v>
      </c>
      <c r="AB30" s="96" t="s">
        <v>34</v>
      </c>
      <c r="AC30" s="96">
        <v>814.3</v>
      </c>
      <c r="AE30" s="96">
        <f t="shared" si="13"/>
        <v>110.70209996315853</v>
      </c>
      <c r="AF30" s="96">
        <f t="shared" si="14"/>
        <v>113.35895036227434</v>
      </c>
      <c r="AG30" s="96">
        <f t="shared" si="15"/>
        <v>115.7394883198821</v>
      </c>
      <c r="AH30" s="96">
        <f t="shared" si="16"/>
        <v>118.1700175745996</v>
      </c>
      <c r="AI30" s="96">
        <f t="shared" si="17"/>
        <v>120.65158794366617</v>
      </c>
      <c r="AJ30" s="96">
        <f t="shared" si="18"/>
        <v>123.18527129048316</v>
      </c>
      <c r="AK30" s="96">
        <f t="shared" si="19"/>
        <v>125.77216198758329</v>
      </c>
      <c r="AL30" s="96">
        <f t="shared" si="20"/>
        <v>128.41337738932253</v>
      </c>
      <c r="AM30" s="96">
        <f t="shared" si="21"/>
        <v>131.1100583144983</v>
      </c>
      <c r="AN30" s="96">
        <f t="shared" si="22"/>
        <v>133.86336953910273</v>
      </c>
      <c r="AS30" s="96" t="s">
        <v>34</v>
      </c>
      <c r="AT30" s="96">
        <f t="shared" si="23"/>
        <v>13.583147665479553</v>
      </c>
      <c r="AU30" s="96">
        <f t="shared" si="24"/>
        <v>13.909143209451063</v>
      </c>
      <c r="AV30" s="96">
        <f t="shared" si="25"/>
        <v>14.201235216849534</v>
      </c>
      <c r="AW30" s="96">
        <f t="shared" si="26"/>
        <v>14.49946115640337</v>
      </c>
      <c r="AX30" s="96">
        <f t="shared" si="27"/>
        <v>14.80394984068784</v>
      </c>
      <c r="AY30" s="96">
        <f t="shared" si="28"/>
        <v>15.114832787342284</v>
      </c>
      <c r="AZ30" s="96">
        <f t="shared" si="29"/>
        <v>15.432244275876469</v>
      </c>
      <c r="BA30" s="96">
        <f t="shared" si="30"/>
        <v>15.756321405669876</v>
      </c>
      <c r="BB30" s="96">
        <f t="shared" si="31"/>
        <v>16.087204155188942</v>
      </c>
      <c r="BC30" s="96">
        <f t="shared" si="32"/>
        <v>16.425035442447907</v>
      </c>
      <c r="BE30" s="169">
        <f t="shared" si="33"/>
        <v>14.774985448058358</v>
      </c>
      <c r="BM30" s="81" t="s">
        <v>33</v>
      </c>
      <c r="BN30" s="96">
        <f t="shared" si="34"/>
        <v>358000</v>
      </c>
      <c r="BQ30" s="81" t="s">
        <v>33</v>
      </c>
      <c r="BR30" s="173">
        <f t="shared" si="2"/>
        <v>0</v>
      </c>
      <c r="BS30" s="173">
        <f t="shared" si="3"/>
        <v>0</v>
      </c>
      <c r="BT30" s="173">
        <f t="shared" si="4"/>
        <v>0</v>
      </c>
      <c r="BU30" s="173">
        <f t="shared" si="5"/>
        <v>0</v>
      </c>
      <c r="BV30" s="173">
        <f t="shared" si="6"/>
        <v>0</v>
      </c>
      <c r="BW30" s="173">
        <f t="shared" si="7"/>
        <v>0</v>
      </c>
      <c r="BX30" s="173">
        <f t="shared" si="8"/>
        <v>0</v>
      </c>
      <c r="BY30" s="173">
        <f t="shared" si="9"/>
        <v>0</v>
      </c>
      <c r="BZ30" s="173">
        <f t="shared" si="10"/>
        <v>0</v>
      </c>
      <c r="CA30" s="173">
        <f t="shared" si="11"/>
        <v>0</v>
      </c>
      <c r="CC30" s="81" t="s">
        <v>33</v>
      </c>
      <c r="CD30" s="170">
        <f t="shared" si="45"/>
        <v>105.83624497206705</v>
      </c>
      <c r="CE30" s="170">
        <f t="shared" si="35"/>
        <v>295.26146059441339</v>
      </c>
      <c r="CF30" s="170">
        <f t="shared" si="36"/>
        <v>442.58969157162903</v>
      </c>
      <c r="CG30" s="170">
        <f t="shared" si="37"/>
        <v>598.72160392002672</v>
      </c>
      <c r="CH30" s="170">
        <f t="shared" si="38"/>
        <v>611.2947576023472</v>
      </c>
      <c r="CI30" s="170">
        <f t="shared" si="39"/>
        <v>624.13194751199637</v>
      </c>
      <c r="CJ30" s="170">
        <f t="shared" si="40"/>
        <v>637.23871840974812</v>
      </c>
      <c r="CK30" s="170">
        <f t="shared" si="41"/>
        <v>650.62073149635296</v>
      </c>
      <c r="CL30" s="170">
        <f t="shared" si="42"/>
        <v>664.2837668577763</v>
      </c>
      <c r="CM30" s="170">
        <f t="shared" si="46"/>
        <v>678.23372596178945</v>
      </c>
      <c r="CN30" s="96">
        <f t="shared" si="43"/>
        <v>358000</v>
      </c>
      <c r="CO30" s="225">
        <f t="shared" si="47"/>
        <v>493.18022584767357</v>
      </c>
      <c r="CP30" s="169">
        <f t="shared" si="44"/>
        <v>41.302118404819367</v>
      </c>
    </row>
    <row r="31" spans="2:103">
      <c r="B31" s="96" t="s">
        <v>36</v>
      </c>
      <c r="C31" s="96">
        <v>0</v>
      </c>
      <c r="D31" s="96">
        <v>0</v>
      </c>
      <c r="E31" s="96">
        <v>129057.7</v>
      </c>
      <c r="F31" s="96">
        <v>361.25</v>
      </c>
      <c r="P31" s="96" t="s">
        <v>47</v>
      </c>
      <c r="Q31" s="170">
        <v>75780.38</v>
      </c>
      <c r="R31" s="170">
        <v>77599.109120000008</v>
      </c>
      <c r="S31" s="170">
        <v>79228.690411520001</v>
      </c>
      <c r="T31" s="170">
        <v>80892.49291016192</v>
      </c>
      <c r="U31" s="170">
        <v>82591.235261275302</v>
      </c>
      <c r="V31" s="170">
        <v>84325.651201762084</v>
      </c>
      <c r="W31" s="170">
        <v>86096.489876999069</v>
      </c>
      <c r="X31" s="170">
        <v>87904.516164416054</v>
      </c>
      <c r="Y31" s="170">
        <v>89750.511003868771</v>
      </c>
      <c r="Z31" s="170">
        <v>91635.271734950002</v>
      </c>
      <c r="AB31" s="96" t="s">
        <v>47</v>
      </c>
      <c r="AC31" s="96">
        <v>520.19999999999993</v>
      </c>
      <c r="AE31" s="96">
        <f t="shared" si="13"/>
        <v>145.67547097270284</v>
      </c>
      <c r="AF31" s="96">
        <f t="shared" si="14"/>
        <v>149.1716822760477</v>
      </c>
      <c r="AG31" s="96">
        <f t="shared" si="15"/>
        <v>152.3042876038447</v>
      </c>
      <c r="AH31" s="96">
        <f t="shared" si="16"/>
        <v>155.50267764352543</v>
      </c>
      <c r="AI31" s="96">
        <f t="shared" si="17"/>
        <v>158.76823387403942</v>
      </c>
      <c r="AJ31" s="96">
        <f t="shared" si="18"/>
        <v>162.10236678539425</v>
      </c>
      <c r="AK31" s="96">
        <f t="shared" si="19"/>
        <v>165.5065164878875</v>
      </c>
      <c r="AL31" s="96">
        <f t="shared" si="20"/>
        <v>168.98215333413316</v>
      </c>
      <c r="AM31" s="96">
        <f t="shared" si="21"/>
        <v>172.53077855414992</v>
      </c>
      <c r="AN31" s="96">
        <f t="shared" si="22"/>
        <v>176.15392490378704</v>
      </c>
      <c r="AS31" s="96" t="s">
        <v>47</v>
      </c>
      <c r="AT31" s="96">
        <f t="shared" si="23"/>
        <v>17.87438028835064</v>
      </c>
      <c r="AU31" s="96">
        <f t="shared" si="24"/>
        <v>18.303365415271053</v>
      </c>
      <c r="AV31" s="96">
        <f t="shared" si="25"/>
        <v>18.687736088991745</v>
      </c>
      <c r="AW31" s="96">
        <f t="shared" si="26"/>
        <v>19.080178546860569</v>
      </c>
      <c r="AX31" s="96">
        <f t="shared" si="27"/>
        <v>19.48086229634464</v>
      </c>
      <c r="AY31" s="96">
        <f t="shared" si="28"/>
        <v>19.889960404567876</v>
      </c>
      <c r="AZ31" s="96">
        <f t="shared" si="29"/>
        <v>20.307649573063795</v>
      </c>
      <c r="BA31" s="96">
        <f t="shared" si="30"/>
        <v>20.734110214098138</v>
      </c>
      <c r="BB31" s="96">
        <f t="shared" si="31"/>
        <v>21.169526528594197</v>
      </c>
      <c r="BC31" s="96">
        <f t="shared" si="32"/>
        <v>21.614086585694672</v>
      </c>
      <c r="BE31" s="169">
        <f t="shared" si="33"/>
        <v>19.442747377665206</v>
      </c>
      <c r="BM31" s="81" t="s">
        <v>34</v>
      </c>
      <c r="BN31" s="96">
        <f t="shared" si="34"/>
        <v>130218.95</v>
      </c>
      <c r="BQ31" s="81" t="s">
        <v>34</v>
      </c>
      <c r="BR31" s="173">
        <f t="shared" si="2"/>
        <v>16.72059252893024</v>
      </c>
      <c r="BS31" s="173">
        <f t="shared" si="3"/>
        <v>17.121886749624569</v>
      </c>
      <c r="BT31" s="173">
        <f t="shared" si="4"/>
        <v>17.481446371366683</v>
      </c>
      <c r="BU31" s="173">
        <f t="shared" si="5"/>
        <v>17.848556745165382</v>
      </c>
      <c r="BV31" s="173">
        <f t="shared" si="6"/>
        <v>18.223376436813851</v>
      </c>
      <c r="BW31" s="173">
        <f t="shared" si="7"/>
        <v>18.606067341986943</v>
      </c>
      <c r="BX31" s="173">
        <f t="shared" si="8"/>
        <v>18.996794756168669</v>
      </c>
      <c r="BY31" s="173">
        <f t="shared" si="9"/>
        <v>19.395727446048205</v>
      </c>
      <c r="BZ31" s="173">
        <f t="shared" si="10"/>
        <v>19.803037722415215</v>
      </c>
      <c r="CA31" s="173">
        <f t="shared" si="11"/>
        <v>20.21890151458593</v>
      </c>
      <c r="CC31" s="81" t="s">
        <v>34</v>
      </c>
      <c r="CD31" s="170">
        <f t="shared" si="45"/>
        <v>61.594513041209083</v>
      </c>
      <c r="CE31" s="170">
        <f t="shared" si="35"/>
        <v>69.619648755772914</v>
      </c>
      <c r="CF31" s="170">
        <f t="shared" si="36"/>
        <v>85.45553027035281</v>
      </c>
      <c r="CG31" s="170">
        <f t="shared" si="37"/>
        <v>148.67260341471555</v>
      </c>
      <c r="CH31" s="170">
        <f t="shared" si="38"/>
        <v>185.58711311402246</v>
      </c>
      <c r="CI31" s="170">
        <f t="shared" si="39"/>
        <v>210.82755569896392</v>
      </c>
      <c r="CJ31" s="170">
        <f t="shared" si="40"/>
        <v>215.25493436864213</v>
      </c>
      <c r="CK31" s="170">
        <f t="shared" si="41"/>
        <v>219.77528799038362</v>
      </c>
      <c r="CL31" s="170">
        <f t="shared" si="42"/>
        <v>224.39056903818164</v>
      </c>
      <c r="CM31" s="170">
        <f t="shared" si="46"/>
        <v>229.1027709879834</v>
      </c>
      <c r="CN31" s="96">
        <f t="shared" si="43"/>
        <v>130218.95</v>
      </c>
      <c r="CO31" s="225">
        <f t="shared" si="47"/>
        <v>150.68364487658209</v>
      </c>
      <c r="CP31" s="169">
        <f t="shared" si="44"/>
        <v>4.5901190703313519</v>
      </c>
    </row>
    <row r="32" spans="2:103">
      <c r="B32" s="96" t="s">
        <v>52</v>
      </c>
      <c r="C32" s="96">
        <v>170418.42999999996</v>
      </c>
      <c r="D32" s="96">
        <v>24542.07</v>
      </c>
      <c r="E32" s="96">
        <v>524722.37</v>
      </c>
      <c r="F32" s="96">
        <v>741.19999999999993</v>
      </c>
      <c r="P32" s="96" t="s">
        <v>48</v>
      </c>
      <c r="Q32" s="170">
        <v>171908.57999999993</v>
      </c>
      <c r="R32" s="170">
        <v>176034.38591999994</v>
      </c>
      <c r="S32" s="170">
        <v>179731.10802431992</v>
      </c>
      <c r="T32" s="170">
        <v>183505.46129283062</v>
      </c>
      <c r="U32" s="170">
        <v>187359.07597998003</v>
      </c>
      <c r="V32" s="170">
        <v>191293.6165755596</v>
      </c>
      <c r="W32" s="170">
        <v>195310.78252364634</v>
      </c>
      <c r="X32" s="170">
        <v>199412.3089566429</v>
      </c>
      <c r="Y32" s="170">
        <v>203599.96744473238</v>
      </c>
      <c r="Z32" s="170">
        <v>207875.56676107174</v>
      </c>
      <c r="AB32" s="96" t="s">
        <v>48</v>
      </c>
      <c r="AC32" s="96">
        <v>3388.1</v>
      </c>
      <c r="AE32" s="96">
        <f t="shared" si="13"/>
        <v>50.738933325462632</v>
      </c>
      <c r="AF32" s="96">
        <f t="shared" si="14"/>
        <v>51.956667725273739</v>
      </c>
      <c r="AG32" s="96">
        <f t="shared" si="15"/>
        <v>53.047757747504477</v>
      </c>
      <c r="AH32" s="96">
        <f t="shared" si="16"/>
        <v>54.161760660202063</v>
      </c>
      <c r="AI32" s="96">
        <f t="shared" si="17"/>
        <v>55.299157634066297</v>
      </c>
      <c r="AJ32" s="96">
        <f t="shared" si="18"/>
        <v>56.46043994438169</v>
      </c>
      <c r="AK32" s="96">
        <f t="shared" si="19"/>
        <v>57.646109183213703</v>
      </c>
      <c r="AL32" s="96">
        <f t="shared" si="20"/>
        <v>58.856677476061186</v>
      </c>
      <c r="AM32" s="96">
        <f t="shared" si="21"/>
        <v>60.092667703058467</v>
      </c>
      <c r="AN32" s="96">
        <f t="shared" si="22"/>
        <v>61.354613724822684</v>
      </c>
      <c r="AS32" s="96" t="s">
        <v>48</v>
      </c>
      <c r="AT32" s="96">
        <f t="shared" si="23"/>
        <v>6.2256671190342647</v>
      </c>
      <c r="AU32" s="96">
        <f t="shared" si="24"/>
        <v>6.3750831298910882</v>
      </c>
      <c r="AV32" s="96">
        <f t="shared" si="25"/>
        <v>6.5089598756187996</v>
      </c>
      <c r="AW32" s="96">
        <f t="shared" si="26"/>
        <v>6.6456480330067933</v>
      </c>
      <c r="AX32" s="96">
        <f t="shared" si="27"/>
        <v>6.7852066416999346</v>
      </c>
      <c r="AY32" s="96">
        <f t="shared" si="28"/>
        <v>6.927695981175634</v>
      </c>
      <c r="AZ32" s="96">
        <f t="shared" si="29"/>
        <v>7.0731775967803214</v>
      </c>
      <c r="BA32" s="96">
        <f t="shared" si="30"/>
        <v>7.2217143263127079</v>
      </c>
      <c r="BB32" s="96">
        <f t="shared" si="31"/>
        <v>7.373370327165274</v>
      </c>
      <c r="BC32" s="96">
        <f t="shared" si="32"/>
        <v>7.5282111040357433</v>
      </c>
      <c r="BE32" s="169">
        <f t="shared" si="33"/>
        <v>6.7719311718856421</v>
      </c>
      <c r="BM32" s="81" t="s">
        <v>71</v>
      </c>
      <c r="BN32" s="96">
        <f t="shared" si="34"/>
        <v>0</v>
      </c>
      <c r="BQ32" s="81" t="s">
        <v>71</v>
      </c>
      <c r="BR32" s="173">
        <f t="shared" si="2"/>
        <v>0</v>
      </c>
      <c r="BS32" s="173">
        <f t="shared" si="3"/>
        <v>0</v>
      </c>
      <c r="BT32" s="173">
        <f t="shared" si="4"/>
        <v>0</v>
      </c>
      <c r="BU32" s="173">
        <f t="shared" si="5"/>
        <v>0</v>
      </c>
      <c r="BV32" s="173">
        <f t="shared" si="6"/>
        <v>0</v>
      </c>
      <c r="BW32" s="173">
        <f t="shared" si="7"/>
        <v>0</v>
      </c>
      <c r="BX32" s="173">
        <f t="shared" si="8"/>
        <v>0</v>
      </c>
      <c r="BY32" s="173">
        <f t="shared" si="9"/>
        <v>0</v>
      </c>
      <c r="BZ32" s="173">
        <f t="shared" si="10"/>
        <v>0</v>
      </c>
      <c r="CA32" s="173">
        <f t="shared" si="11"/>
        <v>0</v>
      </c>
      <c r="CC32" s="81" t="s">
        <v>71</v>
      </c>
      <c r="CD32" s="170">
        <f t="shared" si="45"/>
        <v>0</v>
      </c>
      <c r="CE32" s="170">
        <f t="shared" si="35"/>
        <v>0</v>
      </c>
      <c r="CF32" s="170">
        <f t="shared" si="36"/>
        <v>0</v>
      </c>
      <c r="CG32" s="170">
        <f t="shared" si="37"/>
        <v>0</v>
      </c>
      <c r="CH32" s="170">
        <f t="shared" si="38"/>
        <v>0</v>
      </c>
      <c r="CI32" s="170">
        <f t="shared" si="39"/>
        <v>0</v>
      </c>
      <c r="CJ32" s="170">
        <f t="shared" si="40"/>
        <v>0</v>
      </c>
      <c r="CK32" s="170">
        <f t="shared" si="41"/>
        <v>0</v>
      </c>
      <c r="CL32" s="170">
        <f t="shared" si="42"/>
        <v>0</v>
      </c>
      <c r="CM32" s="170">
        <f t="shared" si="46"/>
        <v>0</v>
      </c>
      <c r="CN32" s="96">
        <f t="shared" si="43"/>
        <v>0</v>
      </c>
      <c r="CO32" s="225">
        <f t="shared" si="47"/>
        <v>0</v>
      </c>
      <c r="CP32" s="169">
        <f t="shared" si="44"/>
        <v>0</v>
      </c>
    </row>
    <row r="33" spans="2:94">
      <c r="B33" s="96" t="s">
        <v>52</v>
      </c>
      <c r="C33" s="96">
        <v>167013.44</v>
      </c>
      <c r="D33" s="96">
        <v>99784.090000000011</v>
      </c>
      <c r="E33" s="96">
        <v>388631.76999999996</v>
      </c>
      <c r="F33" s="96">
        <v>1949.05</v>
      </c>
      <c r="P33" s="96" t="s">
        <v>31</v>
      </c>
      <c r="Q33" s="170">
        <v>299736.14</v>
      </c>
      <c r="R33" s="170">
        <v>306929.80736000004</v>
      </c>
      <c r="S33" s="170">
        <v>313375.33331456</v>
      </c>
      <c r="T33" s="170">
        <v>319956.21531416575</v>
      </c>
      <c r="U33" s="170">
        <v>326675.29583576316</v>
      </c>
      <c r="V33" s="170">
        <v>333535.47704831418</v>
      </c>
      <c r="W33" s="170">
        <v>340539.72206632874</v>
      </c>
      <c r="X33" s="170">
        <v>347691.05622972164</v>
      </c>
      <c r="Y33" s="170">
        <v>354992.5684105457</v>
      </c>
      <c r="Z33" s="170">
        <v>362447.41234716715</v>
      </c>
      <c r="AB33" s="96" t="s">
        <v>31</v>
      </c>
      <c r="AC33" s="96">
        <v>117.3</v>
      </c>
      <c r="AE33" s="96">
        <f t="shared" si="13"/>
        <v>2555.2953111679458</v>
      </c>
      <c r="AF33" s="96">
        <f t="shared" si="14"/>
        <v>2616.6223986359764</v>
      </c>
      <c r="AG33" s="96">
        <f t="shared" si="15"/>
        <v>2671.5714690073319</v>
      </c>
      <c r="AH33" s="96">
        <f t="shared" si="16"/>
        <v>2727.6744698564858</v>
      </c>
      <c r="AI33" s="96">
        <f t="shared" si="17"/>
        <v>2784.9556337234712</v>
      </c>
      <c r="AJ33" s="96">
        <f t="shared" si="18"/>
        <v>2843.4397020316642</v>
      </c>
      <c r="AK33" s="96">
        <f t="shared" si="19"/>
        <v>2903.1519357743286</v>
      </c>
      <c r="AL33" s="96">
        <f t="shared" si="20"/>
        <v>2964.1181264255897</v>
      </c>
      <c r="AM33" s="96">
        <f t="shared" si="21"/>
        <v>3026.3646070805262</v>
      </c>
      <c r="AN33" s="96">
        <f t="shared" si="22"/>
        <v>3089.9182638292168</v>
      </c>
      <c r="AS33" s="96" t="s">
        <v>31</v>
      </c>
      <c r="AT33" s="96">
        <f t="shared" si="23"/>
        <v>313.53473468030694</v>
      </c>
      <c r="AU33" s="96">
        <f t="shared" si="24"/>
        <v>321.05956831263433</v>
      </c>
      <c r="AV33" s="96">
        <f t="shared" si="25"/>
        <v>327.8018192471996</v>
      </c>
      <c r="AW33" s="96">
        <f t="shared" si="26"/>
        <v>334.6856574513908</v>
      </c>
      <c r="AX33" s="96">
        <f t="shared" si="27"/>
        <v>341.71405625786991</v>
      </c>
      <c r="AY33" s="96">
        <f t="shared" si="28"/>
        <v>348.89005143928523</v>
      </c>
      <c r="AZ33" s="96">
        <f t="shared" si="29"/>
        <v>356.21674251951015</v>
      </c>
      <c r="BA33" s="96">
        <f t="shared" si="30"/>
        <v>363.69729411241985</v>
      </c>
      <c r="BB33" s="96">
        <f t="shared" si="31"/>
        <v>371.33493728878057</v>
      </c>
      <c r="BC33" s="96">
        <f t="shared" si="32"/>
        <v>379.13297097184494</v>
      </c>
      <c r="BE33" s="169">
        <f t="shared" si="33"/>
        <v>341.04548197877699</v>
      </c>
      <c r="BM33" s="81" t="s">
        <v>35</v>
      </c>
      <c r="BN33" s="96">
        <f t="shared" si="34"/>
        <v>82000</v>
      </c>
      <c r="BQ33" s="81" t="s">
        <v>35</v>
      </c>
      <c r="BR33" s="173">
        <f t="shared" si="2"/>
        <v>0</v>
      </c>
      <c r="BS33" s="173">
        <f t="shared" si="3"/>
        <v>0</v>
      </c>
      <c r="BT33" s="173">
        <f t="shared" si="4"/>
        <v>0</v>
      </c>
      <c r="BU33" s="173">
        <f t="shared" si="5"/>
        <v>0</v>
      </c>
      <c r="BV33" s="173">
        <f t="shared" si="6"/>
        <v>0</v>
      </c>
      <c r="BW33" s="173">
        <f t="shared" si="7"/>
        <v>0</v>
      </c>
      <c r="BX33" s="173">
        <f t="shared" si="8"/>
        <v>0</v>
      </c>
      <c r="BY33" s="173">
        <f t="shared" si="9"/>
        <v>0</v>
      </c>
      <c r="BZ33" s="173">
        <f t="shared" si="10"/>
        <v>0</v>
      </c>
      <c r="CA33" s="173">
        <f t="shared" si="11"/>
        <v>0</v>
      </c>
      <c r="CC33" s="81" t="s">
        <v>35</v>
      </c>
      <c r="CD33" s="170">
        <f t="shared" si="45"/>
        <v>0</v>
      </c>
      <c r="CE33" s="170">
        <f t="shared" si="35"/>
        <v>0</v>
      </c>
      <c r="CF33" s="170">
        <f t="shared" si="36"/>
        <v>4.6703428682926829</v>
      </c>
      <c r="CG33" s="170">
        <f t="shared" si="37"/>
        <v>15.894733561756095</v>
      </c>
      <c r="CH33" s="170">
        <f t="shared" si="38"/>
        <v>64.914091866211891</v>
      </c>
      <c r="CI33" s="170">
        <f t="shared" si="39"/>
        <v>115.98525364195409</v>
      </c>
      <c r="CJ33" s="170">
        <f t="shared" si="40"/>
        <v>169.17277709776442</v>
      </c>
      <c r="CK33" s="170">
        <f t="shared" si="41"/>
        <v>207.27048650018094</v>
      </c>
      <c r="CL33" s="170">
        <f t="shared" si="42"/>
        <v>225.73137783113037</v>
      </c>
      <c r="CM33" s="170">
        <f t="shared" si="46"/>
        <v>230.4717367655841</v>
      </c>
      <c r="CN33" s="96">
        <f t="shared" si="43"/>
        <v>82000</v>
      </c>
      <c r="CO33" s="225">
        <f t="shared" si="47"/>
        <v>82.966867314449644</v>
      </c>
      <c r="CP33" s="169">
        <f t="shared" si="44"/>
        <v>1.5914836825579677</v>
      </c>
    </row>
    <row r="34" spans="2:94">
      <c r="B34" s="96" t="s">
        <v>52</v>
      </c>
      <c r="C34" s="96">
        <v>101201.44000000002</v>
      </c>
      <c r="D34" s="96">
        <v>134236.10999999999</v>
      </c>
      <c r="E34" s="96">
        <v>532647.79999999993</v>
      </c>
      <c r="F34" s="96">
        <v>1725.5</v>
      </c>
      <c r="P34" s="96" t="s">
        <v>31</v>
      </c>
      <c r="Q34" s="170">
        <v>220229.30000000002</v>
      </c>
      <c r="R34" s="170">
        <v>225514.80320000002</v>
      </c>
      <c r="S34" s="170">
        <v>230250.61406720002</v>
      </c>
      <c r="T34" s="170">
        <v>235085.87696261119</v>
      </c>
      <c r="U34" s="170">
        <v>240022.68037882599</v>
      </c>
      <c r="V34" s="170">
        <v>245063.15666678132</v>
      </c>
      <c r="W34" s="170">
        <v>250209.4829567837</v>
      </c>
      <c r="X34" s="170">
        <v>255463.88209887614</v>
      </c>
      <c r="Y34" s="170">
        <v>260828.62362295252</v>
      </c>
      <c r="Z34" s="170">
        <v>266306.0247190345</v>
      </c>
      <c r="AB34" s="96" t="s">
        <v>31</v>
      </c>
      <c r="AC34" s="96">
        <v>1348.95</v>
      </c>
      <c r="AE34" s="96">
        <f t="shared" si="13"/>
        <v>163.25979465510213</v>
      </c>
      <c r="AF34" s="96">
        <f t="shared" si="14"/>
        <v>167.17802972682458</v>
      </c>
      <c r="AG34" s="96">
        <f t="shared" si="15"/>
        <v>170.6887683510879</v>
      </c>
      <c r="AH34" s="96">
        <f t="shared" si="16"/>
        <v>174.27323248646073</v>
      </c>
      <c r="AI34" s="96">
        <f t="shared" si="17"/>
        <v>177.93297036867637</v>
      </c>
      <c r="AJ34" s="96">
        <f t="shared" si="18"/>
        <v>181.66956274641856</v>
      </c>
      <c r="AK34" s="96">
        <f t="shared" si="19"/>
        <v>185.48462356409334</v>
      </c>
      <c r="AL34" s="96">
        <f t="shared" si="20"/>
        <v>189.37980065893927</v>
      </c>
      <c r="AM34" s="96">
        <f t="shared" si="21"/>
        <v>193.356776472777</v>
      </c>
      <c r="AN34" s="96">
        <f t="shared" si="22"/>
        <v>197.41726877870528</v>
      </c>
      <c r="AS34" s="96" t="s">
        <v>31</v>
      </c>
      <c r="AT34" s="96">
        <f t="shared" si="23"/>
        <v>20.031976804181031</v>
      </c>
      <c r="AU34" s="96">
        <f t="shared" si="24"/>
        <v>20.512744247481375</v>
      </c>
      <c r="AV34" s="96">
        <f t="shared" si="25"/>
        <v>20.943511876678485</v>
      </c>
      <c r="AW34" s="96">
        <f t="shared" si="26"/>
        <v>21.38332562608873</v>
      </c>
      <c r="AX34" s="96">
        <f t="shared" si="27"/>
        <v>21.832375464236591</v>
      </c>
      <c r="AY34" s="96">
        <f t="shared" si="28"/>
        <v>22.290855348985559</v>
      </c>
      <c r="AZ34" s="96">
        <f t="shared" si="29"/>
        <v>22.758963311314254</v>
      </c>
      <c r="BA34" s="96">
        <f t="shared" si="30"/>
        <v>23.23690154085185</v>
      </c>
      <c r="BB34" s="96">
        <f t="shared" si="31"/>
        <v>23.72487647320974</v>
      </c>
      <c r="BC34" s="96">
        <f t="shared" si="32"/>
        <v>24.223098879147138</v>
      </c>
      <c r="BE34" s="169">
        <f t="shared" si="33"/>
        <v>21.789659736219029</v>
      </c>
      <c r="BM34" s="175" t="s">
        <v>36</v>
      </c>
      <c r="BN34" s="176">
        <f>SUMIFS($AC$137:$AC$266,$AB$137:$AB$266,$BM34)+AC10</f>
        <v>9069.5</v>
      </c>
      <c r="BQ34" s="81" t="s">
        <v>36</v>
      </c>
      <c r="BR34" s="173">
        <f t="shared" si="2"/>
        <v>18.391240979245499</v>
      </c>
      <c r="BS34" s="173">
        <f t="shared" si="3"/>
        <v>18.832630762747392</v>
      </c>
      <c r="BT34" s="173">
        <f t="shared" si="4"/>
        <v>19.228116008765085</v>
      </c>
      <c r="BU34" s="173">
        <f t="shared" si="5"/>
        <v>19.631906444949152</v>
      </c>
      <c r="BV34" s="173">
        <f t="shared" si="6"/>
        <v>20.044176480293075</v>
      </c>
      <c r="BW34" s="173">
        <f t="shared" si="7"/>
        <v>20.465104186379236</v>
      </c>
      <c r="BX34" s="173">
        <f t="shared" si="8"/>
        <v>20.894871374293192</v>
      </c>
      <c r="BY34" s="173">
        <f t="shared" si="9"/>
        <v>21.33366367315335</v>
      </c>
      <c r="BZ34" s="173">
        <f t="shared" si="10"/>
        <v>21.781670610289567</v>
      </c>
      <c r="CA34" s="173">
        <f t="shared" si="11"/>
        <v>22.23908569310565</v>
      </c>
      <c r="CC34" s="81" t="s">
        <v>36</v>
      </c>
      <c r="CD34" s="170">
        <f t="shared" si="45"/>
        <v>51.780391149473218</v>
      </c>
      <c r="CE34" s="170">
        <f t="shared" si="35"/>
        <v>53.023120537060578</v>
      </c>
      <c r="CF34" s="170">
        <f t="shared" si="36"/>
        <v>54.13660606833885</v>
      </c>
      <c r="CG34" s="170">
        <f t="shared" si="37"/>
        <v>55.273474795773964</v>
      </c>
      <c r="CH34" s="170">
        <f t="shared" si="38"/>
        <v>56.434217766485204</v>
      </c>
      <c r="CI34" s="170">
        <f t="shared" si="39"/>
        <v>57.619336339581395</v>
      </c>
      <c r="CJ34" s="170">
        <f t="shared" si="40"/>
        <v>58.829342402712598</v>
      </c>
      <c r="CK34" s="170">
        <f t="shared" si="41"/>
        <v>60.06475859316955</v>
      </c>
      <c r="CL34" s="170">
        <f t="shared" si="42"/>
        <v>61.326118523626107</v>
      </c>
      <c r="CM34" s="170">
        <f t="shared" si="46"/>
        <v>62.613967012622247</v>
      </c>
      <c r="CN34" s="96">
        <f t="shared" si="43"/>
        <v>9069.5</v>
      </c>
      <c r="CO34" s="225">
        <f t="shared" si="47"/>
        <v>56.323802447687406</v>
      </c>
      <c r="CP34" s="169">
        <f t="shared" si="44"/>
        <v>0.11949753790533342</v>
      </c>
    </row>
    <row r="35" spans="2:94">
      <c r="B35" s="96" t="s">
        <v>52</v>
      </c>
      <c r="C35" s="96">
        <v>0</v>
      </c>
      <c r="D35" s="96">
        <v>0</v>
      </c>
      <c r="E35" s="96">
        <v>0</v>
      </c>
      <c r="F35" s="96">
        <v>361.25</v>
      </c>
      <c r="P35" s="96" t="s">
        <v>31</v>
      </c>
      <c r="Q35" s="170">
        <v>199022.03</v>
      </c>
      <c r="R35" s="170">
        <v>203798.55872</v>
      </c>
      <c r="S35" s="170">
        <v>208078.32845311999</v>
      </c>
      <c r="T35" s="170">
        <v>212447.9733506355</v>
      </c>
      <c r="U35" s="170">
        <v>216909.38079099881</v>
      </c>
      <c r="V35" s="170">
        <v>221464.47778760977</v>
      </c>
      <c r="W35" s="170">
        <v>226115.23182114956</v>
      </c>
      <c r="X35" s="170">
        <v>230863.65168939368</v>
      </c>
      <c r="Y35" s="170">
        <v>235711.78837487093</v>
      </c>
      <c r="Z35" s="170">
        <v>240661.73593074316</v>
      </c>
      <c r="AB35" s="96" t="s">
        <v>31</v>
      </c>
      <c r="AC35" s="96">
        <v>2520.25</v>
      </c>
      <c r="AE35" s="96">
        <f t="shared" si="13"/>
        <v>78.969161789505009</v>
      </c>
      <c r="AF35" s="96">
        <f t="shared" si="14"/>
        <v>80.864421672453133</v>
      </c>
      <c r="AG35" s="96">
        <f t="shared" si="15"/>
        <v>82.56257452757464</v>
      </c>
      <c r="AH35" s="96">
        <f t="shared" si="16"/>
        <v>84.296388592653699</v>
      </c>
      <c r="AI35" s="96">
        <f t="shared" si="17"/>
        <v>86.06661275309942</v>
      </c>
      <c r="AJ35" s="96">
        <f t="shared" si="18"/>
        <v>87.874011620914501</v>
      </c>
      <c r="AK35" s="96">
        <f t="shared" si="19"/>
        <v>89.719365864953701</v>
      </c>
      <c r="AL35" s="96">
        <f t="shared" si="20"/>
        <v>91.603472548117722</v>
      </c>
      <c r="AM35" s="96">
        <f t="shared" si="21"/>
        <v>93.527145471628188</v>
      </c>
      <c r="AN35" s="96">
        <f t="shared" si="22"/>
        <v>95.491215526532358</v>
      </c>
      <c r="AS35" s="96" t="s">
        <v>31</v>
      </c>
      <c r="AT35" s="96">
        <f t="shared" si="23"/>
        <v>9.6895161515722652</v>
      </c>
      <c r="AU35" s="96">
        <f t="shared" si="24"/>
        <v>9.92206453921</v>
      </c>
      <c r="AV35" s="96">
        <f t="shared" si="25"/>
        <v>10.130427894533408</v>
      </c>
      <c r="AW35" s="96">
        <f t="shared" si="26"/>
        <v>10.343166880318609</v>
      </c>
      <c r="AX35" s="96">
        <f t="shared" si="27"/>
        <v>10.560373384805299</v>
      </c>
      <c r="AY35" s="96">
        <f t="shared" si="28"/>
        <v>10.78214122588621</v>
      </c>
      <c r="AZ35" s="96">
        <f t="shared" si="29"/>
        <v>11.00856619162982</v>
      </c>
      <c r="BA35" s="96">
        <f t="shared" si="30"/>
        <v>11.239746081654046</v>
      </c>
      <c r="BB35" s="96">
        <f t="shared" si="31"/>
        <v>11.475780749368779</v>
      </c>
      <c r="BC35" s="96">
        <f t="shared" si="32"/>
        <v>11.716772145105521</v>
      </c>
      <c r="BE35" s="169">
        <f t="shared" si="33"/>
        <v>10.539711682737734</v>
      </c>
      <c r="BM35" s="81" t="s">
        <v>72</v>
      </c>
      <c r="BN35" s="96">
        <f t="shared" si="34"/>
        <v>0</v>
      </c>
      <c r="BQ35" s="81" t="s">
        <v>72</v>
      </c>
      <c r="BR35" s="173">
        <f t="shared" si="2"/>
        <v>0</v>
      </c>
      <c r="BS35" s="173">
        <f t="shared" si="3"/>
        <v>0</v>
      </c>
      <c r="BT35" s="173">
        <f t="shared" si="4"/>
        <v>0</v>
      </c>
      <c r="BU35" s="173">
        <f t="shared" si="5"/>
        <v>0</v>
      </c>
      <c r="BV35" s="173">
        <f t="shared" si="6"/>
        <v>0</v>
      </c>
      <c r="BW35" s="173">
        <f t="shared" si="7"/>
        <v>0</v>
      </c>
      <c r="BX35" s="173">
        <f t="shared" si="8"/>
        <v>0</v>
      </c>
      <c r="BY35" s="173">
        <f t="shared" si="9"/>
        <v>0</v>
      </c>
      <c r="BZ35" s="173">
        <f t="shared" si="10"/>
        <v>0</v>
      </c>
      <c r="CA35" s="173">
        <f t="shared" si="11"/>
        <v>0</v>
      </c>
      <c r="CC35" s="81" t="s">
        <v>72</v>
      </c>
      <c r="CD35" s="170">
        <f t="shared" si="45"/>
        <v>0</v>
      </c>
      <c r="CE35" s="170">
        <f t="shared" si="35"/>
        <v>0</v>
      </c>
      <c r="CF35" s="170">
        <f t="shared" si="36"/>
        <v>0</v>
      </c>
      <c r="CG35" s="170">
        <f t="shared" si="37"/>
        <v>0</v>
      </c>
      <c r="CH35" s="170">
        <f t="shared" si="38"/>
        <v>0</v>
      </c>
      <c r="CI35" s="170">
        <f t="shared" si="39"/>
        <v>0</v>
      </c>
      <c r="CJ35" s="170">
        <f t="shared" si="40"/>
        <v>0</v>
      </c>
      <c r="CK35" s="170">
        <f t="shared" si="41"/>
        <v>0</v>
      </c>
      <c r="CL35" s="170">
        <f t="shared" si="42"/>
        <v>0</v>
      </c>
      <c r="CM35" s="170">
        <f t="shared" si="46"/>
        <v>0</v>
      </c>
      <c r="CN35" s="96">
        <f t="shared" si="43"/>
        <v>0</v>
      </c>
      <c r="CO35" s="225">
        <f t="shared" si="47"/>
        <v>0</v>
      </c>
      <c r="CP35" s="169">
        <f t="shared" si="44"/>
        <v>0</v>
      </c>
    </row>
    <row r="36" spans="2:94">
      <c r="B36" s="96" t="s">
        <v>52</v>
      </c>
      <c r="C36" s="96">
        <v>0</v>
      </c>
      <c r="D36" s="96">
        <v>0</v>
      </c>
      <c r="E36" s="96">
        <v>2083.83</v>
      </c>
      <c r="F36" s="96">
        <v>361.25</v>
      </c>
      <c r="P36" s="96" t="s">
        <v>31</v>
      </c>
      <c r="Q36" s="170">
        <v>124876.52</v>
      </c>
      <c r="R36" s="170">
        <v>127873.55648000001</v>
      </c>
      <c r="S36" s="170">
        <v>130558.90116608</v>
      </c>
      <c r="T36" s="170">
        <v>133300.63809056766</v>
      </c>
      <c r="U36" s="170">
        <v>136099.95149046957</v>
      </c>
      <c r="V36" s="170">
        <v>138958.05047176941</v>
      </c>
      <c r="W36" s="170">
        <v>141876.16953167657</v>
      </c>
      <c r="X36" s="170">
        <v>144855.56909184175</v>
      </c>
      <c r="Y36" s="170">
        <v>147897.53604277043</v>
      </c>
      <c r="Z36" s="170">
        <v>151003.38429966857</v>
      </c>
      <c r="AB36" s="96" t="s">
        <v>31</v>
      </c>
      <c r="AC36" s="96">
        <v>739.5</v>
      </c>
      <c r="AE36" s="96">
        <f t="shared" ref="AE36:AE69" si="48">Q36/$AC36</f>
        <v>168.86615280594998</v>
      </c>
      <c r="AF36" s="96">
        <f t="shared" ref="AF36:AF69" si="49">R36/$AC36</f>
        <v>172.91894047329279</v>
      </c>
      <c r="AG36" s="96">
        <f t="shared" ref="AG36:AG69" si="50">S36/$AC36</f>
        <v>176.55023822323193</v>
      </c>
      <c r="AH36" s="96">
        <f t="shared" ref="AH36:AH69" si="51">T36/$AC36</f>
        <v>180.25779322591976</v>
      </c>
      <c r="AI36" s="96">
        <f t="shared" ref="AI36:AI69" si="52">U36/$AC36</f>
        <v>184.04320688366406</v>
      </c>
      <c r="AJ36" s="96">
        <f t="shared" ref="AJ36:AJ69" si="53">V36/$AC36</f>
        <v>187.90811422822097</v>
      </c>
      <c r="AK36" s="96">
        <f t="shared" ref="AK36:AK69" si="54">W36/$AC36</f>
        <v>191.85418462701361</v>
      </c>
      <c r="AL36" s="96">
        <f t="shared" ref="AL36:AL69" si="55">X36/$AC36</f>
        <v>195.88312250418088</v>
      </c>
      <c r="AM36" s="96">
        <f t="shared" ref="AM36:AM69" si="56">Y36/$AC36</f>
        <v>199.99666807676866</v>
      </c>
      <c r="AN36" s="96">
        <f t="shared" ref="AN36:AN69" si="57">Z36/$AC36</f>
        <v>204.19659810638075</v>
      </c>
      <c r="AS36" s="96" t="s">
        <v>31</v>
      </c>
      <c r="AT36" s="96">
        <f t="shared" si="23"/>
        <v>20.719876949290065</v>
      </c>
      <c r="AU36" s="96">
        <f t="shared" si="24"/>
        <v>21.217153996073026</v>
      </c>
      <c r="AV36" s="96">
        <f t="shared" si="25"/>
        <v>21.662714229990559</v>
      </c>
      <c r="AW36" s="96">
        <f t="shared" si="26"/>
        <v>22.117631228820354</v>
      </c>
      <c r="AX36" s="96">
        <f t="shared" si="27"/>
        <v>22.582101484625579</v>
      </c>
      <c r="AY36" s="96">
        <f t="shared" si="28"/>
        <v>23.056325615802713</v>
      </c>
      <c r="AZ36" s="96">
        <f t="shared" si="29"/>
        <v>23.540508453734571</v>
      </c>
      <c r="BA36" s="96">
        <f t="shared" si="30"/>
        <v>24.034859131262994</v>
      </c>
      <c r="BB36" s="96">
        <f t="shared" si="31"/>
        <v>24.539591173019517</v>
      </c>
      <c r="BC36" s="96">
        <f t="shared" si="32"/>
        <v>25.054922587652918</v>
      </c>
      <c r="BE36" s="169">
        <f t="shared" si="33"/>
        <v>22.537918894111673</v>
      </c>
      <c r="BM36" s="81" t="s">
        <v>73</v>
      </c>
      <c r="BN36" s="96">
        <f t="shared" si="34"/>
        <v>0</v>
      </c>
      <c r="BQ36" s="81" t="s">
        <v>73</v>
      </c>
      <c r="BR36" s="173">
        <f t="shared" si="2"/>
        <v>0</v>
      </c>
      <c r="BS36" s="173">
        <f t="shared" si="3"/>
        <v>0</v>
      </c>
      <c r="BT36" s="173">
        <f t="shared" si="4"/>
        <v>0</v>
      </c>
      <c r="BU36" s="173">
        <f t="shared" si="5"/>
        <v>0</v>
      </c>
      <c r="BV36" s="173">
        <f t="shared" si="6"/>
        <v>0</v>
      </c>
      <c r="BW36" s="173">
        <f t="shared" si="7"/>
        <v>0</v>
      </c>
      <c r="BX36" s="173">
        <f t="shared" si="8"/>
        <v>0</v>
      </c>
      <c r="BY36" s="173">
        <f t="shared" si="9"/>
        <v>0</v>
      </c>
      <c r="BZ36" s="173">
        <f t="shared" si="10"/>
        <v>0</v>
      </c>
      <c r="CA36" s="173">
        <f t="shared" si="11"/>
        <v>0</v>
      </c>
      <c r="CC36" s="81" t="s">
        <v>73</v>
      </c>
      <c r="CD36" s="170">
        <f t="shared" si="45"/>
        <v>0</v>
      </c>
      <c r="CE36" s="170">
        <f t="shared" si="35"/>
        <v>0</v>
      </c>
      <c r="CF36" s="170">
        <f t="shared" si="36"/>
        <v>0</v>
      </c>
      <c r="CG36" s="170">
        <f t="shared" si="37"/>
        <v>0</v>
      </c>
      <c r="CH36" s="170">
        <f t="shared" si="38"/>
        <v>0</v>
      </c>
      <c r="CI36" s="170">
        <f t="shared" si="39"/>
        <v>0</v>
      </c>
      <c r="CJ36" s="170">
        <f t="shared" si="40"/>
        <v>0</v>
      </c>
      <c r="CK36" s="170">
        <f t="shared" si="41"/>
        <v>0</v>
      </c>
      <c r="CL36" s="170">
        <f t="shared" si="42"/>
        <v>0</v>
      </c>
      <c r="CM36" s="170">
        <f t="shared" si="46"/>
        <v>0</v>
      </c>
      <c r="CN36" s="96">
        <f t="shared" si="43"/>
        <v>0</v>
      </c>
      <c r="CO36" s="225">
        <f t="shared" si="47"/>
        <v>0</v>
      </c>
      <c r="CP36" s="169">
        <f t="shared" si="44"/>
        <v>0</v>
      </c>
    </row>
    <row r="37" spans="2:94">
      <c r="B37" s="96" t="s">
        <v>52</v>
      </c>
      <c r="C37" s="96">
        <v>0</v>
      </c>
      <c r="D37" s="96">
        <v>0</v>
      </c>
      <c r="E37" s="96">
        <v>0</v>
      </c>
      <c r="F37" s="96">
        <v>361.25</v>
      </c>
      <c r="P37" s="96" t="s">
        <v>31</v>
      </c>
      <c r="Q37" s="170">
        <v>3800000</v>
      </c>
      <c r="R37" s="170">
        <v>3891200</v>
      </c>
      <c r="S37" s="170">
        <v>3972915.2000000002</v>
      </c>
      <c r="T37" s="170">
        <v>4056346.4191999994</v>
      </c>
      <c r="U37" s="170">
        <v>4141529.6940031988</v>
      </c>
      <c r="V37" s="170">
        <v>4228501.8175772661</v>
      </c>
      <c r="W37" s="170">
        <v>4317300.3557463875</v>
      </c>
      <c r="X37" s="170">
        <v>4407963.6632170621</v>
      </c>
      <c r="Y37" s="170">
        <v>4500530.9001446199</v>
      </c>
      <c r="Z37" s="170">
        <v>4595042.0490476554</v>
      </c>
      <c r="AB37" s="96" t="s">
        <v>31</v>
      </c>
      <c r="AC37" s="96">
        <v>5000</v>
      </c>
      <c r="AE37" s="96">
        <f t="shared" si="48"/>
        <v>760</v>
      </c>
      <c r="AF37" s="96">
        <f t="shared" si="49"/>
        <v>778.24</v>
      </c>
      <c r="AG37" s="96">
        <f t="shared" si="50"/>
        <v>794.58303999999998</v>
      </c>
      <c r="AH37" s="96">
        <f t="shared" si="51"/>
        <v>811.26928383999984</v>
      </c>
      <c r="AI37" s="96">
        <f t="shared" si="52"/>
        <v>828.30593880063975</v>
      </c>
      <c r="AJ37" s="96">
        <f t="shared" si="53"/>
        <v>845.7003635154532</v>
      </c>
      <c r="AK37" s="96">
        <f t="shared" si="54"/>
        <v>863.4600711492775</v>
      </c>
      <c r="AL37" s="96">
        <f t="shared" si="55"/>
        <v>881.59273264341243</v>
      </c>
      <c r="AM37" s="96">
        <f t="shared" si="56"/>
        <v>900.10618002892397</v>
      </c>
      <c r="AN37" s="96">
        <f t="shared" si="57"/>
        <v>919.00840980953103</v>
      </c>
      <c r="AS37" s="96" t="s">
        <v>31</v>
      </c>
      <c r="AT37" s="96">
        <f t="shared" si="23"/>
        <v>93.25200000000001</v>
      </c>
      <c r="AU37" s="96">
        <f t="shared" si="24"/>
        <v>95.490048000000002</v>
      </c>
      <c r="AV37" s="96">
        <f t="shared" si="25"/>
        <v>97.495339008000002</v>
      </c>
      <c r="AW37" s="96">
        <f t="shared" si="26"/>
        <v>99.542741127167986</v>
      </c>
      <c r="AX37" s="96">
        <f t="shared" si="27"/>
        <v>101.63313869083851</v>
      </c>
      <c r="AY37" s="96">
        <f t="shared" si="28"/>
        <v>103.76743460334612</v>
      </c>
      <c r="AZ37" s="96">
        <f t="shared" si="29"/>
        <v>105.94655073001636</v>
      </c>
      <c r="BA37" s="96">
        <f t="shared" si="30"/>
        <v>108.17142829534671</v>
      </c>
      <c r="BB37" s="96">
        <f t="shared" si="31"/>
        <v>110.44302828954898</v>
      </c>
      <c r="BC37" s="96">
        <f t="shared" si="32"/>
        <v>112.76233188362946</v>
      </c>
      <c r="BE37" s="169">
        <f t="shared" si="33"/>
        <v>101.43429026424376</v>
      </c>
      <c r="BM37" s="81" t="s">
        <v>37</v>
      </c>
      <c r="BN37" s="96">
        <f t="shared" si="34"/>
        <v>716000</v>
      </c>
      <c r="BQ37" s="81" t="s">
        <v>37</v>
      </c>
      <c r="BR37" s="173">
        <f t="shared" ref="BR37:BR73" si="58">IFERROR(SUMIFS(Q$5:Q$69,$P$5:$P$69,$BQ37)/SUMIFS($AC$5:$AC$69,$P$5:$P$69,$BQ37),0)*$AQ$7</f>
        <v>0</v>
      </c>
      <c r="BS37" s="173">
        <f t="shared" ref="BS37:BS73" si="59">IFERROR(SUMIFS(R$5:R$69,$P$5:$P$69,$BQ37)/SUMIFS($AC$5:$AC$69,$P$5:$P$69,$BQ37),0)*$AQ$7</f>
        <v>0</v>
      </c>
      <c r="BT37" s="173">
        <f t="shared" ref="BT37:BT73" si="60">IFERROR(SUMIFS(S$5:S$69,$P$5:$P$69,$BQ37)/SUMIFS($AC$5:$AC$69,$P$5:$P$69,$BQ37),0)*$AQ$7</f>
        <v>0</v>
      </c>
      <c r="BU37" s="173">
        <f t="shared" ref="BU37:BU73" si="61">IFERROR(SUMIFS(T$5:T$69,$P$5:$P$69,$BQ37)/SUMIFS($AC$5:$AC$69,$P$5:$P$69,$BQ37),0)*$AQ$7</f>
        <v>0</v>
      </c>
      <c r="BV37" s="173">
        <f t="shared" ref="BV37:BV73" si="62">IFERROR(SUMIFS(U$5:U$69,$P$5:$P$69,$BQ37)/SUMIFS($AC$5:$AC$69,$P$5:$P$69,$BQ37),0)*$AQ$7</f>
        <v>0</v>
      </c>
      <c r="BW37" s="173">
        <f t="shared" ref="BW37:BW73" si="63">IFERROR(SUMIFS(V$5:V$69,$P$5:$P$69,$BQ37)/SUMIFS($AC$5:$AC$69,$P$5:$P$69,$BQ37),0)*$AQ$7</f>
        <v>0</v>
      </c>
      <c r="BX37" s="173">
        <f t="shared" ref="BX37:BX73" si="64">IFERROR(SUMIFS(W$5:W$69,$P$5:$P$69,$BQ37)/SUMIFS($AC$5:$AC$69,$P$5:$P$69,$BQ37),0)*$AQ$7</f>
        <v>0</v>
      </c>
      <c r="BY37" s="173">
        <f t="shared" ref="BY37:BY73" si="65">IFERROR(SUMIFS(X$5:X$69,$P$5:$P$69,$BQ37)/SUMIFS($AC$5:$AC$69,$P$5:$P$69,$BQ37),0)*$AQ$7</f>
        <v>0</v>
      </c>
      <c r="BZ37" s="173">
        <f t="shared" ref="BZ37:BZ73" si="66">IFERROR(SUMIFS(Y$5:Y$69,$P$5:$P$69,$BQ37)/SUMIFS($AC$5:$AC$69,$P$5:$P$69,$BQ37),0)*$AQ$7</f>
        <v>0</v>
      </c>
      <c r="CA37" s="173">
        <f t="shared" ref="CA37:CA73" si="67">IFERROR(SUMIFS(Z$5:Z$69,$P$5:$P$69,$BQ37)/SUMIFS($AC$5:$AC$69,$P$5:$P$69,$BQ37),0)*$AQ$7</f>
        <v>0</v>
      </c>
      <c r="CC37" s="81" t="s">
        <v>37</v>
      </c>
      <c r="CD37" s="170">
        <f t="shared" si="45"/>
        <v>30.695848743016761</v>
      </c>
      <c r="CE37" s="170">
        <f t="shared" si="35"/>
        <v>68.38707443128493</v>
      </c>
      <c r="CF37" s="170">
        <f t="shared" si="36"/>
        <v>108.32914451836426</v>
      </c>
      <c r="CG37" s="170">
        <f t="shared" si="37"/>
        <v>173.68121064524297</v>
      </c>
      <c r="CH37" s="170">
        <f t="shared" si="38"/>
        <v>288.84294762667105</v>
      </c>
      <c r="CI37" s="170">
        <f t="shared" si="39"/>
        <v>351.83676683712781</v>
      </c>
      <c r="CJ37" s="170">
        <f t="shared" si="40"/>
        <v>417.34894671452037</v>
      </c>
      <c r="CK37" s="170">
        <f t="shared" si="41"/>
        <v>468.33074099179191</v>
      </c>
      <c r="CL37" s="170">
        <f t="shared" si="42"/>
        <v>478.16568655261949</v>
      </c>
      <c r="CM37" s="170">
        <f t="shared" si="46"/>
        <v>488.20716597022442</v>
      </c>
      <c r="CN37" s="96">
        <f t="shared" si="43"/>
        <v>716000</v>
      </c>
      <c r="CO37" s="225">
        <f t="shared" si="47"/>
        <v>248.67979268799635</v>
      </c>
      <c r="CP37" s="169">
        <f t="shared" si="44"/>
        <v>41.652125142819166</v>
      </c>
    </row>
    <row r="38" spans="2:94">
      <c r="B38" s="96" t="s">
        <v>65</v>
      </c>
      <c r="C38" s="96">
        <v>90546.739999999991</v>
      </c>
      <c r="D38" s="96">
        <v>16553.060000000001</v>
      </c>
      <c r="E38" s="96">
        <v>79127.610000000015</v>
      </c>
      <c r="F38" s="96">
        <v>1167</v>
      </c>
      <c r="P38" s="96" t="s">
        <v>32</v>
      </c>
      <c r="Q38" s="170">
        <v>46844.000000000007</v>
      </c>
      <c r="R38" s="170">
        <v>47968.256000000008</v>
      </c>
      <c r="S38" s="170">
        <v>48975.589376000004</v>
      </c>
      <c r="T38" s="170">
        <v>50004.076752895999</v>
      </c>
      <c r="U38" s="170">
        <v>51054.162364706812</v>
      </c>
      <c r="V38" s="170">
        <v>52126.299774365652</v>
      </c>
      <c r="W38" s="170">
        <v>53220.952069627325</v>
      </c>
      <c r="X38" s="170">
        <v>54338.592063089491</v>
      </c>
      <c r="Y38" s="170">
        <v>55479.702496414364</v>
      </c>
      <c r="Z38" s="170">
        <v>56644.776248839058</v>
      </c>
      <c r="AB38" s="96" t="s">
        <v>32</v>
      </c>
      <c r="AC38" s="96">
        <v>647.69999999999993</v>
      </c>
      <c r="AE38" s="96">
        <f t="shared" si="48"/>
        <v>72.323606607997547</v>
      </c>
      <c r="AF38" s="96">
        <f t="shared" si="49"/>
        <v>74.059373166589495</v>
      </c>
      <c r="AG38" s="96">
        <f t="shared" si="50"/>
        <v>75.614620003087865</v>
      </c>
      <c r="AH38" s="96">
        <f t="shared" si="51"/>
        <v>77.202527023152697</v>
      </c>
      <c r="AI38" s="96">
        <f t="shared" si="52"/>
        <v>78.823780090638905</v>
      </c>
      <c r="AJ38" s="96">
        <f t="shared" si="53"/>
        <v>80.47907947254231</v>
      </c>
      <c r="AK38" s="96">
        <f t="shared" si="54"/>
        <v>82.169140141465689</v>
      </c>
      <c r="AL38" s="96">
        <f t="shared" si="55"/>
        <v>83.894692084436457</v>
      </c>
      <c r="AM38" s="96">
        <f t="shared" si="56"/>
        <v>85.656480618209613</v>
      </c>
      <c r="AN38" s="96">
        <f t="shared" si="57"/>
        <v>87.45526671119201</v>
      </c>
      <c r="AS38" s="96" t="s">
        <v>32</v>
      </c>
      <c r="AT38" s="96">
        <f t="shared" si="23"/>
        <v>8.8741065308012992</v>
      </c>
      <c r="AU38" s="96">
        <f t="shared" si="24"/>
        <v>9.0870850875405313</v>
      </c>
      <c r="AV38" s="96">
        <f t="shared" si="25"/>
        <v>9.277913874378882</v>
      </c>
      <c r="AW38" s="96">
        <f t="shared" si="26"/>
        <v>9.4727500657408363</v>
      </c>
      <c r="AX38" s="96">
        <f t="shared" si="27"/>
        <v>9.6716778171213935</v>
      </c>
      <c r="AY38" s="96">
        <f t="shared" si="28"/>
        <v>9.8747830512809411</v>
      </c>
      <c r="AZ38" s="96">
        <f t="shared" si="29"/>
        <v>10.08215349535784</v>
      </c>
      <c r="BA38" s="96">
        <f t="shared" si="30"/>
        <v>10.293878718760354</v>
      </c>
      <c r="BB38" s="96">
        <f t="shared" si="31"/>
        <v>10.510050171854321</v>
      </c>
      <c r="BC38" s="96">
        <f t="shared" si="32"/>
        <v>10.73076122546326</v>
      </c>
      <c r="BE38" s="169">
        <f t="shared" si="33"/>
        <v>9.65275487583237</v>
      </c>
      <c r="BM38" s="81" t="s">
        <v>38</v>
      </c>
      <c r="BN38" s="96">
        <f t="shared" si="34"/>
        <v>716000</v>
      </c>
      <c r="BQ38" s="81" t="s">
        <v>38</v>
      </c>
      <c r="BR38" s="173">
        <f t="shared" si="58"/>
        <v>0</v>
      </c>
      <c r="BS38" s="173">
        <f t="shared" si="59"/>
        <v>0</v>
      </c>
      <c r="BT38" s="173">
        <f t="shared" si="60"/>
        <v>0</v>
      </c>
      <c r="BU38" s="173">
        <f t="shared" si="61"/>
        <v>0</v>
      </c>
      <c r="BV38" s="173">
        <f t="shared" si="62"/>
        <v>0</v>
      </c>
      <c r="BW38" s="173">
        <f t="shared" si="63"/>
        <v>0</v>
      </c>
      <c r="BX38" s="173">
        <f t="shared" si="64"/>
        <v>0</v>
      </c>
      <c r="BY38" s="173">
        <f t="shared" si="65"/>
        <v>0</v>
      </c>
      <c r="BZ38" s="173">
        <f t="shared" si="66"/>
        <v>0</v>
      </c>
      <c r="CA38" s="173">
        <f t="shared" si="67"/>
        <v>0</v>
      </c>
      <c r="CC38" s="81" t="s">
        <v>38</v>
      </c>
      <c r="CD38" s="170">
        <f t="shared" si="45"/>
        <v>66.54550013966481</v>
      </c>
      <c r="CE38" s="170">
        <f t="shared" si="35"/>
        <v>140.92985221005586</v>
      </c>
      <c r="CF38" s="170">
        <f t="shared" si="36"/>
        <v>195.5888218059084</v>
      </c>
      <c r="CG38" s="170">
        <f t="shared" si="37"/>
        <v>251.67541618952191</v>
      </c>
      <c r="CH38" s="170">
        <f t="shared" si="38"/>
        <v>256.96059992950188</v>
      </c>
      <c r="CI38" s="170">
        <f t="shared" si="39"/>
        <v>262.35677252802139</v>
      </c>
      <c r="CJ38" s="170">
        <f t="shared" si="40"/>
        <v>267.86626475110978</v>
      </c>
      <c r="CK38" s="170">
        <f t="shared" si="41"/>
        <v>273.49145631088311</v>
      </c>
      <c r="CL38" s="170">
        <f t="shared" si="42"/>
        <v>279.23477689341161</v>
      </c>
      <c r="CM38" s="170">
        <f t="shared" si="46"/>
        <v>285.09870720817321</v>
      </c>
      <c r="CN38" s="96">
        <f t="shared" si="43"/>
        <v>716000</v>
      </c>
      <c r="CO38" s="225">
        <f t="shared" si="47"/>
        <v>213.70910012258565</v>
      </c>
      <c r="CP38" s="169">
        <f t="shared" si="44"/>
        <v>35.794778844911256</v>
      </c>
    </row>
    <row r="39" spans="2:94">
      <c r="B39" s="96" t="s">
        <v>16</v>
      </c>
      <c r="C39" s="96">
        <v>0</v>
      </c>
      <c r="D39" s="96">
        <v>0</v>
      </c>
      <c r="E39" s="96">
        <v>118277.78</v>
      </c>
      <c r="F39" s="96">
        <v>500</v>
      </c>
      <c r="P39" s="96" t="s">
        <v>32</v>
      </c>
      <c r="Q39" s="170">
        <v>71161.51999999999</v>
      </c>
      <c r="R39" s="170">
        <v>72869.396479999996</v>
      </c>
      <c r="S39" s="170">
        <v>74399.653806079994</v>
      </c>
      <c r="T39" s="170">
        <v>75962.046536007663</v>
      </c>
      <c r="U39" s="170">
        <v>77557.249513263814</v>
      </c>
      <c r="V39" s="170">
        <v>79185.951753042347</v>
      </c>
      <c r="W39" s="170">
        <v>80848.85673985623</v>
      </c>
      <c r="X39" s="170">
        <v>82546.682731393201</v>
      </c>
      <c r="Y39" s="170">
        <v>84280.163068752445</v>
      </c>
      <c r="Z39" s="170">
        <v>86050.046493196234</v>
      </c>
      <c r="AB39" s="96" t="s">
        <v>32</v>
      </c>
      <c r="AC39" s="96">
        <v>727.6</v>
      </c>
      <c r="AE39" s="96">
        <f t="shared" si="48"/>
        <v>97.803078614623402</v>
      </c>
      <c r="AF39" s="96">
        <f t="shared" si="49"/>
        <v>100.15035250137437</v>
      </c>
      <c r="AG39" s="96">
        <f t="shared" si="50"/>
        <v>102.25350990390324</v>
      </c>
      <c r="AH39" s="96">
        <f t="shared" si="51"/>
        <v>104.40083361188519</v>
      </c>
      <c r="AI39" s="96">
        <f t="shared" si="52"/>
        <v>106.59325111773477</v>
      </c>
      <c r="AJ39" s="96">
        <f t="shared" si="53"/>
        <v>108.83170939120718</v>
      </c>
      <c r="AK39" s="96">
        <f t="shared" si="54"/>
        <v>111.11717528842252</v>
      </c>
      <c r="AL39" s="96">
        <f t="shared" si="55"/>
        <v>113.45063596947938</v>
      </c>
      <c r="AM39" s="96">
        <f t="shared" si="56"/>
        <v>115.83309932483843</v>
      </c>
      <c r="AN39" s="96">
        <f t="shared" si="57"/>
        <v>118.26559441066001</v>
      </c>
      <c r="AS39" s="96" t="s">
        <v>32</v>
      </c>
      <c r="AT39" s="96">
        <f t="shared" si="23"/>
        <v>12.000437746014292</v>
      </c>
      <c r="AU39" s="96">
        <f t="shared" si="24"/>
        <v>12.288448251918636</v>
      </c>
      <c r="AV39" s="96">
        <f t="shared" si="25"/>
        <v>12.546505665208928</v>
      </c>
      <c r="AW39" s="96">
        <f t="shared" si="26"/>
        <v>12.809982284178313</v>
      </c>
      <c r="AX39" s="96">
        <f t="shared" si="27"/>
        <v>13.078991912146057</v>
      </c>
      <c r="AY39" s="96">
        <f t="shared" si="28"/>
        <v>13.353650742301122</v>
      </c>
      <c r="AZ39" s="96">
        <f t="shared" si="29"/>
        <v>13.634077407889443</v>
      </c>
      <c r="BA39" s="96">
        <f t="shared" si="30"/>
        <v>13.92039303345512</v>
      </c>
      <c r="BB39" s="96">
        <f t="shared" si="31"/>
        <v>14.212721287157676</v>
      </c>
      <c r="BC39" s="96">
        <f t="shared" si="32"/>
        <v>14.511188434187984</v>
      </c>
      <c r="BE39" s="169">
        <f t="shared" si="33"/>
        <v>13.053402453858372</v>
      </c>
      <c r="BM39" s="81" t="s">
        <v>39</v>
      </c>
      <c r="BN39" s="96">
        <f t="shared" si="34"/>
        <v>269000</v>
      </c>
      <c r="BQ39" s="81" t="s">
        <v>39</v>
      </c>
      <c r="BR39" s="173">
        <f t="shared" si="58"/>
        <v>0</v>
      </c>
      <c r="BS39" s="173">
        <f t="shared" si="59"/>
        <v>0</v>
      </c>
      <c r="BT39" s="173">
        <f t="shared" si="60"/>
        <v>0</v>
      </c>
      <c r="BU39" s="173">
        <f t="shared" si="61"/>
        <v>0</v>
      </c>
      <c r="BV39" s="173">
        <f t="shared" si="62"/>
        <v>0</v>
      </c>
      <c r="BW39" s="173">
        <f t="shared" si="63"/>
        <v>0</v>
      </c>
      <c r="BX39" s="173">
        <f t="shared" si="64"/>
        <v>0</v>
      </c>
      <c r="BY39" s="173">
        <f t="shared" si="65"/>
        <v>0</v>
      </c>
      <c r="BZ39" s="173">
        <f t="shared" si="66"/>
        <v>0</v>
      </c>
      <c r="CA39" s="173">
        <f t="shared" si="67"/>
        <v>0</v>
      </c>
      <c r="CC39" s="81" t="s">
        <v>39</v>
      </c>
      <c r="CD39" s="170">
        <f t="shared" si="45"/>
        <v>0</v>
      </c>
      <c r="CE39" s="170">
        <f t="shared" si="35"/>
        <v>32.53579182156134</v>
      </c>
      <c r="CF39" s="170">
        <f t="shared" si="36"/>
        <v>80.674819806691445</v>
      </c>
      <c r="CG39" s="170">
        <f t="shared" si="37"/>
        <v>198.65462540752415</v>
      </c>
      <c r="CH39" s="170">
        <f t="shared" si="38"/>
        <v>277.03114298294145</v>
      </c>
      <c r="CI39" s="170">
        <f t="shared" si="39"/>
        <v>358.61186760672155</v>
      </c>
      <c r="CJ39" s="170">
        <f t="shared" si="40"/>
        <v>417.71211356258414</v>
      </c>
      <c r="CK39" s="170">
        <f t="shared" si="41"/>
        <v>479.13642201497845</v>
      </c>
      <c r="CL39" s="170">
        <f t="shared" si="42"/>
        <v>542.9563403802922</v>
      </c>
      <c r="CM39" s="170">
        <f t="shared" si="46"/>
        <v>570.8245153162469</v>
      </c>
      <c r="CN39" s="96">
        <f t="shared" si="43"/>
        <v>269000</v>
      </c>
      <c r="CO39" s="225">
        <f t="shared" si="47"/>
        <v>249.87130599553203</v>
      </c>
      <c r="CP39" s="169">
        <f t="shared" si="44"/>
        <v>15.723611775782242</v>
      </c>
    </row>
    <row r="40" spans="2:94">
      <c r="B40" s="96" t="s">
        <v>16</v>
      </c>
      <c r="C40" s="96">
        <v>0</v>
      </c>
      <c r="D40" s="96">
        <v>0</v>
      </c>
      <c r="E40" s="96">
        <v>285423.7</v>
      </c>
      <c r="F40" s="96">
        <v>555</v>
      </c>
      <c r="P40" s="96" t="s">
        <v>32</v>
      </c>
      <c r="Q40" s="170">
        <v>23991.070000000011</v>
      </c>
      <c r="R40" s="170">
        <v>24566.855680000011</v>
      </c>
      <c r="S40" s="170">
        <v>25082.759649280011</v>
      </c>
      <c r="T40" s="170">
        <v>25609.497601914889</v>
      </c>
      <c r="U40" s="170">
        <v>26147.297051555095</v>
      </c>
      <c r="V40" s="170">
        <v>26696.390289637755</v>
      </c>
      <c r="W40" s="170">
        <v>27257.014485720141</v>
      </c>
      <c r="X40" s="170">
        <v>27829.411789920265</v>
      </c>
      <c r="Y40" s="170">
        <v>28413.829437508586</v>
      </c>
      <c r="Z40" s="170">
        <v>29010.51985569626</v>
      </c>
      <c r="AB40" s="96" t="s">
        <v>32</v>
      </c>
      <c r="AC40" s="96">
        <v>113.05</v>
      </c>
      <c r="AE40" s="96">
        <f t="shared" si="48"/>
        <v>212.21645289694834</v>
      </c>
      <c r="AF40" s="96">
        <f t="shared" si="49"/>
        <v>217.30964776647511</v>
      </c>
      <c r="AG40" s="96">
        <f t="shared" si="50"/>
        <v>221.87315036957108</v>
      </c>
      <c r="AH40" s="96">
        <f t="shared" si="51"/>
        <v>226.53248652733205</v>
      </c>
      <c r="AI40" s="96">
        <f t="shared" si="52"/>
        <v>231.28966874440599</v>
      </c>
      <c r="AJ40" s="96">
        <f t="shared" si="53"/>
        <v>236.14675178803853</v>
      </c>
      <c r="AK40" s="96">
        <f t="shared" si="54"/>
        <v>241.10583357558727</v>
      </c>
      <c r="AL40" s="96">
        <f t="shared" si="55"/>
        <v>246.16905608067461</v>
      </c>
      <c r="AM40" s="96">
        <f t="shared" si="56"/>
        <v>251.33860625836874</v>
      </c>
      <c r="AN40" s="96">
        <f t="shared" si="57"/>
        <v>256.61671698979444</v>
      </c>
      <c r="AS40" s="96" t="s">
        <v>32</v>
      </c>
      <c r="AT40" s="96">
        <f t="shared" si="23"/>
        <v>26.038958770455562</v>
      </c>
      <c r="AU40" s="96">
        <f t="shared" si="24"/>
        <v>26.663893780946498</v>
      </c>
      <c r="AV40" s="96">
        <f t="shared" si="25"/>
        <v>27.223835550346372</v>
      </c>
      <c r="AW40" s="96">
        <f t="shared" si="26"/>
        <v>27.795536096903643</v>
      </c>
      <c r="AX40" s="96">
        <f t="shared" si="27"/>
        <v>28.379242354938615</v>
      </c>
      <c r="AY40" s="96">
        <f t="shared" si="28"/>
        <v>28.975206444392327</v>
      </c>
      <c r="AZ40" s="96">
        <f t="shared" si="29"/>
        <v>29.583685779724558</v>
      </c>
      <c r="BA40" s="96">
        <f t="shared" si="30"/>
        <v>30.204943181098777</v>
      </c>
      <c r="BB40" s="96">
        <f t="shared" si="31"/>
        <v>30.839246987901845</v>
      </c>
      <c r="BC40" s="96">
        <f t="shared" si="32"/>
        <v>31.486871174647778</v>
      </c>
      <c r="BE40" s="169">
        <f t="shared" si="33"/>
        <v>28.323717476312197</v>
      </c>
      <c r="BM40" s="81" t="s">
        <v>74</v>
      </c>
      <c r="BN40" s="96">
        <f t="shared" si="34"/>
        <v>0</v>
      </c>
      <c r="BQ40" s="81" t="s">
        <v>74</v>
      </c>
      <c r="BR40" s="173">
        <f t="shared" si="58"/>
        <v>0</v>
      </c>
      <c r="BS40" s="173">
        <f t="shared" si="59"/>
        <v>0</v>
      </c>
      <c r="BT40" s="173">
        <f t="shared" si="60"/>
        <v>0</v>
      </c>
      <c r="BU40" s="173">
        <f t="shared" si="61"/>
        <v>0</v>
      </c>
      <c r="BV40" s="173">
        <f t="shared" si="62"/>
        <v>0</v>
      </c>
      <c r="BW40" s="173">
        <f t="shared" si="63"/>
        <v>0</v>
      </c>
      <c r="BX40" s="173">
        <f t="shared" si="64"/>
        <v>0</v>
      </c>
      <c r="BY40" s="173">
        <f t="shared" si="65"/>
        <v>0</v>
      </c>
      <c r="BZ40" s="173">
        <f t="shared" si="66"/>
        <v>0</v>
      </c>
      <c r="CA40" s="173">
        <f t="shared" si="67"/>
        <v>0</v>
      </c>
      <c r="CC40" s="81" t="s">
        <v>74</v>
      </c>
      <c r="CD40" s="170">
        <f t="shared" si="45"/>
        <v>0</v>
      </c>
      <c r="CE40" s="170">
        <f t="shared" si="35"/>
        <v>0</v>
      </c>
      <c r="CF40" s="170">
        <f t="shared" si="36"/>
        <v>0</v>
      </c>
      <c r="CG40" s="170">
        <f t="shared" si="37"/>
        <v>0</v>
      </c>
      <c r="CH40" s="170">
        <f t="shared" si="38"/>
        <v>0</v>
      </c>
      <c r="CI40" s="170">
        <f t="shared" si="39"/>
        <v>0</v>
      </c>
      <c r="CJ40" s="170">
        <f t="shared" si="40"/>
        <v>0</v>
      </c>
      <c r="CK40" s="170">
        <f t="shared" si="41"/>
        <v>0</v>
      </c>
      <c r="CL40" s="170">
        <f t="shared" si="42"/>
        <v>0</v>
      </c>
      <c r="CM40" s="170">
        <f t="shared" si="46"/>
        <v>0</v>
      </c>
      <c r="CN40" s="96">
        <f t="shared" si="43"/>
        <v>0</v>
      </c>
      <c r="CO40" s="225">
        <f t="shared" si="47"/>
        <v>0</v>
      </c>
      <c r="CP40" s="169">
        <f t="shared" si="44"/>
        <v>0</v>
      </c>
    </row>
    <row r="41" spans="2:94">
      <c r="B41" s="96" t="s">
        <v>16</v>
      </c>
      <c r="C41" s="96">
        <v>275408.35000000003</v>
      </c>
      <c r="D41" s="96">
        <v>140226.27000000005</v>
      </c>
      <c r="E41" s="96">
        <v>190595.35000000006</v>
      </c>
      <c r="F41" s="96">
        <v>1503</v>
      </c>
      <c r="P41" s="96" t="s">
        <v>32</v>
      </c>
      <c r="Q41" s="170">
        <v>366086.68000000011</v>
      </c>
      <c r="R41" s="170">
        <v>374872.76032000012</v>
      </c>
      <c r="S41" s="170">
        <v>382745.0882867201</v>
      </c>
      <c r="T41" s="170">
        <v>390782.73514074116</v>
      </c>
      <c r="U41" s="170">
        <v>398989.17257869669</v>
      </c>
      <c r="V41" s="170">
        <v>407367.94520284934</v>
      </c>
      <c r="W41" s="170">
        <v>415922.67205210909</v>
      </c>
      <c r="X41" s="170">
        <v>424657.04816520336</v>
      </c>
      <c r="Y41" s="170">
        <v>433574.84617667255</v>
      </c>
      <c r="Z41" s="170">
        <v>442679.91794638266</v>
      </c>
      <c r="AB41" s="96" t="s">
        <v>32</v>
      </c>
      <c r="AC41" s="96">
        <v>1955</v>
      </c>
      <c r="AE41" s="96">
        <f t="shared" si="48"/>
        <v>187.25661381074175</v>
      </c>
      <c r="AF41" s="96">
        <f t="shared" si="49"/>
        <v>191.75077254219954</v>
      </c>
      <c r="AG41" s="96">
        <f t="shared" si="50"/>
        <v>195.77753876558572</v>
      </c>
      <c r="AH41" s="96">
        <f t="shared" si="51"/>
        <v>199.88886707966299</v>
      </c>
      <c r="AI41" s="96">
        <f t="shared" si="52"/>
        <v>204.08653328833591</v>
      </c>
      <c r="AJ41" s="96">
        <f t="shared" si="53"/>
        <v>208.37235048739097</v>
      </c>
      <c r="AK41" s="96">
        <f t="shared" si="54"/>
        <v>212.74816984762614</v>
      </c>
      <c r="AL41" s="96">
        <f t="shared" si="55"/>
        <v>217.21588141442626</v>
      </c>
      <c r="AM41" s="96">
        <f t="shared" si="56"/>
        <v>221.77741492412918</v>
      </c>
      <c r="AN41" s="96">
        <f t="shared" si="57"/>
        <v>226.4347406375359</v>
      </c>
      <c r="AS41" s="96" t="s">
        <v>32</v>
      </c>
      <c r="AT41" s="96">
        <f t="shared" si="23"/>
        <v>22.976386514578014</v>
      </c>
      <c r="AU41" s="96">
        <f t="shared" si="24"/>
        <v>23.527819790927886</v>
      </c>
      <c r="AV41" s="96">
        <f t="shared" si="25"/>
        <v>24.021904006537369</v>
      </c>
      <c r="AW41" s="96">
        <f t="shared" si="26"/>
        <v>24.52636399067465</v>
      </c>
      <c r="AX41" s="96">
        <f t="shared" si="27"/>
        <v>25.041417634478819</v>
      </c>
      <c r="AY41" s="96">
        <f t="shared" si="28"/>
        <v>25.567287404802872</v>
      </c>
      <c r="AZ41" s="96">
        <f t="shared" si="29"/>
        <v>26.104200440303728</v>
      </c>
      <c r="BA41" s="96">
        <f t="shared" si="30"/>
        <v>26.652388649550105</v>
      </c>
      <c r="BB41" s="96">
        <f t="shared" si="31"/>
        <v>27.21208881119065</v>
      </c>
      <c r="BC41" s="96">
        <f t="shared" si="32"/>
        <v>27.783542676225654</v>
      </c>
      <c r="BE41" s="169">
        <f t="shared" si="33"/>
        <v>24.992423314708123</v>
      </c>
      <c r="BM41" s="81" t="s">
        <v>40</v>
      </c>
      <c r="BN41" s="96">
        <f t="shared" si="34"/>
        <v>42</v>
      </c>
      <c r="BQ41" s="81" t="s">
        <v>40</v>
      </c>
      <c r="BR41" s="173">
        <f t="shared" si="58"/>
        <v>0</v>
      </c>
      <c r="BS41" s="173">
        <f t="shared" si="59"/>
        <v>0</v>
      </c>
      <c r="BT41" s="173">
        <f t="shared" si="60"/>
        <v>0</v>
      </c>
      <c r="BU41" s="173">
        <f t="shared" si="61"/>
        <v>0</v>
      </c>
      <c r="BV41" s="173">
        <f t="shared" si="62"/>
        <v>0</v>
      </c>
      <c r="BW41" s="173">
        <f t="shared" si="63"/>
        <v>0</v>
      </c>
      <c r="BX41" s="173">
        <f t="shared" si="64"/>
        <v>0</v>
      </c>
      <c r="BY41" s="173">
        <f t="shared" si="65"/>
        <v>0</v>
      </c>
      <c r="BZ41" s="173">
        <f t="shared" si="66"/>
        <v>0</v>
      </c>
      <c r="CA41" s="173">
        <f t="shared" si="67"/>
        <v>0</v>
      </c>
      <c r="CC41" s="81" t="s">
        <v>40</v>
      </c>
      <c r="CD41" s="170">
        <f t="shared" si="45"/>
        <v>185.64661428571429</v>
      </c>
      <c r="CE41" s="170">
        <f t="shared" si="35"/>
        <v>190.10213302857144</v>
      </c>
      <c r="CF41" s="170">
        <f t="shared" si="36"/>
        <v>194.09427782217142</v>
      </c>
      <c r="CG41" s="170">
        <f t="shared" si="37"/>
        <v>198.17025765643703</v>
      </c>
      <c r="CH41" s="170">
        <f t="shared" si="38"/>
        <v>202.33183306722214</v>
      </c>
      <c r="CI41" s="170">
        <f t="shared" si="39"/>
        <v>206.58080156163379</v>
      </c>
      <c r="CJ41" s="170">
        <f t="shared" si="40"/>
        <v>210.91899839442806</v>
      </c>
      <c r="CK41" s="170">
        <f t="shared" si="41"/>
        <v>215.34829736071106</v>
      </c>
      <c r="CL41" s="170">
        <f t="shared" si="42"/>
        <v>219.87061160528597</v>
      </c>
      <c r="CM41" s="170">
        <f t="shared" si="46"/>
        <v>224.48789444899691</v>
      </c>
      <c r="CN41" s="96">
        <f t="shared" si="43"/>
        <v>42</v>
      </c>
      <c r="CO41" s="225">
        <f t="shared" si="47"/>
        <v>201.93596448367052</v>
      </c>
      <c r="CP41" s="169">
        <f t="shared" si="44"/>
        <v>1.9840225730773692E-3</v>
      </c>
    </row>
    <row r="42" spans="2:94">
      <c r="B42" s="96" t="s">
        <v>25</v>
      </c>
      <c r="C42" s="96">
        <v>0</v>
      </c>
      <c r="D42" s="96">
        <v>0</v>
      </c>
      <c r="E42" s="96">
        <v>174884.06000000008</v>
      </c>
      <c r="F42" s="96">
        <v>574</v>
      </c>
      <c r="P42" s="96" t="s">
        <v>32</v>
      </c>
      <c r="Q42" s="170">
        <v>112185.43</v>
      </c>
      <c r="R42" s="170">
        <v>114877.88032</v>
      </c>
      <c r="S42" s="170">
        <v>117290.31580672</v>
      </c>
      <c r="T42" s="170">
        <v>119753.41243866109</v>
      </c>
      <c r="U42" s="170">
        <v>122268.23409987296</v>
      </c>
      <c r="V42" s="170">
        <v>124835.86701597029</v>
      </c>
      <c r="W42" s="170">
        <v>127457.42022330566</v>
      </c>
      <c r="X42" s="170">
        <v>130134.02604799507</v>
      </c>
      <c r="Y42" s="170">
        <v>132866.84059500296</v>
      </c>
      <c r="Z42" s="170">
        <v>135657.04424749798</v>
      </c>
      <c r="AB42" s="96" t="s">
        <v>32</v>
      </c>
      <c r="AC42" s="96">
        <v>2847.5</v>
      </c>
      <c r="AE42" s="96">
        <f t="shared" si="48"/>
        <v>39.397868305531162</v>
      </c>
      <c r="AF42" s="96">
        <f t="shared" si="49"/>
        <v>40.343417144863913</v>
      </c>
      <c r="AG42" s="96">
        <f t="shared" si="50"/>
        <v>41.190628904906056</v>
      </c>
      <c r="AH42" s="96">
        <f t="shared" si="51"/>
        <v>42.055632111909077</v>
      </c>
      <c r="AI42" s="96">
        <f t="shared" si="52"/>
        <v>42.93880038625916</v>
      </c>
      <c r="AJ42" s="96">
        <f t="shared" si="53"/>
        <v>43.840515194370603</v>
      </c>
      <c r="AK42" s="96">
        <f t="shared" si="54"/>
        <v>44.761166013452382</v>
      </c>
      <c r="AL42" s="96">
        <f t="shared" si="55"/>
        <v>45.701150499734879</v>
      </c>
      <c r="AM42" s="96">
        <f t="shared" si="56"/>
        <v>46.660874660229311</v>
      </c>
      <c r="AN42" s="96">
        <f t="shared" si="57"/>
        <v>47.64075302809411</v>
      </c>
      <c r="AS42" s="96" t="s">
        <v>32</v>
      </c>
      <c r="AT42" s="96">
        <f t="shared" si="23"/>
        <v>4.8341184410886733</v>
      </c>
      <c r="AU42" s="96">
        <f t="shared" si="24"/>
        <v>4.9501372836748025</v>
      </c>
      <c r="AV42" s="96">
        <f t="shared" si="25"/>
        <v>5.0540901666319735</v>
      </c>
      <c r="AW42" s="96">
        <f t="shared" si="26"/>
        <v>5.1602260601312437</v>
      </c>
      <c r="AX42" s="96">
        <f t="shared" si="27"/>
        <v>5.2685908073939993</v>
      </c>
      <c r="AY42" s="96">
        <f t="shared" si="28"/>
        <v>5.3792312143492733</v>
      </c>
      <c r="AZ42" s="96">
        <f t="shared" si="29"/>
        <v>5.4921950698506077</v>
      </c>
      <c r="BA42" s="96">
        <f t="shared" si="30"/>
        <v>5.6075311663174698</v>
      </c>
      <c r="BB42" s="96">
        <f t="shared" si="31"/>
        <v>5.7252893208101368</v>
      </c>
      <c r="BC42" s="96">
        <f t="shared" si="32"/>
        <v>5.8455203965471476</v>
      </c>
      <c r="BE42" s="169">
        <f t="shared" si="33"/>
        <v>5.2582826440732875</v>
      </c>
      <c r="BM42" s="81" t="s">
        <v>75</v>
      </c>
      <c r="BN42" s="96">
        <f t="shared" si="34"/>
        <v>0</v>
      </c>
      <c r="BQ42" s="81" t="s">
        <v>75</v>
      </c>
      <c r="BR42" s="173">
        <f t="shared" si="58"/>
        <v>0</v>
      </c>
      <c r="BS42" s="173">
        <f t="shared" si="59"/>
        <v>0</v>
      </c>
      <c r="BT42" s="173">
        <f t="shared" si="60"/>
        <v>0</v>
      </c>
      <c r="BU42" s="173">
        <f t="shared" si="61"/>
        <v>0</v>
      </c>
      <c r="BV42" s="173">
        <f t="shared" si="62"/>
        <v>0</v>
      </c>
      <c r="BW42" s="173">
        <f t="shared" si="63"/>
        <v>0</v>
      </c>
      <c r="BX42" s="173">
        <f t="shared" si="64"/>
        <v>0</v>
      </c>
      <c r="BY42" s="173">
        <f t="shared" si="65"/>
        <v>0</v>
      </c>
      <c r="BZ42" s="173">
        <f t="shared" si="66"/>
        <v>0</v>
      </c>
      <c r="CA42" s="173">
        <f t="shared" si="67"/>
        <v>0</v>
      </c>
      <c r="CC42" s="81" t="s">
        <v>75</v>
      </c>
      <c r="CD42" s="170">
        <f t="shared" si="45"/>
        <v>0</v>
      </c>
      <c r="CE42" s="170">
        <f t="shared" si="35"/>
        <v>0</v>
      </c>
      <c r="CF42" s="170">
        <f t="shared" si="36"/>
        <v>0</v>
      </c>
      <c r="CG42" s="170">
        <f t="shared" si="37"/>
        <v>0</v>
      </c>
      <c r="CH42" s="170">
        <f t="shared" si="38"/>
        <v>0</v>
      </c>
      <c r="CI42" s="170">
        <f t="shared" si="39"/>
        <v>0</v>
      </c>
      <c r="CJ42" s="170">
        <f t="shared" si="40"/>
        <v>0</v>
      </c>
      <c r="CK42" s="170">
        <f t="shared" si="41"/>
        <v>0</v>
      </c>
      <c r="CL42" s="170">
        <f t="shared" si="42"/>
        <v>0</v>
      </c>
      <c r="CM42" s="170">
        <f t="shared" si="46"/>
        <v>0</v>
      </c>
      <c r="CN42" s="96">
        <f t="shared" si="43"/>
        <v>0</v>
      </c>
      <c r="CO42" s="225">
        <f t="shared" si="47"/>
        <v>0</v>
      </c>
      <c r="CP42" s="169">
        <f t="shared" si="44"/>
        <v>0</v>
      </c>
    </row>
    <row r="43" spans="2:94">
      <c r="B43" s="96" t="s">
        <v>27</v>
      </c>
      <c r="C43" s="96">
        <v>0</v>
      </c>
      <c r="D43" s="96">
        <v>0</v>
      </c>
      <c r="E43" s="96">
        <v>136222.15000000002</v>
      </c>
      <c r="F43" s="96">
        <v>599</v>
      </c>
      <c r="P43" s="96" t="s">
        <v>63</v>
      </c>
      <c r="Q43" s="170">
        <v>629519.54999999993</v>
      </c>
      <c r="R43" s="170">
        <v>644628.01919999998</v>
      </c>
      <c r="S43" s="170">
        <v>658165.20760319987</v>
      </c>
      <c r="T43" s="170">
        <v>671986.67696286703</v>
      </c>
      <c r="U43" s="170">
        <v>686098.39717908716</v>
      </c>
      <c r="V43" s="170">
        <v>700506.46351984795</v>
      </c>
      <c r="W43" s="170">
        <v>715217.09925376473</v>
      </c>
      <c r="X43" s="170">
        <v>730236.65833809366</v>
      </c>
      <c r="Y43" s="170">
        <v>745571.62816319359</v>
      </c>
      <c r="Z43" s="170">
        <v>761228.63235462049</v>
      </c>
      <c r="AB43" s="96" t="s">
        <v>63</v>
      </c>
      <c r="AC43" s="96">
        <v>2425</v>
      </c>
      <c r="AE43" s="96">
        <f t="shared" si="48"/>
        <v>259.59569072164948</v>
      </c>
      <c r="AF43" s="96">
        <f t="shared" si="49"/>
        <v>265.82598729896904</v>
      </c>
      <c r="AG43" s="96">
        <f t="shared" si="50"/>
        <v>271.40833303224736</v>
      </c>
      <c r="AH43" s="96">
        <f t="shared" si="51"/>
        <v>277.10790802592453</v>
      </c>
      <c r="AI43" s="96">
        <f t="shared" si="52"/>
        <v>282.92717409446891</v>
      </c>
      <c r="AJ43" s="96">
        <f t="shared" si="53"/>
        <v>288.86864475045275</v>
      </c>
      <c r="AK43" s="96">
        <f t="shared" si="54"/>
        <v>294.93488629021226</v>
      </c>
      <c r="AL43" s="96">
        <f t="shared" si="55"/>
        <v>301.12851890230667</v>
      </c>
      <c r="AM43" s="96">
        <f t="shared" si="56"/>
        <v>307.4522177992551</v>
      </c>
      <c r="AN43" s="96">
        <f t="shared" si="57"/>
        <v>313.9087143730394</v>
      </c>
      <c r="AS43" s="96" t="s">
        <v>63</v>
      </c>
      <c r="AT43" s="96">
        <f t="shared" si="23"/>
        <v>31.85239125154639</v>
      </c>
      <c r="AU43" s="96">
        <f t="shared" si="24"/>
        <v>32.616848641583502</v>
      </c>
      <c r="AV43" s="96">
        <f t="shared" si="25"/>
        <v>33.301802463056752</v>
      </c>
      <c r="AW43" s="96">
        <f t="shared" si="26"/>
        <v>34.00114031478094</v>
      </c>
      <c r="AX43" s="96">
        <f t="shared" si="27"/>
        <v>34.715164261391337</v>
      </c>
      <c r="AY43" s="96">
        <f t="shared" si="28"/>
        <v>35.444182710880554</v>
      </c>
      <c r="AZ43" s="96">
        <f t="shared" si="29"/>
        <v>36.188510547809045</v>
      </c>
      <c r="BA43" s="96">
        <f t="shared" si="30"/>
        <v>36.94846926931303</v>
      </c>
      <c r="BB43" s="96">
        <f t="shared" si="31"/>
        <v>37.724387123968604</v>
      </c>
      <c r="BC43" s="96">
        <f t="shared" si="32"/>
        <v>38.516599253571933</v>
      </c>
      <c r="BE43" s="169">
        <f t="shared" si="33"/>
        <v>34.647242952640319</v>
      </c>
      <c r="BM43" s="81" t="s">
        <v>41</v>
      </c>
      <c r="BN43" s="96">
        <f t="shared" si="34"/>
        <v>79000</v>
      </c>
      <c r="BQ43" s="81" t="s">
        <v>41</v>
      </c>
      <c r="BR43" s="173">
        <f t="shared" si="58"/>
        <v>0</v>
      </c>
      <c r="BS43" s="173">
        <f t="shared" si="59"/>
        <v>0</v>
      </c>
      <c r="BT43" s="173">
        <f t="shared" si="60"/>
        <v>0</v>
      </c>
      <c r="BU43" s="173">
        <f t="shared" si="61"/>
        <v>0</v>
      </c>
      <c r="BV43" s="173">
        <f t="shared" si="62"/>
        <v>0</v>
      </c>
      <c r="BW43" s="173">
        <f t="shared" si="63"/>
        <v>0</v>
      </c>
      <c r="BX43" s="173">
        <f t="shared" si="64"/>
        <v>0</v>
      </c>
      <c r="BY43" s="173">
        <f t="shared" si="65"/>
        <v>0</v>
      </c>
      <c r="BZ43" s="173">
        <f t="shared" si="66"/>
        <v>0</v>
      </c>
      <c r="CA43" s="173">
        <f t="shared" si="67"/>
        <v>0</v>
      </c>
      <c r="CC43" s="81" t="s">
        <v>41</v>
      </c>
      <c r="CD43" s="170">
        <f t="shared" si="45"/>
        <v>0</v>
      </c>
      <c r="CE43" s="170">
        <f t="shared" si="35"/>
        <v>4.7479898734177217</v>
      </c>
      <c r="CF43" s="170">
        <f t="shared" si="36"/>
        <v>9.695395321518987</v>
      </c>
      <c r="CG43" s="170">
        <f t="shared" si="37"/>
        <v>23.097663454298729</v>
      </c>
      <c r="CH43" s="170">
        <f t="shared" si="38"/>
        <v>74.11710235863687</v>
      </c>
      <c r="CI43" s="170">
        <f t="shared" si="39"/>
        <v>127.26917162737385</v>
      </c>
      <c r="CJ43" s="170">
        <f t="shared" si="40"/>
        <v>147.501530208785</v>
      </c>
      <c r="CK43" s="170">
        <f t="shared" si="41"/>
        <v>150.59906234316946</v>
      </c>
      <c r="CL43" s="170">
        <f t="shared" si="42"/>
        <v>153.761642652376</v>
      </c>
      <c r="CM43" s="170">
        <f t="shared" si="46"/>
        <v>156.99063714807588</v>
      </c>
      <c r="CN43" s="96">
        <f t="shared" si="43"/>
        <v>79000</v>
      </c>
      <c r="CO43" s="225">
        <f t="shared" si="47"/>
        <v>70.327798639962978</v>
      </c>
      <c r="CP43" s="169">
        <f t="shared" si="44"/>
        <v>1.2996839639935134</v>
      </c>
    </row>
    <row r="44" spans="2:94">
      <c r="B44" s="96" t="s">
        <v>27</v>
      </c>
      <c r="C44" s="96">
        <v>0</v>
      </c>
      <c r="D44" s="96">
        <v>0</v>
      </c>
      <c r="E44" s="96">
        <v>25613.739999999991</v>
      </c>
      <c r="F44" s="96">
        <v>565</v>
      </c>
      <c r="P44" s="96" t="s">
        <v>68</v>
      </c>
      <c r="Q44" s="170">
        <v>185412.75000000003</v>
      </c>
      <c r="R44" s="170">
        <v>189862.65600000005</v>
      </c>
      <c r="S44" s="170">
        <v>193849.77177600004</v>
      </c>
      <c r="T44" s="170">
        <v>197920.616983296</v>
      </c>
      <c r="U44" s="170">
        <v>202076.94993994519</v>
      </c>
      <c r="V44" s="170">
        <v>206320.56588868404</v>
      </c>
      <c r="W44" s="170">
        <v>210653.29777234638</v>
      </c>
      <c r="X44" s="170">
        <v>215077.01702556564</v>
      </c>
      <c r="Y44" s="170">
        <v>219593.6343831025</v>
      </c>
      <c r="Z44" s="170">
        <v>224205.1007051476</v>
      </c>
      <c r="AB44" s="96" t="s">
        <v>68</v>
      </c>
      <c r="AC44" s="96">
        <v>636.65</v>
      </c>
      <c r="AE44" s="96">
        <f t="shared" si="48"/>
        <v>291.23183852980452</v>
      </c>
      <c r="AF44" s="96">
        <f t="shared" si="49"/>
        <v>298.22140265451986</v>
      </c>
      <c r="AG44" s="96">
        <f t="shared" si="50"/>
        <v>304.48405211026471</v>
      </c>
      <c r="AH44" s="96">
        <f t="shared" si="51"/>
        <v>310.87821720458021</v>
      </c>
      <c r="AI44" s="96">
        <f t="shared" si="52"/>
        <v>317.40665976587638</v>
      </c>
      <c r="AJ44" s="96">
        <f t="shared" si="53"/>
        <v>324.07219962095979</v>
      </c>
      <c r="AK44" s="96">
        <f t="shared" si="54"/>
        <v>330.8777158129999</v>
      </c>
      <c r="AL44" s="96">
        <f t="shared" si="55"/>
        <v>337.82614784507285</v>
      </c>
      <c r="AM44" s="96">
        <f t="shared" si="56"/>
        <v>344.92049694981938</v>
      </c>
      <c r="AN44" s="96">
        <f t="shared" si="57"/>
        <v>352.1638273857655</v>
      </c>
      <c r="AS44" s="96" t="s">
        <v>68</v>
      </c>
      <c r="AT44" s="96">
        <f t="shared" si="23"/>
        <v>35.734146587607015</v>
      </c>
      <c r="AU44" s="96">
        <f t="shared" si="24"/>
        <v>36.591766105709588</v>
      </c>
      <c r="AV44" s="96">
        <f t="shared" si="25"/>
        <v>37.360193193929483</v>
      </c>
      <c r="AW44" s="96">
        <f t="shared" si="26"/>
        <v>38.144757251001991</v>
      </c>
      <c r="AX44" s="96">
        <f t="shared" si="27"/>
        <v>38.945797153273034</v>
      </c>
      <c r="AY44" s="96">
        <f t="shared" si="28"/>
        <v>39.763658893491765</v>
      </c>
      <c r="AZ44" s="96">
        <f t="shared" si="29"/>
        <v>40.598695730255088</v>
      </c>
      <c r="BA44" s="96">
        <f t="shared" si="30"/>
        <v>41.451268340590438</v>
      </c>
      <c r="BB44" s="96">
        <f t="shared" si="31"/>
        <v>42.321744975742838</v>
      </c>
      <c r="BC44" s="96">
        <f t="shared" si="32"/>
        <v>43.21050162023343</v>
      </c>
      <c r="BE44" s="169">
        <f t="shared" si="33"/>
        <v>38.869598478449419</v>
      </c>
      <c r="BM44" s="175" t="s">
        <v>42</v>
      </c>
      <c r="BN44" s="176">
        <f>SUMIFS($AC$137:$AC$266,$AB$137:$AB$266,$BM44)+AC56+AC57</f>
        <v>86128.5</v>
      </c>
      <c r="BQ44" s="81" t="s">
        <v>42</v>
      </c>
      <c r="BR44" s="173">
        <f t="shared" si="58"/>
        <v>15.05298184496124</v>
      </c>
      <c r="BS44" s="173">
        <f t="shared" si="59"/>
        <v>15.414253409240311</v>
      </c>
      <c r="BT44" s="173">
        <f t="shared" si="60"/>
        <v>15.737952730834358</v>
      </c>
      <c r="BU44" s="173">
        <f t="shared" si="61"/>
        <v>16.068449738181876</v>
      </c>
      <c r="BV44" s="173">
        <f t="shared" si="62"/>
        <v>16.405887182683692</v>
      </c>
      <c r="BW44" s="173">
        <f t="shared" si="63"/>
        <v>16.750410813520052</v>
      </c>
      <c r="BX44" s="173">
        <f t="shared" si="64"/>
        <v>17.102169440603969</v>
      </c>
      <c r="BY44" s="173">
        <f t="shared" si="65"/>
        <v>17.461314998856654</v>
      </c>
      <c r="BZ44" s="173">
        <f t="shared" si="66"/>
        <v>17.828002613832638</v>
      </c>
      <c r="CA44" s="173">
        <f t="shared" si="67"/>
        <v>18.202390668723123</v>
      </c>
      <c r="CC44" s="81" t="s">
        <v>42</v>
      </c>
      <c r="CD44" s="170">
        <f t="shared" si="45"/>
        <v>68.575026893664159</v>
      </c>
      <c r="CE44" s="170">
        <f t="shared" si="35"/>
        <v>85.105398967683541</v>
      </c>
      <c r="CF44" s="170">
        <f t="shared" si="36"/>
        <v>102.08975977457632</v>
      </c>
      <c r="CG44" s="170">
        <f t="shared" si="37"/>
        <v>135.26621977898526</v>
      </c>
      <c r="CH44" s="170">
        <f t="shared" si="38"/>
        <v>149.73493349328311</v>
      </c>
      <c r="CI44" s="170">
        <f t="shared" si="39"/>
        <v>152.87936709664206</v>
      </c>
      <c r="CJ44" s="170">
        <f t="shared" si="40"/>
        <v>156.0898338056715</v>
      </c>
      <c r="CK44" s="170">
        <f t="shared" si="41"/>
        <v>159.36772031559059</v>
      </c>
      <c r="CL44" s="170">
        <f t="shared" si="42"/>
        <v>162.714442442218</v>
      </c>
      <c r="CM44" s="170">
        <f t="shared" si="46"/>
        <v>166.13144573350453</v>
      </c>
      <c r="CN44" s="96">
        <f t="shared" si="43"/>
        <v>86128.5</v>
      </c>
      <c r="CO44" s="225">
        <f t="shared" si="47"/>
        <v>126.42271982009569</v>
      </c>
      <c r="CP44" s="169">
        <f t="shared" si="44"/>
        <v>2.5471566721299825</v>
      </c>
    </row>
    <row r="45" spans="2:94">
      <c r="B45" s="96" t="s">
        <v>28</v>
      </c>
      <c r="C45" s="96">
        <v>0</v>
      </c>
      <c r="D45" s="96">
        <v>0</v>
      </c>
      <c r="E45" s="96">
        <v>88918.040000000023</v>
      </c>
      <c r="F45" s="96">
        <v>500</v>
      </c>
      <c r="P45" s="96" t="s">
        <v>68</v>
      </c>
      <c r="Q45" s="170">
        <v>7533.279999999997</v>
      </c>
      <c r="R45" s="170">
        <v>7714.0787199999968</v>
      </c>
      <c r="S45" s="170">
        <v>7876.0743731199964</v>
      </c>
      <c r="T45" s="170">
        <v>8041.4719349555153</v>
      </c>
      <c r="U45" s="170">
        <v>8210.342845589581</v>
      </c>
      <c r="V45" s="170">
        <v>8382.7600453469622</v>
      </c>
      <c r="W45" s="170">
        <v>8558.7980062992465</v>
      </c>
      <c r="X45" s="170">
        <v>8738.5327644315294</v>
      </c>
      <c r="Y45" s="170">
        <v>8922.0419524845911</v>
      </c>
      <c r="Z45" s="170">
        <v>9109.4048334867657</v>
      </c>
      <c r="AB45" s="96" t="s">
        <v>68</v>
      </c>
      <c r="AC45" s="96">
        <v>526.15</v>
      </c>
      <c r="AE45" s="96">
        <f t="shared" si="48"/>
        <v>14.317742088757953</v>
      </c>
      <c r="AF45" s="96">
        <f t="shared" si="49"/>
        <v>14.661367898888145</v>
      </c>
      <c r="AG45" s="96">
        <f t="shared" si="50"/>
        <v>14.969256624764794</v>
      </c>
      <c r="AH45" s="96">
        <f t="shared" si="51"/>
        <v>15.283611013884853</v>
      </c>
      <c r="AI45" s="96">
        <f t="shared" si="52"/>
        <v>15.604566845176436</v>
      </c>
      <c r="AJ45" s="96">
        <f t="shared" si="53"/>
        <v>15.93226274892514</v>
      </c>
      <c r="AK45" s="96">
        <f t="shared" si="54"/>
        <v>16.266840266652565</v>
      </c>
      <c r="AL45" s="96">
        <f t="shared" si="55"/>
        <v>16.608443912252266</v>
      </c>
      <c r="AM45" s="96">
        <f t="shared" si="56"/>
        <v>16.957221234409563</v>
      </c>
      <c r="AN45" s="96">
        <f t="shared" si="57"/>
        <v>17.313322880332159</v>
      </c>
      <c r="AS45" s="96" t="s">
        <v>68</v>
      </c>
      <c r="AT45" s="96">
        <f t="shared" si="23"/>
        <v>1.7567869542906009</v>
      </c>
      <c r="AU45" s="96">
        <f t="shared" si="24"/>
        <v>1.7989498411935754</v>
      </c>
      <c r="AV45" s="96">
        <f t="shared" si="25"/>
        <v>1.8367277878586403</v>
      </c>
      <c r="AW45" s="96">
        <f t="shared" si="26"/>
        <v>1.8752990714036715</v>
      </c>
      <c r="AX45" s="96">
        <f t="shared" si="27"/>
        <v>1.9146803519031488</v>
      </c>
      <c r="AY45" s="96">
        <f t="shared" si="28"/>
        <v>1.9548886392931148</v>
      </c>
      <c r="AZ45" s="96">
        <f t="shared" si="29"/>
        <v>1.9959413007182698</v>
      </c>
      <c r="BA45" s="96">
        <f t="shared" si="30"/>
        <v>2.0378560680333533</v>
      </c>
      <c r="BB45" s="96">
        <f t="shared" si="31"/>
        <v>2.0806510454620533</v>
      </c>
      <c r="BC45" s="96">
        <f t="shared" si="32"/>
        <v>2.124344717416756</v>
      </c>
      <c r="BE45" s="169">
        <f t="shared" si="33"/>
        <v>1.9109342196837551</v>
      </c>
      <c r="BM45" s="81" t="s">
        <v>44</v>
      </c>
      <c r="BN45" s="96">
        <f t="shared" si="34"/>
        <v>2230</v>
      </c>
      <c r="BQ45" s="81" t="s">
        <v>44</v>
      </c>
      <c r="BR45" s="173">
        <f t="shared" si="58"/>
        <v>0</v>
      </c>
      <c r="BS45" s="173">
        <f t="shared" si="59"/>
        <v>0</v>
      </c>
      <c r="BT45" s="173">
        <f t="shared" si="60"/>
        <v>0</v>
      </c>
      <c r="BU45" s="173">
        <f t="shared" si="61"/>
        <v>0</v>
      </c>
      <c r="BV45" s="173">
        <f t="shared" si="62"/>
        <v>0</v>
      </c>
      <c r="BW45" s="173">
        <f t="shared" si="63"/>
        <v>0</v>
      </c>
      <c r="BX45" s="173">
        <f t="shared" si="64"/>
        <v>0</v>
      </c>
      <c r="BY45" s="173">
        <f t="shared" si="65"/>
        <v>0</v>
      </c>
      <c r="BZ45" s="173">
        <f t="shared" si="66"/>
        <v>0</v>
      </c>
      <c r="CA45" s="173">
        <f t="shared" si="67"/>
        <v>0</v>
      </c>
      <c r="CC45" s="81" t="s">
        <v>44</v>
      </c>
      <c r="CD45" s="170">
        <f t="shared" si="45"/>
        <v>3.9818938690582963</v>
      </c>
      <c r="CE45" s="170">
        <f t="shared" si="35"/>
        <v>4.0774593219156952</v>
      </c>
      <c r="CF45" s="170">
        <f t="shared" si="36"/>
        <v>4.1630859676759249</v>
      </c>
      <c r="CG45" s="170">
        <f t="shared" si="37"/>
        <v>4.250510772997119</v>
      </c>
      <c r="CH45" s="170">
        <f t="shared" si="38"/>
        <v>4.3397714992300571</v>
      </c>
      <c r="CI45" s="170">
        <f t="shared" si="39"/>
        <v>4.430906700713888</v>
      </c>
      <c r="CJ45" s="170">
        <f t="shared" si="40"/>
        <v>4.5239557414288791</v>
      </c>
      <c r="CK45" s="170">
        <f t="shared" si="41"/>
        <v>4.6189588119988851</v>
      </c>
      <c r="CL45" s="170">
        <f t="shared" si="42"/>
        <v>4.7159569470508611</v>
      </c>
      <c r="CM45" s="170">
        <f t="shared" si="46"/>
        <v>4.814992042938929</v>
      </c>
      <c r="CN45" s="96">
        <f t="shared" si="43"/>
        <v>2230</v>
      </c>
      <c r="CO45" s="225">
        <f t="shared" si="47"/>
        <v>4.3312806000458099</v>
      </c>
      <c r="CP45" s="169">
        <f t="shared" si="44"/>
        <v>2.2594608926827663E-3</v>
      </c>
    </row>
    <row r="46" spans="2:94">
      <c r="B46" s="96" t="s">
        <v>29</v>
      </c>
      <c r="C46" s="96">
        <v>0</v>
      </c>
      <c r="D46" s="96">
        <v>0</v>
      </c>
      <c r="E46" s="96">
        <v>58046.420000000006</v>
      </c>
      <c r="F46" s="96">
        <v>491</v>
      </c>
      <c r="P46" s="96" t="s">
        <v>64</v>
      </c>
      <c r="Q46" s="170">
        <v>298101.70999999961</v>
      </c>
      <c r="R46" s="170">
        <v>305256.15103999962</v>
      </c>
      <c r="S46" s="170">
        <v>311666.53021183959</v>
      </c>
      <c r="T46" s="170">
        <v>318211.5273462882</v>
      </c>
      <c r="U46" s="170">
        <v>324893.96942056017</v>
      </c>
      <c r="V46" s="170">
        <v>331716.74277839193</v>
      </c>
      <c r="W46" s="170">
        <v>338682.79437673814</v>
      </c>
      <c r="X46" s="170">
        <v>345795.1330586496</v>
      </c>
      <c r="Y46" s="170">
        <v>353056.83085288119</v>
      </c>
      <c r="Z46" s="170">
        <v>360471.02430079167</v>
      </c>
      <c r="AB46" s="96" t="s">
        <v>64</v>
      </c>
      <c r="AC46" s="96">
        <v>1748</v>
      </c>
      <c r="AE46" s="96">
        <f t="shared" si="48"/>
        <v>170.53873569794027</v>
      </c>
      <c r="AF46" s="96">
        <f t="shared" si="49"/>
        <v>174.63166535469085</v>
      </c>
      <c r="AG46" s="96">
        <f t="shared" si="50"/>
        <v>178.29893032713935</v>
      </c>
      <c r="AH46" s="96">
        <f t="shared" si="51"/>
        <v>182.04320786400928</v>
      </c>
      <c r="AI46" s="96">
        <f t="shared" si="52"/>
        <v>185.86611522915342</v>
      </c>
      <c r="AJ46" s="96">
        <f t="shared" si="53"/>
        <v>189.76930364896563</v>
      </c>
      <c r="AK46" s="96">
        <f t="shared" si="54"/>
        <v>193.75445902559389</v>
      </c>
      <c r="AL46" s="96">
        <f t="shared" si="55"/>
        <v>197.82330266513137</v>
      </c>
      <c r="AM46" s="96">
        <f t="shared" si="56"/>
        <v>201.97759202109907</v>
      </c>
      <c r="AN46" s="96">
        <f t="shared" si="57"/>
        <v>206.21912145354216</v>
      </c>
      <c r="AS46" s="96" t="s">
        <v>64</v>
      </c>
      <c r="AT46" s="96">
        <f t="shared" si="23"/>
        <v>20.925102870137273</v>
      </c>
      <c r="AU46" s="96">
        <f t="shared" si="24"/>
        <v>21.427305339020567</v>
      </c>
      <c r="AV46" s="96">
        <f t="shared" si="25"/>
        <v>21.877278751139997</v>
      </c>
      <c r="AW46" s="96">
        <f t="shared" si="26"/>
        <v>22.336701604913937</v>
      </c>
      <c r="AX46" s="96">
        <f t="shared" si="27"/>
        <v>22.805772338617125</v>
      </c>
      <c r="AY46" s="96">
        <f t="shared" si="28"/>
        <v>23.284693557728083</v>
      </c>
      <c r="AZ46" s="96">
        <f t="shared" si="29"/>
        <v>23.77367212244037</v>
      </c>
      <c r="BA46" s="96">
        <f t="shared" si="30"/>
        <v>24.272919237011621</v>
      </c>
      <c r="BB46" s="96">
        <f t="shared" si="31"/>
        <v>24.782650540988858</v>
      </c>
      <c r="BC46" s="96">
        <f t="shared" si="32"/>
        <v>25.303086202349622</v>
      </c>
      <c r="BE46" s="169">
        <f t="shared" si="33"/>
        <v>22.761152129055294</v>
      </c>
      <c r="BM46" s="81" t="s">
        <v>46</v>
      </c>
      <c r="BN46" s="96">
        <f t="shared" si="34"/>
        <v>716000</v>
      </c>
      <c r="BQ46" s="81" t="s">
        <v>46</v>
      </c>
      <c r="BR46" s="173">
        <f t="shared" si="58"/>
        <v>0</v>
      </c>
      <c r="BS46" s="173">
        <f t="shared" si="59"/>
        <v>0</v>
      </c>
      <c r="BT46" s="173">
        <f t="shared" si="60"/>
        <v>0</v>
      </c>
      <c r="BU46" s="173">
        <f t="shared" si="61"/>
        <v>0</v>
      </c>
      <c r="BV46" s="173">
        <f t="shared" si="62"/>
        <v>0</v>
      </c>
      <c r="BW46" s="173">
        <f t="shared" si="63"/>
        <v>0</v>
      </c>
      <c r="BX46" s="173">
        <f t="shared" si="64"/>
        <v>0</v>
      </c>
      <c r="BY46" s="173">
        <f t="shared" si="65"/>
        <v>0</v>
      </c>
      <c r="BZ46" s="173">
        <f t="shared" si="66"/>
        <v>0</v>
      </c>
      <c r="CA46" s="173">
        <f t="shared" si="67"/>
        <v>0</v>
      </c>
      <c r="CC46" s="81" t="s">
        <v>46</v>
      </c>
      <c r="CD46" s="170">
        <f t="shared" si="45"/>
        <v>55.723744692737441</v>
      </c>
      <c r="CE46" s="170">
        <f t="shared" si="35"/>
        <v>82.178576017877106</v>
      </c>
      <c r="CF46" s="170">
        <f t="shared" si="36"/>
        <v>125.87006816564917</v>
      </c>
      <c r="CG46" s="170">
        <f t="shared" si="37"/>
        <v>178.54156061604468</v>
      </c>
      <c r="CH46" s="170">
        <f t="shared" si="38"/>
        <v>265.92675705739009</v>
      </c>
      <c r="CI46" s="170">
        <f t="shared" si="39"/>
        <v>442.29557088648534</v>
      </c>
      <c r="CJ46" s="170">
        <f t="shared" si="40"/>
        <v>596.89279730963381</v>
      </c>
      <c r="CK46" s="170">
        <f t="shared" si="41"/>
        <v>698.44385135873051</v>
      </c>
      <c r="CL46" s="170">
        <f t="shared" si="42"/>
        <v>713.11117223726376</v>
      </c>
      <c r="CM46" s="170">
        <f t="shared" si="46"/>
        <v>728.0865068542463</v>
      </c>
      <c r="CN46" s="96">
        <f t="shared" si="43"/>
        <v>716000</v>
      </c>
      <c r="CO46" s="225">
        <f t="shared" si="47"/>
        <v>329.98838316101359</v>
      </c>
      <c r="CP46" s="169">
        <f t="shared" si="44"/>
        <v>55.27074509163586</v>
      </c>
    </row>
    <row r="47" spans="2:94">
      <c r="B47" s="96" t="s">
        <v>29</v>
      </c>
      <c r="C47" s="96">
        <v>162157.46999999997</v>
      </c>
      <c r="D47" s="96">
        <v>67130.83</v>
      </c>
      <c r="E47" s="96">
        <v>79387.240000000005</v>
      </c>
      <c r="F47" s="96">
        <v>1130</v>
      </c>
      <c r="P47" s="96" t="s">
        <v>66</v>
      </c>
      <c r="Q47" s="170">
        <v>77758.590000000011</v>
      </c>
      <c r="R47" s="170">
        <v>79624.796160000013</v>
      </c>
      <c r="S47" s="170">
        <v>81296.916879360011</v>
      </c>
      <c r="T47" s="170">
        <v>83004.152133826559</v>
      </c>
      <c r="U47" s="170">
        <v>84747.239328636904</v>
      </c>
      <c r="V47" s="170">
        <v>86526.931354538276</v>
      </c>
      <c r="W47" s="170">
        <v>88343.996912983566</v>
      </c>
      <c r="X47" s="170">
        <v>90199.220848156227</v>
      </c>
      <c r="Y47" s="170">
        <v>92093.40448596749</v>
      </c>
      <c r="Z47" s="170">
        <v>94027.365980172792</v>
      </c>
      <c r="AB47" s="96" t="s">
        <v>66</v>
      </c>
      <c r="AC47" s="96">
        <v>808</v>
      </c>
      <c r="AE47" s="96">
        <f t="shared" si="48"/>
        <v>96.235878712871298</v>
      </c>
      <c r="AF47" s="96">
        <f t="shared" si="49"/>
        <v>98.545539801980212</v>
      </c>
      <c r="AG47" s="96">
        <f t="shared" si="50"/>
        <v>100.61499613782179</v>
      </c>
      <c r="AH47" s="96">
        <f t="shared" si="51"/>
        <v>102.72791105671604</v>
      </c>
      <c r="AI47" s="96">
        <f t="shared" si="52"/>
        <v>104.88519718890706</v>
      </c>
      <c r="AJ47" s="96">
        <f t="shared" si="53"/>
        <v>107.08778632987411</v>
      </c>
      <c r="AK47" s="96">
        <f t="shared" si="54"/>
        <v>109.33662984280144</v>
      </c>
      <c r="AL47" s="96">
        <f t="shared" si="55"/>
        <v>111.63269906950028</v>
      </c>
      <c r="AM47" s="96">
        <f t="shared" si="56"/>
        <v>113.97698574995977</v>
      </c>
      <c r="AN47" s="96">
        <f t="shared" si="57"/>
        <v>116.3705024507089</v>
      </c>
      <c r="AS47" s="96" t="s">
        <v>66</v>
      </c>
      <c r="AT47" s="96">
        <f t="shared" si="23"/>
        <v>11.808142318069308</v>
      </c>
      <c r="AU47" s="96">
        <f t="shared" si="24"/>
        <v>12.091537733702973</v>
      </c>
      <c r="AV47" s="96">
        <f t="shared" si="25"/>
        <v>12.345460026110734</v>
      </c>
      <c r="AW47" s="96">
        <f t="shared" si="26"/>
        <v>12.604714686659058</v>
      </c>
      <c r="AX47" s="96">
        <f t="shared" si="27"/>
        <v>12.869413695078896</v>
      </c>
      <c r="AY47" s="96">
        <f t="shared" si="28"/>
        <v>13.139671382675553</v>
      </c>
      <c r="AZ47" s="96">
        <f t="shared" si="29"/>
        <v>13.415604481711737</v>
      </c>
      <c r="BA47" s="96">
        <f t="shared" si="30"/>
        <v>13.697332175827684</v>
      </c>
      <c r="BB47" s="96">
        <f t="shared" si="31"/>
        <v>13.984976151520064</v>
      </c>
      <c r="BC47" s="96">
        <f t="shared" si="32"/>
        <v>14.278660650701982</v>
      </c>
      <c r="BE47" s="169">
        <f t="shared" si="33"/>
        <v>12.844234283152559</v>
      </c>
      <c r="BM47" s="81" t="s">
        <v>47</v>
      </c>
      <c r="BN47" s="96">
        <f t="shared" si="34"/>
        <v>117242.7</v>
      </c>
      <c r="BQ47" s="81" t="s">
        <v>47</v>
      </c>
      <c r="BR47" s="173">
        <f t="shared" si="58"/>
        <v>17.87438028835064</v>
      </c>
      <c r="BS47" s="173">
        <f t="shared" si="59"/>
        <v>18.303365415271053</v>
      </c>
      <c r="BT47" s="173">
        <f t="shared" si="60"/>
        <v>18.687736088991745</v>
      </c>
      <c r="BU47" s="173">
        <f t="shared" si="61"/>
        <v>19.080178546860569</v>
      </c>
      <c r="BV47" s="173">
        <f t="shared" si="62"/>
        <v>19.48086229634464</v>
      </c>
      <c r="BW47" s="173">
        <f t="shared" si="63"/>
        <v>19.889960404567876</v>
      </c>
      <c r="BX47" s="173">
        <f t="shared" si="64"/>
        <v>20.307649573063795</v>
      </c>
      <c r="BY47" s="173">
        <f t="shared" si="65"/>
        <v>20.734110214098138</v>
      </c>
      <c r="BZ47" s="173">
        <f t="shared" si="66"/>
        <v>21.169526528594197</v>
      </c>
      <c r="CA47" s="173">
        <f t="shared" si="67"/>
        <v>21.614086585694672</v>
      </c>
      <c r="CC47" s="81" t="s">
        <v>47</v>
      </c>
      <c r="CD47" s="170">
        <f t="shared" si="45"/>
        <v>142.95235368796995</v>
      </c>
      <c r="CE47" s="170">
        <f t="shared" si="35"/>
        <v>218.54946363855015</v>
      </c>
      <c r="CF47" s="170">
        <f t="shared" si="36"/>
        <v>223.13900237495972</v>
      </c>
      <c r="CG47" s="170">
        <f t="shared" si="37"/>
        <v>227.82492142483386</v>
      </c>
      <c r="CH47" s="170">
        <f t="shared" si="38"/>
        <v>232.60924477475535</v>
      </c>
      <c r="CI47" s="170">
        <f t="shared" si="39"/>
        <v>237.49403891502521</v>
      </c>
      <c r="CJ47" s="170">
        <f t="shared" si="40"/>
        <v>242.48141373224067</v>
      </c>
      <c r="CK47" s="170">
        <f t="shared" si="41"/>
        <v>247.5735234206177</v>
      </c>
      <c r="CL47" s="170">
        <f t="shared" si="42"/>
        <v>252.77256741245066</v>
      </c>
      <c r="CM47" s="170">
        <f t="shared" si="46"/>
        <v>258.08079132811207</v>
      </c>
      <c r="CN47" s="96">
        <f t="shared" si="43"/>
        <v>117242.7</v>
      </c>
      <c r="CO47" s="225">
        <f t="shared" si="47"/>
        <v>222.2840062357408</v>
      </c>
      <c r="CP47" s="169">
        <f t="shared" si="44"/>
        <v>6.0964592103004565</v>
      </c>
    </row>
    <row r="48" spans="2:94">
      <c r="B48" s="96" t="s">
        <v>29</v>
      </c>
      <c r="C48" s="96">
        <v>6905</v>
      </c>
      <c r="D48" s="96">
        <v>0</v>
      </c>
      <c r="E48" s="96">
        <v>0</v>
      </c>
      <c r="F48" s="96">
        <v>470</v>
      </c>
      <c r="P48" s="96" t="s">
        <v>19</v>
      </c>
      <c r="Q48" s="170">
        <v>258161.25999999992</v>
      </c>
      <c r="R48" s="170">
        <v>264357.13023999991</v>
      </c>
      <c r="S48" s="170">
        <v>269908.62997503992</v>
      </c>
      <c r="T48" s="170">
        <v>275576.71120451571</v>
      </c>
      <c r="U48" s="170">
        <v>281363.82213981048</v>
      </c>
      <c r="V48" s="170">
        <v>287272.4624047465</v>
      </c>
      <c r="W48" s="170">
        <v>293305.18411524617</v>
      </c>
      <c r="X48" s="170">
        <v>299464.59298166633</v>
      </c>
      <c r="Y48" s="170">
        <v>305753.34943428129</v>
      </c>
      <c r="Z48" s="170">
        <v>312174.1697724011</v>
      </c>
      <c r="AB48" s="96" t="s">
        <v>19</v>
      </c>
      <c r="AC48" s="96">
        <v>408</v>
      </c>
      <c r="AE48" s="96">
        <f t="shared" si="48"/>
        <v>632.74818627450964</v>
      </c>
      <c r="AF48" s="96">
        <f t="shared" si="49"/>
        <v>647.9341427450978</v>
      </c>
      <c r="AG48" s="96">
        <f t="shared" si="50"/>
        <v>661.54075974274485</v>
      </c>
      <c r="AH48" s="96">
        <f t="shared" si="51"/>
        <v>675.43311569734249</v>
      </c>
      <c r="AI48" s="96">
        <f t="shared" si="52"/>
        <v>689.61721112698649</v>
      </c>
      <c r="AJ48" s="96">
        <f t="shared" si="53"/>
        <v>704.09917256065319</v>
      </c>
      <c r="AK48" s="96">
        <f t="shared" si="54"/>
        <v>718.88525518442691</v>
      </c>
      <c r="AL48" s="96">
        <f t="shared" si="55"/>
        <v>733.98184554329987</v>
      </c>
      <c r="AM48" s="96">
        <f t="shared" si="56"/>
        <v>749.39546429970903</v>
      </c>
      <c r="AN48" s="96">
        <f t="shared" si="57"/>
        <v>765.13276905000271</v>
      </c>
      <c r="AS48" s="96" t="s">
        <v>19</v>
      </c>
      <c r="AT48" s="96">
        <f t="shared" si="23"/>
        <v>77.638202455882336</v>
      </c>
      <c r="AU48" s="96">
        <f t="shared" si="24"/>
        <v>79.501519314823497</v>
      </c>
      <c r="AV48" s="96">
        <f t="shared" si="25"/>
        <v>81.171051220434791</v>
      </c>
      <c r="AW48" s="96">
        <f t="shared" si="26"/>
        <v>82.875643296063927</v>
      </c>
      <c r="AX48" s="96">
        <f t="shared" si="27"/>
        <v>84.616031805281239</v>
      </c>
      <c r="AY48" s="96">
        <f t="shared" si="28"/>
        <v>86.392968473192155</v>
      </c>
      <c r="AZ48" s="96">
        <f t="shared" si="29"/>
        <v>88.20722081112919</v>
      </c>
      <c r="BA48" s="96">
        <f t="shared" si="30"/>
        <v>90.059572448162896</v>
      </c>
      <c r="BB48" s="96">
        <f t="shared" si="31"/>
        <v>91.950823469574303</v>
      </c>
      <c r="BC48" s="96">
        <f t="shared" si="32"/>
        <v>93.88179076243533</v>
      </c>
      <c r="BE48" s="169">
        <f t="shared" si="33"/>
        <v>84.450477882555788</v>
      </c>
      <c r="BM48" s="81" t="s">
        <v>48</v>
      </c>
      <c r="BN48" s="96">
        <f t="shared" si="34"/>
        <v>4642.7</v>
      </c>
      <c r="BQ48" s="81" t="s">
        <v>48</v>
      </c>
      <c r="BR48" s="173">
        <f t="shared" si="58"/>
        <v>6.2256671190342647</v>
      </c>
      <c r="BS48" s="173">
        <f t="shared" si="59"/>
        <v>6.3750831298910882</v>
      </c>
      <c r="BT48" s="173">
        <f t="shared" si="60"/>
        <v>6.5089598756187996</v>
      </c>
      <c r="BU48" s="173">
        <f t="shared" si="61"/>
        <v>6.6456480330067933</v>
      </c>
      <c r="BV48" s="173">
        <f t="shared" si="62"/>
        <v>6.7852066416999346</v>
      </c>
      <c r="BW48" s="173">
        <f t="shared" si="63"/>
        <v>6.927695981175634</v>
      </c>
      <c r="BX48" s="173">
        <f t="shared" si="64"/>
        <v>7.0731775967803214</v>
      </c>
      <c r="BY48" s="173">
        <f t="shared" si="65"/>
        <v>7.2217143263127079</v>
      </c>
      <c r="BZ48" s="173">
        <f t="shared" si="66"/>
        <v>7.373370327165274</v>
      </c>
      <c r="CA48" s="173">
        <f t="shared" si="67"/>
        <v>7.5282111040357433</v>
      </c>
      <c r="CC48" s="81" t="s">
        <v>48</v>
      </c>
      <c r="CD48" s="170">
        <f t="shared" si="45"/>
        <v>46.282056843311338</v>
      </c>
      <c r="CE48" s="170">
        <f t="shared" si="35"/>
        <v>47.392826207550804</v>
      </c>
      <c r="CF48" s="170">
        <f t="shared" si="36"/>
        <v>48.388075557909367</v>
      </c>
      <c r="CG48" s="170">
        <f t="shared" si="37"/>
        <v>49.404225144625464</v>
      </c>
      <c r="CH48" s="170">
        <f t="shared" si="38"/>
        <v>50.441713872662596</v>
      </c>
      <c r="CI48" s="170">
        <f t="shared" si="39"/>
        <v>51.500989863988494</v>
      </c>
      <c r="CJ48" s="170">
        <f t="shared" si="40"/>
        <v>52.582510651132253</v>
      </c>
      <c r="CK48" s="170">
        <f t="shared" si="41"/>
        <v>53.686743374806028</v>
      </c>
      <c r="CL48" s="170">
        <f t="shared" si="42"/>
        <v>54.814164985676953</v>
      </c>
      <c r="CM48" s="170">
        <f t="shared" si="46"/>
        <v>55.965262450376159</v>
      </c>
      <c r="CN48" s="96">
        <f t="shared" si="43"/>
        <v>4642.7</v>
      </c>
      <c r="CO48" s="225">
        <f t="shared" si="47"/>
        <v>50.343023075866157</v>
      </c>
      <c r="CP48" s="169">
        <f t="shared" si="44"/>
        <v>5.4675600087092567E-2</v>
      </c>
    </row>
    <row r="49" spans="2:94">
      <c r="B49" s="96" t="s">
        <v>30</v>
      </c>
      <c r="C49" s="96">
        <v>0</v>
      </c>
      <c r="D49" s="96">
        <v>0</v>
      </c>
      <c r="E49" s="96">
        <v>363103.58999999985</v>
      </c>
      <c r="F49" s="96">
        <v>810</v>
      </c>
      <c r="P49" s="96" t="s">
        <v>19</v>
      </c>
      <c r="Q49" s="170">
        <v>37718.19</v>
      </c>
      <c r="R49" s="170">
        <v>38623.42656</v>
      </c>
      <c r="S49" s="170">
        <v>39434.51851776</v>
      </c>
      <c r="T49" s="170">
        <v>40262.64340663296</v>
      </c>
      <c r="U49" s="170">
        <v>41108.158918172245</v>
      </c>
      <c r="V49" s="170">
        <v>41971.430255453859</v>
      </c>
      <c r="W49" s="170">
        <v>42852.830290818383</v>
      </c>
      <c r="X49" s="170">
        <v>43752.739726925567</v>
      </c>
      <c r="Y49" s="170">
        <v>44671.547261191001</v>
      </c>
      <c r="Z49" s="170">
        <v>45609.649753676007</v>
      </c>
      <c r="AB49" s="96" t="s">
        <v>19</v>
      </c>
      <c r="AC49" s="96">
        <v>227.79999999999998</v>
      </c>
      <c r="AE49" s="96">
        <f t="shared" si="48"/>
        <v>165.57589991220371</v>
      </c>
      <c r="AF49" s="96">
        <f t="shared" si="49"/>
        <v>169.54972151009659</v>
      </c>
      <c r="AG49" s="96">
        <f t="shared" si="50"/>
        <v>173.11026566180863</v>
      </c>
      <c r="AH49" s="96">
        <f t="shared" si="51"/>
        <v>176.7455812407066</v>
      </c>
      <c r="AI49" s="96">
        <f t="shared" si="52"/>
        <v>180.45723844676141</v>
      </c>
      <c r="AJ49" s="96">
        <f t="shared" si="53"/>
        <v>184.24684045414338</v>
      </c>
      <c r="AK49" s="96">
        <f t="shared" si="54"/>
        <v>188.11602410368036</v>
      </c>
      <c r="AL49" s="96">
        <f t="shared" si="55"/>
        <v>192.06646060985764</v>
      </c>
      <c r="AM49" s="96">
        <f t="shared" si="56"/>
        <v>196.09985628266463</v>
      </c>
      <c r="AN49" s="96">
        <f t="shared" si="57"/>
        <v>200.21795326460057</v>
      </c>
      <c r="AS49" s="96" t="s">
        <v>19</v>
      </c>
      <c r="AT49" s="96">
        <f t="shared" si="23"/>
        <v>20.316162919227395</v>
      </c>
      <c r="AU49" s="96">
        <f t="shared" si="24"/>
        <v>20.803750829288852</v>
      </c>
      <c r="AV49" s="96">
        <f t="shared" si="25"/>
        <v>21.240629596703918</v>
      </c>
      <c r="AW49" s="96">
        <f t="shared" si="26"/>
        <v>21.686682818234701</v>
      </c>
      <c r="AX49" s="96">
        <f t="shared" si="27"/>
        <v>22.142103157417626</v>
      </c>
      <c r="AY49" s="96">
        <f t="shared" si="28"/>
        <v>22.607087323723395</v>
      </c>
      <c r="AZ49" s="96">
        <f t="shared" si="29"/>
        <v>23.081836157521582</v>
      </c>
      <c r="BA49" s="96">
        <f t="shared" si="30"/>
        <v>23.566554716829533</v>
      </c>
      <c r="BB49" s="96">
        <f t="shared" si="31"/>
        <v>24.06145236588295</v>
      </c>
      <c r="BC49" s="96">
        <f t="shared" si="32"/>
        <v>24.566742865566489</v>
      </c>
      <c r="BE49" s="169">
        <f t="shared" si="33"/>
        <v>22.098781437444533</v>
      </c>
      <c r="BM49" s="81" t="s">
        <v>76</v>
      </c>
      <c r="BN49" s="96">
        <f t="shared" si="34"/>
        <v>0</v>
      </c>
      <c r="BQ49" s="81" t="s">
        <v>76</v>
      </c>
      <c r="BR49" s="173">
        <f t="shared" si="58"/>
        <v>0</v>
      </c>
      <c r="BS49" s="173">
        <f t="shared" si="59"/>
        <v>0</v>
      </c>
      <c r="BT49" s="173">
        <f t="shared" si="60"/>
        <v>0</v>
      </c>
      <c r="BU49" s="173">
        <f t="shared" si="61"/>
        <v>0</v>
      </c>
      <c r="BV49" s="173">
        <f t="shared" si="62"/>
        <v>0</v>
      </c>
      <c r="BW49" s="173">
        <f t="shared" si="63"/>
        <v>0</v>
      </c>
      <c r="BX49" s="173">
        <f t="shared" si="64"/>
        <v>0</v>
      </c>
      <c r="BY49" s="173">
        <f t="shared" si="65"/>
        <v>0</v>
      </c>
      <c r="BZ49" s="173">
        <f t="shared" si="66"/>
        <v>0</v>
      </c>
      <c r="CA49" s="173">
        <f t="shared" si="67"/>
        <v>0</v>
      </c>
      <c r="CC49" s="81" t="s">
        <v>76</v>
      </c>
      <c r="CD49" s="170">
        <f t="shared" si="45"/>
        <v>0</v>
      </c>
      <c r="CE49" s="170">
        <f t="shared" si="35"/>
        <v>0</v>
      </c>
      <c r="CF49" s="170">
        <f t="shared" si="36"/>
        <v>0</v>
      </c>
      <c r="CG49" s="170">
        <f t="shared" si="37"/>
        <v>0</v>
      </c>
      <c r="CH49" s="170">
        <f t="shared" si="38"/>
        <v>0</v>
      </c>
      <c r="CI49" s="170">
        <f t="shared" si="39"/>
        <v>0</v>
      </c>
      <c r="CJ49" s="170">
        <f t="shared" si="40"/>
        <v>0</v>
      </c>
      <c r="CK49" s="170">
        <f t="shared" si="41"/>
        <v>0</v>
      </c>
      <c r="CL49" s="170">
        <f t="shared" si="42"/>
        <v>0</v>
      </c>
      <c r="CM49" s="170">
        <f t="shared" si="46"/>
        <v>0</v>
      </c>
      <c r="CN49" s="96">
        <f t="shared" si="43"/>
        <v>0</v>
      </c>
      <c r="CO49" s="225">
        <f t="shared" si="47"/>
        <v>0</v>
      </c>
      <c r="CP49" s="169">
        <f t="shared" si="44"/>
        <v>0</v>
      </c>
    </row>
    <row r="50" spans="2:94">
      <c r="B50" s="96" t="s">
        <v>40</v>
      </c>
      <c r="C50" s="96">
        <v>0</v>
      </c>
      <c r="D50" s="96">
        <v>0</v>
      </c>
      <c r="E50" s="96">
        <v>64227</v>
      </c>
      <c r="F50" s="96">
        <v>42</v>
      </c>
      <c r="P50" s="96" t="s">
        <v>19</v>
      </c>
      <c r="Q50" s="170">
        <v>180443.44999999995</v>
      </c>
      <c r="R50" s="170">
        <v>184774.09279999995</v>
      </c>
      <c r="S50" s="170">
        <v>188654.34874879994</v>
      </c>
      <c r="T50" s="170">
        <v>192616.09007252473</v>
      </c>
      <c r="U50" s="170">
        <v>196661.02796404771</v>
      </c>
      <c r="V50" s="170">
        <v>200790.90955129272</v>
      </c>
      <c r="W50" s="170">
        <v>205007.51865186985</v>
      </c>
      <c r="X50" s="170">
        <v>209312.67654355909</v>
      </c>
      <c r="Y50" s="170">
        <v>213708.24275097379</v>
      </c>
      <c r="Z50" s="170">
        <v>218196.11584874423</v>
      </c>
      <c r="AB50" s="96" t="s">
        <v>19</v>
      </c>
      <c r="AC50" s="96">
        <v>628.15</v>
      </c>
      <c r="AE50" s="96">
        <f t="shared" si="48"/>
        <v>287.26172092653024</v>
      </c>
      <c r="AF50" s="96">
        <f t="shared" si="49"/>
        <v>294.15600222876697</v>
      </c>
      <c r="AG50" s="96">
        <f t="shared" si="50"/>
        <v>300.33327827557105</v>
      </c>
      <c r="AH50" s="96">
        <f t="shared" si="51"/>
        <v>306.64027711935802</v>
      </c>
      <c r="AI50" s="96">
        <f t="shared" si="52"/>
        <v>313.07972293886445</v>
      </c>
      <c r="AJ50" s="96">
        <f t="shared" si="53"/>
        <v>319.65439712058065</v>
      </c>
      <c r="AK50" s="96">
        <f t="shared" si="54"/>
        <v>326.36713946011281</v>
      </c>
      <c r="AL50" s="96">
        <f t="shared" si="55"/>
        <v>333.22084938877515</v>
      </c>
      <c r="AM50" s="96">
        <f t="shared" si="56"/>
        <v>340.21848722593933</v>
      </c>
      <c r="AN50" s="96">
        <f t="shared" si="57"/>
        <v>347.36307545768403</v>
      </c>
      <c r="AS50" s="96" t="s">
        <v>19</v>
      </c>
      <c r="AT50" s="96">
        <f t="shared" si="23"/>
        <v>35.247013157685259</v>
      </c>
      <c r="AU50" s="96">
        <f t="shared" si="24"/>
        <v>36.092941473469708</v>
      </c>
      <c r="AV50" s="96">
        <f t="shared" si="25"/>
        <v>36.850893244412568</v>
      </c>
      <c r="AW50" s="96">
        <f t="shared" si="26"/>
        <v>37.624762002545232</v>
      </c>
      <c r="AX50" s="96">
        <f t="shared" si="27"/>
        <v>38.414882004598667</v>
      </c>
      <c r="AY50" s="96">
        <f t="shared" si="28"/>
        <v>39.221594526695249</v>
      </c>
      <c r="AZ50" s="96">
        <f t="shared" si="29"/>
        <v>40.045248011755845</v>
      </c>
      <c r="BA50" s="96">
        <f t="shared" si="30"/>
        <v>40.886198220002711</v>
      </c>
      <c r="BB50" s="96">
        <f t="shared" si="31"/>
        <v>41.744808382622757</v>
      </c>
      <c r="BC50" s="96">
        <f t="shared" si="32"/>
        <v>42.621449358657834</v>
      </c>
      <c r="BE50" s="169">
        <f t="shared" si="33"/>
        <v>38.339722081931392</v>
      </c>
      <c r="BM50" s="175" t="s">
        <v>49</v>
      </c>
      <c r="BN50" s="176">
        <f>SUMIFS($AC$137:$AC$266,$AB$137:$AB$266,$BM50)+AC62</f>
        <v>1410</v>
      </c>
      <c r="BQ50" s="81" t="s">
        <v>49</v>
      </c>
      <c r="BR50" s="173">
        <f t="shared" si="58"/>
        <v>3.2319449765957451</v>
      </c>
      <c r="BS50" s="173">
        <f t="shared" si="59"/>
        <v>3.3095116560340427</v>
      </c>
      <c r="BT50" s="173">
        <f t="shared" si="60"/>
        <v>3.3790114008107581</v>
      </c>
      <c r="BU50" s="173">
        <f t="shared" si="61"/>
        <v>3.4499706402277828</v>
      </c>
      <c r="BV50" s="173">
        <f t="shared" si="62"/>
        <v>3.5224200236725665</v>
      </c>
      <c r="BW50" s="173">
        <f t="shared" si="63"/>
        <v>3.5963908441696892</v>
      </c>
      <c r="BX50" s="173">
        <f t="shared" si="64"/>
        <v>3.6719150518972525</v>
      </c>
      <c r="BY50" s="173">
        <f t="shared" si="65"/>
        <v>3.7490252679870948</v>
      </c>
      <c r="BZ50" s="173">
        <f t="shared" si="66"/>
        <v>3.8277547986148233</v>
      </c>
      <c r="CA50" s="173">
        <f t="shared" si="67"/>
        <v>3.908137649385734</v>
      </c>
      <c r="CC50" s="81" t="s">
        <v>49</v>
      </c>
      <c r="CD50" s="170">
        <f t="shared" si="45"/>
        <v>57.279403474910922</v>
      </c>
      <c r="CE50" s="170">
        <f t="shared" si="35"/>
        <v>75.10547757936142</v>
      </c>
      <c r="CF50" s="170">
        <f t="shared" si="36"/>
        <v>177.69893141610697</v>
      </c>
      <c r="CG50" s="170">
        <f t="shared" si="37"/>
        <v>266.76692377414076</v>
      </c>
      <c r="CH50" s="170">
        <f t="shared" si="38"/>
        <v>281.12389024745914</v>
      </c>
      <c r="CI50" s="170">
        <f t="shared" si="39"/>
        <v>287.02749194265573</v>
      </c>
      <c r="CJ50" s="170">
        <f t="shared" si="40"/>
        <v>293.05506927345152</v>
      </c>
      <c r="CK50" s="170">
        <f t="shared" si="41"/>
        <v>299.20922572819399</v>
      </c>
      <c r="CL50" s="170">
        <f t="shared" si="42"/>
        <v>305.492619468486</v>
      </c>
      <c r="CM50" s="170">
        <f t="shared" si="46"/>
        <v>311.90796447732413</v>
      </c>
      <c r="CN50" s="96">
        <f t="shared" si="43"/>
        <v>1410</v>
      </c>
      <c r="CO50" s="225">
        <f t="shared" si="47"/>
        <v>216.15052913874314</v>
      </c>
      <c r="CP50" s="169">
        <f t="shared" si="44"/>
        <v>7.1294998018126832E-2</v>
      </c>
    </row>
    <row r="51" spans="2:94">
      <c r="B51" s="96" t="s">
        <v>44</v>
      </c>
      <c r="C51" s="96">
        <v>0</v>
      </c>
      <c r="D51" s="96">
        <v>0</v>
      </c>
      <c r="E51" s="96">
        <v>73143.520000000004</v>
      </c>
      <c r="F51" s="96">
        <v>2230</v>
      </c>
      <c r="P51" s="96" t="s">
        <v>24</v>
      </c>
      <c r="Q51" s="170">
        <v>169000.41999999998</v>
      </c>
      <c r="R51" s="170">
        <v>173056.43007999999</v>
      </c>
      <c r="S51" s="170">
        <v>176690.61511167997</v>
      </c>
      <c r="T51" s="170">
        <v>180401.11802902524</v>
      </c>
      <c r="U51" s="170">
        <v>184189.54150763474</v>
      </c>
      <c r="V51" s="170">
        <v>188057.52187929506</v>
      </c>
      <c r="W51" s="170">
        <v>192006.72983876025</v>
      </c>
      <c r="X51" s="170">
        <v>196038.87116537418</v>
      </c>
      <c r="Y51" s="170">
        <v>200155.68745984702</v>
      </c>
      <c r="Z51" s="170">
        <v>204358.95689650378</v>
      </c>
      <c r="AB51" s="96" t="s">
        <v>24</v>
      </c>
      <c r="AC51" s="96">
        <v>713</v>
      </c>
      <c r="AE51" s="96">
        <f t="shared" si="48"/>
        <v>237.02723702664795</v>
      </c>
      <c r="AF51" s="96">
        <f t="shared" si="49"/>
        <v>242.71589071528751</v>
      </c>
      <c r="AG51" s="96">
        <f t="shared" si="50"/>
        <v>247.81292442030852</v>
      </c>
      <c r="AH51" s="96">
        <f t="shared" si="51"/>
        <v>253.01699583313498</v>
      </c>
      <c r="AI51" s="96">
        <f t="shared" si="52"/>
        <v>258.33035274563076</v>
      </c>
      <c r="AJ51" s="96">
        <f t="shared" si="53"/>
        <v>263.75529015328902</v>
      </c>
      <c r="AK51" s="96">
        <f t="shared" si="54"/>
        <v>269.29415124650808</v>
      </c>
      <c r="AL51" s="96">
        <f t="shared" si="55"/>
        <v>274.94932842268469</v>
      </c>
      <c r="AM51" s="96">
        <f t="shared" si="56"/>
        <v>280.72326431956105</v>
      </c>
      <c r="AN51" s="96">
        <f t="shared" si="57"/>
        <v>286.61845287027177</v>
      </c>
      <c r="AS51" s="96" t="s">
        <v>24</v>
      </c>
      <c r="AT51" s="96">
        <f t="shared" si="23"/>
        <v>29.083241983169703</v>
      </c>
      <c r="AU51" s="96">
        <f t="shared" si="24"/>
        <v>29.781239790765778</v>
      </c>
      <c r="AV51" s="96">
        <f t="shared" si="25"/>
        <v>30.406645826371857</v>
      </c>
      <c r="AW51" s="96">
        <f t="shared" si="26"/>
        <v>31.045185388725663</v>
      </c>
      <c r="AX51" s="96">
        <f t="shared" si="27"/>
        <v>31.697134281888896</v>
      </c>
      <c r="AY51" s="96">
        <f t="shared" si="28"/>
        <v>32.362774101808562</v>
      </c>
      <c r="AZ51" s="96">
        <f t="shared" si="29"/>
        <v>33.04239235794654</v>
      </c>
      <c r="BA51" s="96">
        <f t="shared" si="30"/>
        <v>33.736282597463415</v>
      </c>
      <c r="BB51" s="96">
        <f t="shared" si="31"/>
        <v>34.444744532010141</v>
      </c>
      <c r="BC51" s="96">
        <f t="shared" si="32"/>
        <v>35.16808416718235</v>
      </c>
      <c r="BE51" s="169">
        <f t="shared" si="33"/>
        <v>31.63511784354305</v>
      </c>
      <c r="BM51" s="175" t="s">
        <v>50</v>
      </c>
      <c r="BN51" s="176">
        <f>SUMIFS($AC$137:$AC$266,$AB$137:$AB$266,$BM51)+AC65</f>
        <v>1968</v>
      </c>
      <c r="BQ51" s="81" t="s">
        <v>50</v>
      </c>
      <c r="BR51" s="173">
        <f t="shared" si="58"/>
        <v>7.6591934038043474</v>
      </c>
      <c r="BS51" s="173">
        <f t="shared" si="59"/>
        <v>7.8430140454956518</v>
      </c>
      <c r="BT51" s="173">
        <f t="shared" si="60"/>
        <v>8.0077173404510589</v>
      </c>
      <c r="BU51" s="173">
        <f t="shared" si="61"/>
        <v>8.175879404600531</v>
      </c>
      <c r="BV51" s="173">
        <f t="shared" si="62"/>
        <v>8.3475728720971407</v>
      </c>
      <c r="BW51" s="173">
        <f t="shared" si="63"/>
        <v>8.5228719024111808</v>
      </c>
      <c r="BX51" s="173">
        <f t="shared" si="64"/>
        <v>8.7018522123618141</v>
      </c>
      <c r="BY51" s="173">
        <f t="shared" si="65"/>
        <v>8.8845911088214127</v>
      </c>
      <c r="BZ51" s="173">
        <f t="shared" si="66"/>
        <v>9.071167522106661</v>
      </c>
      <c r="CA51" s="173">
        <f t="shared" si="67"/>
        <v>9.2616620400709007</v>
      </c>
      <c r="CC51" s="81" t="s">
        <v>50</v>
      </c>
      <c r="CD51" s="170">
        <f t="shared" si="45"/>
        <v>40.328688841354605</v>
      </c>
      <c r="CE51" s="170">
        <f t="shared" si="35"/>
        <v>58.546141817991568</v>
      </c>
      <c r="CF51" s="170">
        <f t="shared" si="36"/>
        <v>79.751416805058255</v>
      </c>
      <c r="CG51" s="170">
        <f t="shared" si="37"/>
        <v>101.82149449304003</v>
      </c>
      <c r="CH51" s="170">
        <f t="shared" si="38"/>
        <v>103.95974587739387</v>
      </c>
      <c r="CI51" s="170">
        <f t="shared" si="39"/>
        <v>106.14290054081911</v>
      </c>
      <c r="CJ51" s="170">
        <f t="shared" si="40"/>
        <v>108.3719014521763</v>
      </c>
      <c r="CK51" s="170">
        <f t="shared" si="41"/>
        <v>110.64771138267201</v>
      </c>
      <c r="CL51" s="170">
        <f t="shared" si="42"/>
        <v>112.97131332170812</v>
      </c>
      <c r="CM51" s="170">
        <f t="shared" si="46"/>
        <v>115.34371090146396</v>
      </c>
      <c r="CN51" s="96">
        <f t="shared" si="43"/>
        <v>1968</v>
      </c>
      <c r="CO51" s="225">
        <f t="shared" si="47"/>
        <v>88.610418714533878</v>
      </c>
      <c r="CP51" s="169">
        <f t="shared" si="44"/>
        <v>4.0793740456703746E-2</v>
      </c>
    </row>
    <row r="52" spans="2:94">
      <c r="B52" s="96" t="s">
        <v>55</v>
      </c>
      <c r="C52" s="96">
        <v>0</v>
      </c>
      <c r="D52" s="96">
        <v>9548.7400000000016</v>
      </c>
      <c r="E52" s="96">
        <v>0</v>
      </c>
      <c r="F52" s="96">
        <v>67.149999999999991</v>
      </c>
      <c r="P52" s="96" t="s">
        <v>24</v>
      </c>
      <c r="Q52" s="170">
        <v>64129.219999999994</v>
      </c>
      <c r="R52" s="170">
        <v>65668.321279999989</v>
      </c>
      <c r="S52" s="170">
        <v>67047.356026879992</v>
      </c>
      <c r="T52" s="170">
        <v>68455.350503444468</v>
      </c>
      <c r="U52" s="170">
        <v>69892.912864016791</v>
      </c>
      <c r="V52" s="170">
        <v>71360.664034161135</v>
      </c>
      <c r="W52" s="170">
        <v>72859.237978878518</v>
      </c>
      <c r="X52" s="170">
        <v>74389.281976434955</v>
      </c>
      <c r="Y52" s="170">
        <v>75951.456897940079</v>
      </c>
      <c r="Z52" s="170">
        <v>77546.437492796817</v>
      </c>
      <c r="AB52" s="96" t="s">
        <v>24</v>
      </c>
      <c r="AC52" s="96">
        <v>989</v>
      </c>
      <c r="AE52" s="96">
        <f t="shared" si="48"/>
        <v>64.842487360970665</v>
      </c>
      <c r="AF52" s="96">
        <f t="shared" si="49"/>
        <v>66.398707057633956</v>
      </c>
      <c r="AG52" s="96">
        <f t="shared" si="50"/>
        <v>67.79307990584428</v>
      </c>
      <c r="AH52" s="96">
        <f t="shared" si="51"/>
        <v>69.216734583867009</v>
      </c>
      <c r="AI52" s="96">
        <f t="shared" si="52"/>
        <v>70.670286010128194</v>
      </c>
      <c r="AJ52" s="96">
        <f t="shared" si="53"/>
        <v>72.154362016340883</v>
      </c>
      <c r="AK52" s="96">
        <f t="shared" si="54"/>
        <v>73.669603618684036</v>
      </c>
      <c r="AL52" s="96">
        <f t="shared" si="55"/>
        <v>75.216665294676389</v>
      </c>
      <c r="AM52" s="96">
        <f t="shared" si="56"/>
        <v>76.796215265864589</v>
      </c>
      <c r="AN52" s="96">
        <f t="shared" si="57"/>
        <v>78.408935786447742</v>
      </c>
      <c r="AS52" s="96" t="s">
        <v>24</v>
      </c>
      <c r="AT52" s="96">
        <f t="shared" si="23"/>
        <v>7.9561731991911007</v>
      </c>
      <c r="AU52" s="96">
        <f t="shared" si="24"/>
        <v>8.1471213559716862</v>
      </c>
      <c r="AV52" s="96">
        <f t="shared" si="25"/>
        <v>8.3182109044470938</v>
      </c>
      <c r="AW52" s="96">
        <f t="shared" si="26"/>
        <v>8.4928933334404828</v>
      </c>
      <c r="AX52" s="96">
        <f t="shared" si="27"/>
        <v>8.6712440934427288</v>
      </c>
      <c r="AY52" s="96">
        <f t="shared" si="28"/>
        <v>8.8533402194050268</v>
      </c>
      <c r="AZ52" s="96">
        <f t="shared" si="29"/>
        <v>9.0392603640125309</v>
      </c>
      <c r="BA52" s="96">
        <f t="shared" si="30"/>
        <v>9.2290848316567935</v>
      </c>
      <c r="BB52" s="96">
        <f t="shared" si="31"/>
        <v>9.422895613121586</v>
      </c>
      <c r="BC52" s="96">
        <f t="shared" si="32"/>
        <v>9.6207764209971387</v>
      </c>
      <c r="BE52" s="169">
        <f t="shared" si="33"/>
        <v>8.6542785321424436</v>
      </c>
      <c r="BM52" s="81" t="s">
        <v>51</v>
      </c>
      <c r="BN52" s="96">
        <f t="shared" si="34"/>
        <v>85000</v>
      </c>
      <c r="BQ52" s="81" t="s">
        <v>51</v>
      </c>
      <c r="BR52" s="173">
        <f t="shared" si="58"/>
        <v>0</v>
      </c>
      <c r="BS52" s="173">
        <f t="shared" si="59"/>
        <v>0</v>
      </c>
      <c r="BT52" s="173">
        <f t="shared" si="60"/>
        <v>0</v>
      </c>
      <c r="BU52" s="173">
        <f t="shared" si="61"/>
        <v>0</v>
      </c>
      <c r="BV52" s="173">
        <f t="shared" si="62"/>
        <v>0</v>
      </c>
      <c r="BW52" s="173">
        <f t="shared" si="63"/>
        <v>0</v>
      </c>
      <c r="BX52" s="173">
        <f t="shared" si="64"/>
        <v>0</v>
      </c>
      <c r="BY52" s="173">
        <f t="shared" si="65"/>
        <v>0</v>
      </c>
      <c r="BZ52" s="173">
        <f t="shared" si="66"/>
        <v>0</v>
      </c>
      <c r="CA52" s="173">
        <f t="shared" si="67"/>
        <v>0</v>
      </c>
      <c r="CC52" s="81" t="s">
        <v>51</v>
      </c>
      <c r="CD52" s="170">
        <f t="shared" si="45"/>
        <v>29.990632941176472</v>
      </c>
      <c r="CE52" s="170">
        <f t="shared" si="35"/>
        <v>133.67661989647058</v>
      </c>
      <c r="CF52" s="170">
        <f t="shared" si="36"/>
        <v>316.70411842017882</v>
      </c>
      <c r="CG52" s="170">
        <f t="shared" si="37"/>
        <v>366.28938521028721</v>
      </c>
      <c r="CH52" s="170">
        <f t="shared" si="38"/>
        <v>373.9814622997032</v>
      </c>
      <c r="CI52" s="170">
        <f t="shared" si="39"/>
        <v>381.83507300799698</v>
      </c>
      <c r="CJ52" s="170">
        <f t="shared" si="40"/>
        <v>389.85360954116481</v>
      </c>
      <c r="CK52" s="170">
        <f t="shared" si="41"/>
        <v>398.04053534152928</v>
      </c>
      <c r="CL52" s="170">
        <f t="shared" si="42"/>
        <v>406.39938658370136</v>
      </c>
      <c r="CM52" s="170">
        <f t="shared" si="46"/>
        <v>414.93377370195901</v>
      </c>
      <c r="CN52" s="96">
        <f t="shared" si="43"/>
        <v>85000</v>
      </c>
      <c r="CO52" s="225">
        <f t="shared" si="47"/>
        <v>296.25949722554589</v>
      </c>
      <c r="CP52" s="169">
        <f t="shared" si="44"/>
        <v>5.8908077943456814</v>
      </c>
    </row>
    <row r="53" spans="2:94">
      <c r="B53" s="96" t="s">
        <v>55</v>
      </c>
      <c r="C53" s="96">
        <v>0</v>
      </c>
      <c r="D53" s="96">
        <v>7113.4700000000012</v>
      </c>
      <c r="E53" s="96">
        <v>0</v>
      </c>
      <c r="F53" s="96">
        <v>229.5</v>
      </c>
      <c r="P53" s="96" t="s">
        <v>24</v>
      </c>
      <c r="Q53" s="170">
        <v>16786.36</v>
      </c>
      <c r="R53" s="170">
        <v>17189.232640000002</v>
      </c>
      <c r="S53" s="170">
        <v>17550.20652544</v>
      </c>
      <c r="T53" s="170">
        <v>17918.760862474239</v>
      </c>
      <c r="U53" s="170">
        <v>18295.054840586195</v>
      </c>
      <c r="V53" s="170">
        <v>18679.250992238503</v>
      </c>
      <c r="W53" s="170">
        <v>19071.515263075511</v>
      </c>
      <c r="X53" s="170">
        <v>19472.017083600094</v>
      </c>
      <c r="Y53" s="170">
        <v>19880.929442355693</v>
      </c>
      <c r="Z53" s="170">
        <v>20298.42896064516</v>
      </c>
      <c r="AB53" s="96" t="s">
        <v>24</v>
      </c>
      <c r="AC53" s="96">
        <v>253</v>
      </c>
      <c r="AE53" s="96">
        <f t="shared" si="48"/>
        <v>66.349249011857708</v>
      </c>
      <c r="AF53" s="96">
        <f t="shared" si="49"/>
        <v>67.941630988142293</v>
      </c>
      <c r="AG53" s="96">
        <f t="shared" si="50"/>
        <v>69.368405238893288</v>
      </c>
      <c r="AH53" s="96">
        <f t="shared" si="51"/>
        <v>70.825141748910042</v>
      </c>
      <c r="AI53" s="96">
        <f t="shared" si="52"/>
        <v>72.312469725637143</v>
      </c>
      <c r="AJ53" s="96">
        <f t="shared" si="53"/>
        <v>73.831031589875508</v>
      </c>
      <c r="AK53" s="96">
        <f t="shared" si="54"/>
        <v>75.381483253262886</v>
      </c>
      <c r="AL53" s="96">
        <f t="shared" si="55"/>
        <v>76.964494401581405</v>
      </c>
      <c r="AM53" s="96">
        <f t="shared" si="56"/>
        <v>78.580748784014602</v>
      </c>
      <c r="AN53" s="96">
        <f t="shared" si="57"/>
        <v>80.230944508478899</v>
      </c>
      <c r="AS53" s="96" t="s">
        <v>24</v>
      </c>
      <c r="AT53" s="96">
        <f t="shared" si="23"/>
        <v>8.1410528537549407</v>
      </c>
      <c r="AU53" s="96">
        <f t="shared" si="24"/>
        <v>8.3364381222450596</v>
      </c>
      <c r="AV53" s="96">
        <f t="shared" si="25"/>
        <v>8.5115033228122066</v>
      </c>
      <c r="AW53" s="96">
        <f t="shared" si="26"/>
        <v>8.690244892591263</v>
      </c>
      <c r="AX53" s="96">
        <f t="shared" si="27"/>
        <v>8.8727400353356778</v>
      </c>
      <c r="AY53" s="96">
        <f t="shared" si="28"/>
        <v>9.0590675760777248</v>
      </c>
      <c r="AZ53" s="96">
        <f t="shared" si="29"/>
        <v>9.2493079951753572</v>
      </c>
      <c r="BA53" s="96">
        <f t="shared" si="30"/>
        <v>9.4435434630740378</v>
      </c>
      <c r="BB53" s="96">
        <f t="shared" si="31"/>
        <v>9.6418578757985927</v>
      </c>
      <c r="BC53" s="96">
        <f t="shared" si="32"/>
        <v>9.8443368911903608</v>
      </c>
      <c r="BE53" s="169">
        <f t="shared" si="33"/>
        <v>8.8553802408991622</v>
      </c>
      <c r="BM53" s="81" t="s">
        <v>77</v>
      </c>
      <c r="BN53" s="96">
        <f t="shared" si="34"/>
        <v>0</v>
      </c>
      <c r="BQ53" s="81" t="s">
        <v>77</v>
      </c>
      <c r="BR53" s="173">
        <f t="shared" si="58"/>
        <v>0</v>
      </c>
      <c r="BS53" s="173">
        <f t="shared" si="59"/>
        <v>0</v>
      </c>
      <c r="BT53" s="173">
        <f t="shared" si="60"/>
        <v>0</v>
      </c>
      <c r="BU53" s="173">
        <f t="shared" si="61"/>
        <v>0</v>
      </c>
      <c r="BV53" s="173">
        <f t="shared" si="62"/>
        <v>0</v>
      </c>
      <c r="BW53" s="173">
        <f t="shared" si="63"/>
        <v>0</v>
      </c>
      <c r="BX53" s="173">
        <f t="shared" si="64"/>
        <v>0</v>
      </c>
      <c r="BY53" s="173">
        <f t="shared" si="65"/>
        <v>0</v>
      </c>
      <c r="BZ53" s="173">
        <f t="shared" si="66"/>
        <v>0</v>
      </c>
      <c r="CA53" s="173">
        <f t="shared" si="67"/>
        <v>0</v>
      </c>
      <c r="CC53" s="81" t="s">
        <v>77</v>
      </c>
      <c r="CD53" s="170">
        <f t="shared" si="45"/>
        <v>0</v>
      </c>
      <c r="CE53" s="170">
        <f t="shared" si="35"/>
        <v>0</v>
      </c>
      <c r="CF53" s="170">
        <f t="shared" si="36"/>
        <v>0</v>
      </c>
      <c r="CG53" s="170">
        <f t="shared" si="37"/>
        <v>0</v>
      </c>
      <c r="CH53" s="170">
        <f t="shared" si="38"/>
        <v>0</v>
      </c>
      <c r="CI53" s="170">
        <f t="shared" si="39"/>
        <v>0</v>
      </c>
      <c r="CJ53" s="170">
        <f t="shared" si="40"/>
        <v>0</v>
      </c>
      <c r="CK53" s="170">
        <f t="shared" si="41"/>
        <v>0</v>
      </c>
      <c r="CL53" s="170">
        <f t="shared" si="42"/>
        <v>0</v>
      </c>
      <c r="CM53" s="170">
        <f t="shared" si="46"/>
        <v>0</v>
      </c>
      <c r="CN53" s="96">
        <f t="shared" si="43"/>
        <v>0</v>
      </c>
      <c r="CO53" s="225">
        <f t="shared" si="47"/>
        <v>0</v>
      </c>
      <c r="CP53" s="169">
        <f t="shared" si="44"/>
        <v>0</v>
      </c>
    </row>
    <row r="54" spans="2:94">
      <c r="B54" s="96" t="s">
        <v>56</v>
      </c>
      <c r="C54" s="96">
        <v>0</v>
      </c>
      <c r="D54" s="96">
        <v>10195.369999999999</v>
      </c>
      <c r="E54" s="96">
        <v>23852.939999999995</v>
      </c>
      <c r="F54" s="96">
        <v>264</v>
      </c>
      <c r="P54" s="96" t="s">
        <v>24</v>
      </c>
      <c r="Q54" s="170">
        <v>72849.539999999994</v>
      </c>
      <c r="R54" s="170">
        <v>74597.92895999999</v>
      </c>
      <c r="S54" s="170">
        <v>76164.485468159997</v>
      </c>
      <c r="T54" s="170">
        <v>77763.939662991339</v>
      </c>
      <c r="U54" s="170">
        <v>79396.98239591415</v>
      </c>
      <c r="V54" s="170">
        <v>81064.319026228346</v>
      </c>
      <c r="W54" s="170">
        <v>82766.669725779124</v>
      </c>
      <c r="X54" s="170">
        <v>84504.76979002048</v>
      </c>
      <c r="Y54" s="170">
        <v>86279.369955610906</v>
      </c>
      <c r="Z54" s="170">
        <v>88091.236724678718</v>
      </c>
      <c r="AB54" s="96" t="s">
        <v>24</v>
      </c>
      <c r="AC54" s="96">
        <v>379</v>
      </c>
      <c r="AE54" s="96">
        <f t="shared" si="48"/>
        <v>192.21514511873349</v>
      </c>
      <c r="AF54" s="96">
        <f t="shared" si="49"/>
        <v>196.82830860158307</v>
      </c>
      <c r="AG54" s="96">
        <f t="shared" si="50"/>
        <v>200.96170308221636</v>
      </c>
      <c r="AH54" s="96">
        <f t="shared" si="51"/>
        <v>205.18189884694286</v>
      </c>
      <c r="AI54" s="96">
        <f t="shared" si="52"/>
        <v>209.49071872272862</v>
      </c>
      <c r="AJ54" s="96">
        <f t="shared" si="53"/>
        <v>213.89002381590592</v>
      </c>
      <c r="AK54" s="96">
        <f t="shared" si="54"/>
        <v>218.3817143160399</v>
      </c>
      <c r="AL54" s="96">
        <f t="shared" si="55"/>
        <v>222.96773031667672</v>
      </c>
      <c r="AM54" s="96">
        <f t="shared" si="56"/>
        <v>227.65005265332692</v>
      </c>
      <c r="AN54" s="96">
        <f t="shared" si="57"/>
        <v>232.43070375904674</v>
      </c>
      <c r="AS54" s="96" t="s">
        <v>24</v>
      </c>
      <c r="AT54" s="96">
        <f t="shared" si="23"/>
        <v>23.584798306068599</v>
      </c>
      <c r="AU54" s="96">
        <f t="shared" si="24"/>
        <v>24.150833465414244</v>
      </c>
      <c r="AV54" s="96">
        <f t="shared" si="25"/>
        <v>24.658000968187949</v>
      </c>
      <c r="AW54" s="96">
        <f t="shared" si="26"/>
        <v>25.17581898851989</v>
      </c>
      <c r="AX54" s="96">
        <f t="shared" si="27"/>
        <v>25.704511187278801</v>
      </c>
      <c r="AY54" s="96">
        <f t="shared" si="28"/>
        <v>26.244305922211659</v>
      </c>
      <c r="AZ54" s="96">
        <f t="shared" si="29"/>
        <v>26.795436346578096</v>
      </c>
      <c r="BA54" s="96">
        <f t="shared" si="30"/>
        <v>27.358140509856234</v>
      </c>
      <c r="BB54" s="96">
        <f t="shared" si="31"/>
        <v>27.932661460563214</v>
      </c>
      <c r="BC54" s="96">
        <f t="shared" si="32"/>
        <v>28.519247351235034</v>
      </c>
      <c r="BE54" s="169">
        <f t="shared" si="33"/>
        <v>25.654219504154405</v>
      </c>
      <c r="BM54" s="81" t="s">
        <v>52</v>
      </c>
      <c r="BN54" s="96">
        <f t="shared" si="34"/>
        <v>4777</v>
      </c>
      <c r="BQ54" s="81" t="s">
        <v>52</v>
      </c>
      <c r="BR54" s="173">
        <f t="shared" si="58"/>
        <v>12.188259556587218</v>
      </c>
      <c r="BS54" s="173">
        <f t="shared" si="59"/>
        <v>12.48077778594531</v>
      </c>
      <c r="BT54" s="173">
        <f t="shared" si="60"/>
        <v>12.74287411945016</v>
      </c>
      <c r="BU54" s="173">
        <f t="shared" si="61"/>
        <v>13.010474475958612</v>
      </c>
      <c r="BV54" s="173">
        <f t="shared" si="62"/>
        <v>13.28369443995374</v>
      </c>
      <c r="BW54" s="173">
        <f t="shared" si="63"/>
        <v>13.562652023192769</v>
      </c>
      <c r="BX54" s="173">
        <f t="shared" si="64"/>
        <v>13.847467715679814</v>
      </c>
      <c r="BY54" s="173">
        <f t="shared" si="65"/>
        <v>14.138264537709093</v>
      </c>
      <c r="BZ54" s="173">
        <f t="shared" si="66"/>
        <v>14.435168093000982</v>
      </c>
      <c r="CA54" s="173">
        <f t="shared" si="67"/>
        <v>14.738306622953999</v>
      </c>
      <c r="CC54" s="81" t="s">
        <v>52</v>
      </c>
      <c r="CD54" s="170">
        <f t="shared" si="45"/>
        <v>55.272003114142741</v>
      </c>
      <c r="CE54" s="170">
        <f t="shared" si="35"/>
        <v>56.598531188882163</v>
      </c>
      <c r="CF54" s="170">
        <f t="shared" si="36"/>
        <v>57.787100343848685</v>
      </c>
      <c r="CG54" s="170">
        <f t="shared" si="37"/>
        <v>59.0006294510695</v>
      </c>
      <c r="CH54" s="170">
        <f t="shared" si="38"/>
        <v>60.239642669541944</v>
      </c>
      <c r="CI54" s="170">
        <f t="shared" si="39"/>
        <v>61.504675165602336</v>
      </c>
      <c r="CJ54" s="170">
        <f t="shared" si="40"/>
        <v>62.796273344079971</v>
      </c>
      <c r="CK54" s="170">
        <f t="shared" si="41"/>
        <v>64.114995084305647</v>
      </c>
      <c r="CL54" s="170">
        <f t="shared" si="42"/>
        <v>65.461409981076059</v>
      </c>
      <c r="CM54" s="170">
        <f t="shared" si="46"/>
        <v>66.836099590678643</v>
      </c>
      <c r="CN54" s="96">
        <f t="shared" si="43"/>
        <v>4777</v>
      </c>
      <c r="CO54" s="225">
        <f t="shared" si="47"/>
        <v>60.121781917451003</v>
      </c>
      <c r="CP54" s="169">
        <f t="shared" si="44"/>
        <v>6.7184753921295623E-2</v>
      </c>
    </row>
    <row r="55" spans="2:94">
      <c r="B55" s="96" t="s">
        <v>58</v>
      </c>
      <c r="C55" s="96">
        <v>129443.79000000001</v>
      </c>
      <c r="D55" s="96">
        <v>13564.9</v>
      </c>
      <c r="E55" s="96">
        <v>190027.29</v>
      </c>
      <c r="F55" s="96">
        <v>494.7</v>
      </c>
      <c r="P55" s="96" t="s">
        <v>24</v>
      </c>
      <c r="Q55" s="170">
        <v>28820.73</v>
      </c>
      <c r="R55" s="170">
        <v>29512.427520000001</v>
      </c>
      <c r="S55" s="170">
        <v>30132.18849792</v>
      </c>
      <c r="T55" s="170">
        <v>30764.964456376314</v>
      </c>
      <c r="U55" s="170">
        <v>31411.028709960214</v>
      </c>
      <c r="V55" s="170">
        <v>32070.660312869379</v>
      </c>
      <c r="W55" s="170">
        <v>32744.144179439631</v>
      </c>
      <c r="X55" s="170">
        <v>33431.771207207858</v>
      </c>
      <c r="Y55" s="170">
        <v>34133.838402559224</v>
      </c>
      <c r="Z55" s="170">
        <v>34850.649009012959</v>
      </c>
      <c r="AB55" s="96" t="s">
        <v>24</v>
      </c>
      <c r="AC55" s="96">
        <v>119</v>
      </c>
      <c r="AE55" s="96">
        <f t="shared" si="48"/>
        <v>242.19100840336134</v>
      </c>
      <c r="AF55" s="96">
        <f t="shared" si="49"/>
        <v>248.00359260504203</v>
      </c>
      <c r="AG55" s="96">
        <f t="shared" si="50"/>
        <v>253.21166804974791</v>
      </c>
      <c r="AH55" s="96">
        <f t="shared" si="51"/>
        <v>258.52911307879253</v>
      </c>
      <c r="AI55" s="96">
        <f t="shared" si="52"/>
        <v>263.9582244534472</v>
      </c>
      <c r="AJ55" s="96">
        <f t="shared" si="53"/>
        <v>269.50134716696959</v>
      </c>
      <c r="AK55" s="96">
        <f t="shared" si="54"/>
        <v>275.16087545747587</v>
      </c>
      <c r="AL55" s="96">
        <f t="shared" si="55"/>
        <v>280.93925384208285</v>
      </c>
      <c r="AM55" s="96">
        <f t="shared" si="56"/>
        <v>286.83897817276659</v>
      </c>
      <c r="AN55" s="96">
        <f t="shared" si="57"/>
        <v>292.86259671439461</v>
      </c>
      <c r="AS55" s="96" t="s">
        <v>24</v>
      </c>
      <c r="AT55" s="96">
        <f t="shared" si="23"/>
        <v>29.716836731092435</v>
      </c>
      <c r="AU55" s="96">
        <f t="shared" si="24"/>
        <v>30.430040812638659</v>
      </c>
      <c r="AV55" s="96">
        <f t="shared" si="25"/>
        <v>31.069071669704069</v>
      </c>
      <c r="AW55" s="96">
        <f t="shared" si="26"/>
        <v>31.721522174767845</v>
      </c>
      <c r="AX55" s="96">
        <f t="shared" si="27"/>
        <v>32.387674140437973</v>
      </c>
      <c r="AY55" s="96">
        <f t="shared" si="28"/>
        <v>33.06781529738717</v>
      </c>
      <c r="AZ55" s="96">
        <f t="shared" si="29"/>
        <v>33.762239418632291</v>
      </c>
      <c r="BA55" s="96">
        <f t="shared" si="30"/>
        <v>34.471246446423564</v>
      </c>
      <c r="BB55" s="96">
        <f t="shared" si="31"/>
        <v>35.19514262179846</v>
      </c>
      <c r="BC55" s="96">
        <f t="shared" si="32"/>
        <v>35.934240616856222</v>
      </c>
      <c r="BE55" s="169">
        <f t="shared" si="33"/>
        <v>32.324306639179547</v>
      </c>
      <c r="BM55" s="81" t="s">
        <v>78</v>
      </c>
      <c r="BN55" s="96">
        <f t="shared" si="34"/>
        <v>0</v>
      </c>
      <c r="BQ55" s="81" t="s">
        <v>78</v>
      </c>
      <c r="BR55" s="173">
        <f t="shared" si="58"/>
        <v>0</v>
      </c>
      <c r="BS55" s="173">
        <f t="shared" si="59"/>
        <v>0</v>
      </c>
      <c r="BT55" s="173">
        <f t="shared" si="60"/>
        <v>0</v>
      </c>
      <c r="BU55" s="173">
        <f t="shared" si="61"/>
        <v>0</v>
      </c>
      <c r="BV55" s="173">
        <f t="shared" si="62"/>
        <v>0</v>
      </c>
      <c r="BW55" s="173">
        <f t="shared" si="63"/>
        <v>0</v>
      </c>
      <c r="BX55" s="173">
        <f t="shared" si="64"/>
        <v>0</v>
      </c>
      <c r="BY55" s="173">
        <f t="shared" si="65"/>
        <v>0</v>
      </c>
      <c r="BZ55" s="173">
        <f t="shared" si="66"/>
        <v>0</v>
      </c>
      <c r="CA55" s="173">
        <f t="shared" si="67"/>
        <v>0</v>
      </c>
      <c r="CC55" s="81" t="s">
        <v>78</v>
      </c>
      <c r="CD55" s="170">
        <f t="shared" si="45"/>
        <v>0</v>
      </c>
      <c r="CE55" s="170">
        <f t="shared" si="35"/>
        <v>0</v>
      </c>
      <c r="CF55" s="170">
        <f t="shared" si="36"/>
        <v>0</v>
      </c>
      <c r="CG55" s="170">
        <f t="shared" si="37"/>
        <v>0</v>
      </c>
      <c r="CH55" s="170">
        <f t="shared" si="38"/>
        <v>0</v>
      </c>
      <c r="CI55" s="170">
        <f t="shared" si="39"/>
        <v>0</v>
      </c>
      <c r="CJ55" s="170">
        <f t="shared" si="40"/>
        <v>0</v>
      </c>
      <c r="CK55" s="170">
        <f t="shared" si="41"/>
        <v>0</v>
      </c>
      <c r="CL55" s="170">
        <f t="shared" si="42"/>
        <v>0</v>
      </c>
      <c r="CM55" s="170">
        <f t="shared" si="46"/>
        <v>0</v>
      </c>
      <c r="CN55" s="96">
        <f t="shared" si="43"/>
        <v>0</v>
      </c>
      <c r="CO55" s="225">
        <f t="shared" si="47"/>
        <v>0</v>
      </c>
      <c r="CP55" s="169">
        <f t="shared" si="44"/>
        <v>0</v>
      </c>
    </row>
    <row r="56" spans="2:94">
      <c r="B56" s="96" t="s">
        <v>58</v>
      </c>
      <c r="C56" s="96">
        <v>208829.9199999999</v>
      </c>
      <c r="D56" s="96">
        <v>458103.61999999994</v>
      </c>
      <c r="E56" s="96">
        <v>19993.609999999997</v>
      </c>
      <c r="F56" s="96">
        <v>1866.6</v>
      </c>
      <c r="P56" s="96" t="s">
        <v>42</v>
      </c>
      <c r="Q56" s="170">
        <v>92113.18</v>
      </c>
      <c r="R56" s="170">
        <v>94323.89632</v>
      </c>
      <c r="S56" s="170">
        <v>96304.698142719993</v>
      </c>
      <c r="T56" s="170">
        <v>98327.096803717097</v>
      </c>
      <c r="U56" s="170">
        <v>100391.96583659515</v>
      </c>
      <c r="V56" s="170">
        <v>102500.19711916364</v>
      </c>
      <c r="W56" s="170">
        <v>104652.70125866606</v>
      </c>
      <c r="X56" s="170">
        <v>106850.40798509805</v>
      </c>
      <c r="Y56" s="170">
        <v>109094.26655278509</v>
      </c>
      <c r="Z56" s="170">
        <v>111385.24615039356</v>
      </c>
      <c r="AB56" s="96" t="s">
        <v>42</v>
      </c>
      <c r="AC56" s="96">
        <v>450</v>
      </c>
      <c r="AE56" s="96">
        <f t="shared" si="48"/>
        <v>204.69595555555554</v>
      </c>
      <c r="AF56" s="96">
        <f t="shared" si="49"/>
        <v>209.60865848888889</v>
      </c>
      <c r="AG56" s="96">
        <f t="shared" si="50"/>
        <v>214.01044031715554</v>
      </c>
      <c r="AH56" s="96">
        <f t="shared" si="51"/>
        <v>218.50465956381578</v>
      </c>
      <c r="AI56" s="96">
        <f t="shared" si="52"/>
        <v>223.09325741465588</v>
      </c>
      <c r="AJ56" s="96">
        <f t="shared" si="53"/>
        <v>227.77821582036364</v>
      </c>
      <c r="AK56" s="96">
        <f t="shared" si="54"/>
        <v>232.56155835259125</v>
      </c>
      <c r="AL56" s="96">
        <f t="shared" si="55"/>
        <v>237.44535107799567</v>
      </c>
      <c r="AM56" s="96">
        <f t="shared" si="56"/>
        <v>242.43170345063353</v>
      </c>
      <c r="AN56" s="96">
        <f t="shared" si="57"/>
        <v>247.52276922309682</v>
      </c>
      <c r="AS56" s="96" t="s">
        <v>42</v>
      </c>
      <c r="AT56" s="96">
        <f t="shared" si="23"/>
        <v>25.116193746666667</v>
      </c>
      <c r="AU56" s="96">
        <f t="shared" si="24"/>
        <v>25.718982396586668</v>
      </c>
      <c r="AV56" s="96">
        <f t="shared" si="25"/>
        <v>26.259081026914984</v>
      </c>
      <c r="AW56" s="96">
        <f t="shared" si="26"/>
        <v>26.810521728480197</v>
      </c>
      <c r="AX56" s="96">
        <f t="shared" si="27"/>
        <v>27.373542684778279</v>
      </c>
      <c r="AY56" s="96">
        <f t="shared" si="28"/>
        <v>27.948387081158618</v>
      </c>
      <c r="AZ56" s="96">
        <f t="shared" si="29"/>
        <v>28.535303209862946</v>
      </c>
      <c r="BA56" s="96">
        <f t="shared" si="30"/>
        <v>29.13454457727007</v>
      </c>
      <c r="BB56" s="96">
        <f t="shared" si="31"/>
        <v>29.746370013392735</v>
      </c>
      <c r="BC56" s="96">
        <f t="shared" si="32"/>
        <v>30.371043783673979</v>
      </c>
      <c r="BE56" s="169">
        <f t="shared" si="33"/>
        <v>27.319985489130211</v>
      </c>
      <c r="BM56" s="81" t="s">
        <v>79</v>
      </c>
      <c r="BN56" s="96">
        <f t="shared" si="34"/>
        <v>0</v>
      </c>
      <c r="BQ56" s="81" t="s">
        <v>79</v>
      </c>
      <c r="BR56" s="173">
        <f t="shared" si="58"/>
        <v>0</v>
      </c>
      <c r="BS56" s="173">
        <f t="shared" si="59"/>
        <v>0</v>
      </c>
      <c r="BT56" s="173">
        <f t="shared" si="60"/>
        <v>0</v>
      </c>
      <c r="BU56" s="173">
        <f t="shared" si="61"/>
        <v>0</v>
      </c>
      <c r="BV56" s="173">
        <f t="shared" si="62"/>
        <v>0</v>
      </c>
      <c r="BW56" s="173">
        <f t="shared" si="63"/>
        <v>0</v>
      </c>
      <c r="BX56" s="173">
        <f t="shared" si="64"/>
        <v>0</v>
      </c>
      <c r="BY56" s="173">
        <f t="shared" si="65"/>
        <v>0</v>
      </c>
      <c r="BZ56" s="173">
        <f t="shared" si="66"/>
        <v>0</v>
      </c>
      <c r="CA56" s="173">
        <f t="shared" si="67"/>
        <v>0</v>
      </c>
      <c r="CC56" s="81" t="s">
        <v>79</v>
      </c>
      <c r="CD56" s="170">
        <f t="shared" si="45"/>
        <v>0</v>
      </c>
      <c r="CE56" s="170">
        <f t="shared" si="35"/>
        <v>0</v>
      </c>
      <c r="CF56" s="170">
        <f t="shared" si="36"/>
        <v>0</v>
      </c>
      <c r="CG56" s="170">
        <f t="shared" si="37"/>
        <v>0</v>
      </c>
      <c r="CH56" s="170">
        <f t="shared" si="38"/>
        <v>0</v>
      </c>
      <c r="CI56" s="170">
        <f t="shared" si="39"/>
        <v>0</v>
      </c>
      <c r="CJ56" s="170">
        <f t="shared" si="40"/>
        <v>0</v>
      </c>
      <c r="CK56" s="170">
        <f t="shared" si="41"/>
        <v>0</v>
      </c>
      <c r="CL56" s="170">
        <f t="shared" si="42"/>
        <v>0</v>
      </c>
      <c r="CM56" s="170">
        <f t="shared" si="46"/>
        <v>0</v>
      </c>
      <c r="CN56" s="96">
        <f t="shared" si="43"/>
        <v>0</v>
      </c>
      <c r="CO56" s="225">
        <f t="shared" si="47"/>
        <v>0</v>
      </c>
      <c r="CP56" s="169">
        <f t="shared" si="44"/>
        <v>0</v>
      </c>
    </row>
    <row r="57" spans="2:94">
      <c r="B57" s="96" t="s">
        <v>58</v>
      </c>
      <c r="C57" s="96">
        <v>0</v>
      </c>
      <c r="D57" s="96">
        <v>0</v>
      </c>
      <c r="E57" s="96">
        <v>7457.38</v>
      </c>
      <c r="F57" s="96">
        <v>361.25</v>
      </c>
      <c r="P57" s="96" t="s">
        <v>42</v>
      </c>
      <c r="Q57" s="170">
        <v>126940.7</v>
      </c>
      <c r="R57" s="170">
        <v>129987.27680000001</v>
      </c>
      <c r="S57" s="170">
        <v>132717.0096128</v>
      </c>
      <c r="T57" s="170">
        <v>135504.06681466877</v>
      </c>
      <c r="U57" s="170">
        <v>138349.65221777681</v>
      </c>
      <c r="V57" s="170">
        <v>141254.9949143501</v>
      </c>
      <c r="W57" s="170">
        <v>144221.34980755145</v>
      </c>
      <c r="X57" s="170">
        <v>147249.99815351001</v>
      </c>
      <c r="Y57" s="170">
        <v>150342.24811473372</v>
      </c>
      <c r="Z57" s="170">
        <v>153499.4353251431</v>
      </c>
      <c r="AB57" s="96" t="s">
        <v>42</v>
      </c>
      <c r="AC57" s="96">
        <v>472.5</v>
      </c>
      <c r="AE57" s="96">
        <f t="shared" si="48"/>
        <v>268.65756613756611</v>
      </c>
      <c r="AF57" s="96">
        <f t="shared" si="49"/>
        <v>275.10534772486773</v>
      </c>
      <c r="AG57" s="96">
        <f t="shared" si="50"/>
        <v>280.88256002708994</v>
      </c>
      <c r="AH57" s="96">
        <f t="shared" si="51"/>
        <v>286.78109378765879</v>
      </c>
      <c r="AI57" s="96">
        <f t="shared" si="52"/>
        <v>292.80349675719958</v>
      </c>
      <c r="AJ57" s="96">
        <f t="shared" si="53"/>
        <v>298.95237018910075</v>
      </c>
      <c r="AK57" s="96">
        <f t="shared" si="54"/>
        <v>305.23036996307184</v>
      </c>
      <c r="AL57" s="96">
        <f t="shared" si="55"/>
        <v>311.64020773229629</v>
      </c>
      <c r="AM57" s="96">
        <f t="shared" si="56"/>
        <v>318.18465209467456</v>
      </c>
      <c r="AN57" s="96">
        <f t="shared" si="57"/>
        <v>324.86652978866266</v>
      </c>
      <c r="AS57" s="96" t="s">
        <v>42</v>
      </c>
      <c r="AT57" s="96">
        <f t="shared" si="23"/>
        <v>32.964283365079361</v>
      </c>
      <c r="AU57" s="96">
        <f t="shared" si="24"/>
        <v>33.755426165841271</v>
      </c>
      <c r="AV57" s="96">
        <f t="shared" si="25"/>
        <v>34.464290115323934</v>
      </c>
      <c r="AW57" s="96">
        <f t="shared" si="26"/>
        <v>35.188040207745736</v>
      </c>
      <c r="AX57" s="96">
        <f t="shared" si="27"/>
        <v>35.926989052108389</v>
      </c>
      <c r="AY57" s="96">
        <f t="shared" si="28"/>
        <v>36.681455822202665</v>
      </c>
      <c r="AZ57" s="96">
        <f t="shared" si="29"/>
        <v>37.451766394468919</v>
      </c>
      <c r="BA57" s="96">
        <f t="shared" si="30"/>
        <v>38.238253488752754</v>
      </c>
      <c r="BB57" s="96">
        <f t="shared" si="31"/>
        <v>39.04125681201657</v>
      </c>
      <c r="BC57" s="96">
        <f t="shared" si="32"/>
        <v>39.861123205068907</v>
      </c>
      <c r="BE57" s="169">
        <f t="shared" si="33"/>
        <v>35.856696770109409</v>
      </c>
      <c r="BM57" s="81" t="s">
        <v>80</v>
      </c>
      <c r="BN57" s="96">
        <f t="shared" si="34"/>
        <v>0</v>
      </c>
      <c r="BQ57" s="81" t="s">
        <v>80</v>
      </c>
      <c r="BR57" s="173">
        <f t="shared" si="58"/>
        <v>0</v>
      </c>
      <c r="BS57" s="173">
        <f t="shared" si="59"/>
        <v>0</v>
      </c>
      <c r="BT57" s="173">
        <f t="shared" si="60"/>
        <v>0</v>
      </c>
      <c r="BU57" s="173">
        <f t="shared" si="61"/>
        <v>0</v>
      </c>
      <c r="BV57" s="173">
        <f t="shared" si="62"/>
        <v>0</v>
      </c>
      <c r="BW57" s="173">
        <f t="shared" si="63"/>
        <v>0</v>
      </c>
      <c r="BX57" s="173">
        <f t="shared" si="64"/>
        <v>0</v>
      </c>
      <c r="BY57" s="173">
        <f t="shared" si="65"/>
        <v>0</v>
      </c>
      <c r="BZ57" s="173">
        <f t="shared" si="66"/>
        <v>0</v>
      </c>
      <c r="CA57" s="173">
        <f t="shared" si="67"/>
        <v>0</v>
      </c>
      <c r="CC57" s="81" t="s">
        <v>80</v>
      </c>
      <c r="CD57" s="170">
        <f t="shared" si="45"/>
        <v>0</v>
      </c>
      <c r="CE57" s="170">
        <f t="shared" si="35"/>
        <v>0</v>
      </c>
      <c r="CF57" s="170">
        <f t="shared" si="36"/>
        <v>0</v>
      </c>
      <c r="CG57" s="170">
        <f t="shared" si="37"/>
        <v>0</v>
      </c>
      <c r="CH57" s="170">
        <f t="shared" si="38"/>
        <v>0</v>
      </c>
      <c r="CI57" s="170">
        <f t="shared" si="39"/>
        <v>0</v>
      </c>
      <c r="CJ57" s="170">
        <f t="shared" si="40"/>
        <v>0</v>
      </c>
      <c r="CK57" s="170">
        <f t="shared" si="41"/>
        <v>0</v>
      </c>
      <c r="CL57" s="170">
        <f t="shared" si="42"/>
        <v>0</v>
      </c>
      <c r="CM57" s="170">
        <f t="shared" si="46"/>
        <v>0</v>
      </c>
      <c r="CN57" s="96">
        <f t="shared" si="43"/>
        <v>0</v>
      </c>
      <c r="CO57" s="225">
        <f t="shared" si="47"/>
        <v>0</v>
      </c>
      <c r="CP57" s="169">
        <f t="shared" si="44"/>
        <v>0</v>
      </c>
    </row>
    <row r="58" spans="2:94">
      <c r="B58" s="96" t="s">
        <v>58</v>
      </c>
      <c r="C58" s="96">
        <v>0</v>
      </c>
      <c r="D58" s="96">
        <v>0</v>
      </c>
      <c r="E58" s="96">
        <v>0</v>
      </c>
      <c r="F58" s="96">
        <v>361.25</v>
      </c>
      <c r="P58" s="96" t="s">
        <v>42</v>
      </c>
      <c r="Q58" s="170">
        <v>5999.04</v>
      </c>
      <c r="R58" s="170">
        <v>6143.0169599999999</v>
      </c>
      <c r="S58" s="170">
        <v>6272.0203161600002</v>
      </c>
      <c r="T58" s="170">
        <v>6403.7327427993587</v>
      </c>
      <c r="U58" s="170">
        <v>6538.2111303981446</v>
      </c>
      <c r="V58" s="170">
        <v>6675.5135641365059</v>
      </c>
      <c r="W58" s="170">
        <v>6815.6993489833712</v>
      </c>
      <c r="X58" s="170">
        <v>6958.8290353120219</v>
      </c>
      <c r="Y58" s="170">
        <v>7104.9644450535734</v>
      </c>
      <c r="Z58" s="170">
        <v>7254.168698399697</v>
      </c>
      <c r="AB58" s="96" t="s">
        <v>42</v>
      </c>
      <c r="AC58" s="96">
        <v>328</v>
      </c>
      <c r="AE58" s="96">
        <f t="shared" si="48"/>
        <v>18.289756097560975</v>
      </c>
      <c r="AF58" s="96">
        <f t="shared" si="49"/>
        <v>18.728710243902437</v>
      </c>
      <c r="AG58" s="96">
        <f t="shared" si="50"/>
        <v>19.122013159024391</v>
      </c>
      <c r="AH58" s="96">
        <f t="shared" si="51"/>
        <v>19.523575435363899</v>
      </c>
      <c r="AI58" s="96">
        <f t="shared" si="52"/>
        <v>19.933570519506539</v>
      </c>
      <c r="AJ58" s="96">
        <f t="shared" si="53"/>
        <v>20.352175500416177</v>
      </c>
      <c r="AK58" s="96">
        <f t="shared" si="54"/>
        <v>20.779571185924912</v>
      </c>
      <c r="AL58" s="96">
        <f t="shared" si="55"/>
        <v>21.215942180829334</v>
      </c>
      <c r="AM58" s="96">
        <f t="shared" si="56"/>
        <v>21.661476966626747</v>
      </c>
      <c r="AN58" s="96">
        <f t="shared" si="57"/>
        <v>22.116367982925905</v>
      </c>
      <c r="AS58" s="96" t="s">
        <v>42</v>
      </c>
      <c r="AT58" s="96">
        <f t="shared" si="23"/>
        <v>2.2441530731707315</v>
      </c>
      <c r="AU58" s="96">
        <f t="shared" si="24"/>
        <v>2.2980127469268292</v>
      </c>
      <c r="AV58" s="96">
        <f t="shared" si="25"/>
        <v>2.3462710146122929</v>
      </c>
      <c r="AW58" s="96">
        <f t="shared" si="26"/>
        <v>2.3955427059191505</v>
      </c>
      <c r="AX58" s="96">
        <f t="shared" si="27"/>
        <v>2.4458491027434524</v>
      </c>
      <c r="AY58" s="96">
        <f t="shared" si="28"/>
        <v>2.497211933901065</v>
      </c>
      <c r="AZ58" s="96">
        <f t="shared" si="29"/>
        <v>2.549653384512987</v>
      </c>
      <c r="BA58" s="96">
        <f t="shared" si="30"/>
        <v>2.6031961055877595</v>
      </c>
      <c r="BB58" s="96">
        <f t="shared" si="31"/>
        <v>2.6578632238051019</v>
      </c>
      <c r="BC58" s="96">
        <f t="shared" si="32"/>
        <v>2.7136783515050085</v>
      </c>
      <c r="BE58" s="169">
        <f t="shared" si="33"/>
        <v>2.4410637221871343</v>
      </c>
      <c r="BM58" s="81" t="s">
        <v>53</v>
      </c>
      <c r="BN58" s="96">
        <f t="shared" si="34"/>
        <v>3048</v>
      </c>
      <c r="BQ58" s="81" t="s">
        <v>53</v>
      </c>
      <c r="BR58" s="173">
        <f t="shared" si="58"/>
        <v>44.817486359629811</v>
      </c>
      <c r="BS58" s="173">
        <f t="shared" si="59"/>
        <v>45.893106032260931</v>
      </c>
      <c r="BT58" s="173">
        <f t="shared" si="60"/>
        <v>46.856861258938409</v>
      </c>
      <c r="BU58" s="173">
        <f t="shared" si="61"/>
        <v>47.840855345376113</v>
      </c>
      <c r="BV58" s="173">
        <f t="shared" si="62"/>
        <v>48.845513307629005</v>
      </c>
      <c r="BW58" s="173">
        <f t="shared" si="63"/>
        <v>49.871269087089203</v>
      </c>
      <c r="BX58" s="173">
        <f t="shared" si="64"/>
        <v>50.91856573791808</v>
      </c>
      <c r="BY58" s="173">
        <f t="shared" si="65"/>
        <v>51.987855618414351</v>
      </c>
      <c r="BZ58" s="173">
        <f t="shared" si="66"/>
        <v>53.07960058640105</v>
      </c>
      <c r="CA58" s="173">
        <f t="shared" si="67"/>
        <v>54.19427219871546</v>
      </c>
      <c r="CC58" s="81" t="s">
        <v>53</v>
      </c>
      <c r="CD58" s="170">
        <f t="shared" si="45"/>
        <v>94.910294663347969</v>
      </c>
      <c r="CE58" s="170">
        <f t="shared" si="35"/>
        <v>97.188141735268317</v>
      </c>
      <c r="CF58" s="170">
        <f t="shared" si="36"/>
        <v>99.229092711708958</v>
      </c>
      <c r="CG58" s="170">
        <f t="shared" si="37"/>
        <v>101.31290365865483</v>
      </c>
      <c r="CH58" s="170">
        <f t="shared" si="38"/>
        <v>103.44047463548657</v>
      </c>
      <c r="CI58" s="170">
        <f t="shared" si="39"/>
        <v>105.61272460283178</v>
      </c>
      <c r="CJ58" s="170">
        <f t="shared" si="40"/>
        <v>107.83059181949123</v>
      </c>
      <c r="CK58" s="170">
        <f t="shared" si="41"/>
        <v>110.09503424770054</v>
      </c>
      <c r="CL58" s="170">
        <f t="shared" si="42"/>
        <v>112.40702996690224</v>
      </c>
      <c r="CM58" s="170">
        <f t="shared" si="46"/>
        <v>114.76757759620718</v>
      </c>
      <c r="CN58" s="96">
        <f t="shared" si="43"/>
        <v>3048</v>
      </c>
      <c r="CO58" s="225">
        <f t="shared" si="47"/>
        <v>103.23809009937526</v>
      </c>
      <c r="CP58" s="169">
        <f t="shared" si="44"/>
        <v>7.3610296960507471E-2</v>
      </c>
    </row>
    <row r="59" spans="2:94">
      <c r="B59" s="96" t="s">
        <v>58</v>
      </c>
      <c r="C59" s="96">
        <v>0</v>
      </c>
      <c r="D59" s="96">
        <v>0</v>
      </c>
      <c r="E59" s="96">
        <v>0</v>
      </c>
      <c r="F59" s="96">
        <v>361.25</v>
      </c>
      <c r="P59" s="96" t="s">
        <v>42</v>
      </c>
      <c r="Q59" s="170">
        <v>21210.369999999992</v>
      </c>
      <c r="R59" s="170">
        <v>21719.41887999999</v>
      </c>
      <c r="S59" s="170">
        <v>22175.526676479993</v>
      </c>
      <c r="T59" s="170">
        <v>22641.21273668607</v>
      </c>
      <c r="U59" s="170">
        <v>23116.678204156473</v>
      </c>
      <c r="V59" s="170">
        <v>23602.128446443756</v>
      </c>
      <c r="W59" s="170">
        <v>24097.773143819075</v>
      </c>
      <c r="X59" s="170">
        <v>24603.826379839273</v>
      </c>
      <c r="Y59" s="170">
        <v>25120.506733815895</v>
      </c>
      <c r="Z59" s="170">
        <v>25648.037375226024</v>
      </c>
      <c r="AB59" s="96" t="s">
        <v>42</v>
      </c>
      <c r="AC59" s="96">
        <v>314</v>
      </c>
      <c r="AE59" s="96">
        <f t="shared" si="48"/>
        <v>67.548949044585967</v>
      </c>
      <c r="AF59" s="96">
        <f t="shared" si="49"/>
        <v>69.17012382165602</v>
      </c>
      <c r="AG59" s="96">
        <f t="shared" si="50"/>
        <v>70.622696421910803</v>
      </c>
      <c r="AH59" s="96">
        <f t="shared" si="51"/>
        <v>72.105773046770921</v>
      </c>
      <c r="AI59" s="96">
        <f t="shared" si="52"/>
        <v>73.619994280753104</v>
      </c>
      <c r="AJ59" s="96">
        <f t="shared" si="53"/>
        <v>75.166014160648899</v>
      </c>
      <c r="AK59" s="96">
        <f t="shared" si="54"/>
        <v>76.744500458022529</v>
      </c>
      <c r="AL59" s="96">
        <f t="shared" si="55"/>
        <v>78.356134967640998</v>
      </c>
      <c r="AM59" s="96">
        <f t="shared" si="56"/>
        <v>80.001613801961454</v>
      </c>
      <c r="AN59" s="96">
        <f t="shared" si="57"/>
        <v>81.681647691802624</v>
      </c>
      <c r="AS59" s="96" t="s">
        <v>42</v>
      </c>
      <c r="AT59" s="96">
        <f t="shared" si="23"/>
        <v>8.2882560477706981</v>
      </c>
      <c r="AU59" s="96">
        <f t="shared" si="24"/>
        <v>8.4871741929171947</v>
      </c>
      <c r="AV59" s="96">
        <f t="shared" si="25"/>
        <v>8.6654048509684554</v>
      </c>
      <c r="AW59" s="96">
        <f t="shared" si="26"/>
        <v>8.8473783528387919</v>
      </c>
      <c r="AX59" s="96">
        <f t="shared" si="27"/>
        <v>9.033173298248407</v>
      </c>
      <c r="AY59" s="96">
        <f t="shared" si="28"/>
        <v>9.2228699375116197</v>
      </c>
      <c r="AZ59" s="96">
        <f t="shared" si="29"/>
        <v>9.4165502061993642</v>
      </c>
      <c r="BA59" s="96">
        <f t="shared" si="30"/>
        <v>9.614297760529551</v>
      </c>
      <c r="BB59" s="96">
        <f t="shared" si="31"/>
        <v>9.8161980135006708</v>
      </c>
      <c r="BC59" s="96">
        <f t="shared" si="32"/>
        <v>10.022338171784183</v>
      </c>
      <c r="BE59" s="169">
        <f t="shared" si="33"/>
        <v>9.0154996110962422</v>
      </c>
      <c r="BM59" s="81" t="s">
        <v>81</v>
      </c>
      <c r="BN59" s="96">
        <f t="shared" si="34"/>
        <v>0</v>
      </c>
      <c r="BQ59" s="81" t="s">
        <v>81</v>
      </c>
      <c r="BR59" s="173">
        <f t="shared" si="58"/>
        <v>0</v>
      </c>
      <c r="BS59" s="173">
        <f t="shared" si="59"/>
        <v>0</v>
      </c>
      <c r="BT59" s="173">
        <f t="shared" si="60"/>
        <v>0</v>
      </c>
      <c r="BU59" s="173">
        <f t="shared" si="61"/>
        <v>0</v>
      </c>
      <c r="BV59" s="173">
        <f t="shared" si="62"/>
        <v>0</v>
      </c>
      <c r="BW59" s="173">
        <f t="shared" si="63"/>
        <v>0</v>
      </c>
      <c r="BX59" s="173">
        <f t="shared" si="64"/>
        <v>0</v>
      </c>
      <c r="BY59" s="173">
        <f t="shared" si="65"/>
        <v>0</v>
      </c>
      <c r="BZ59" s="173">
        <f t="shared" si="66"/>
        <v>0</v>
      </c>
      <c r="CA59" s="173">
        <f t="shared" si="67"/>
        <v>0</v>
      </c>
      <c r="CC59" s="81" t="s">
        <v>81</v>
      </c>
      <c r="CD59" s="170">
        <f t="shared" si="45"/>
        <v>0</v>
      </c>
      <c r="CE59" s="170">
        <f t="shared" si="35"/>
        <v>0</v>
      </c>
      <c r="CF59" s="170">
        <f t="shared" si="36"/>
        <v>0</v>
      </c>
      <c r="CG59" s="170">
        <f t="shared" si="37"/>
        <v>0</v>
      </c>
      <c r="CH59" s="170">
        <f t="shared" si="38"/>
        <v>0</v>
      </c>
      <c r="CI59" s="170">
        <f t="shared" si="39"/>
        <v>0</v>
      </c>
      <c r="CJ59" s="170">
        <f t="shared" si="40"/>
        <v>0</v>
      </c>
      <c r="CK59" s="170">
        <f t="shared" si="41"/>
        <v>0</v>
      </c>
      <c r="CL59" s="170">
        <f t="shared" si="42"/>
        <v>0</v>
      </c>
      <c r="CM59" s="170">
        <f t="shared" si="46"/>
        <v>0</v>
      </c>
      <c r="CN59" s="96">
        <f t="shared" si="43"/>
        <v>0</v>
      </c>
      <c r="CO59" s="225">
        <f t="shared" si="47"/>
        <v>0</v>
      </c>
      <c r="CP59" s="169">
        <f t="shared" si="44"/>
        <v>0</v>
      </c>
    </row>
    <row r="60" spans="2:94">
      <c r="B60" s="96" t="s">
        <v>58</v>
      </c>
      <c r="C60" s="96">
        <v>0</v>
      </c>
      <c r="D60" s="96">
        <v>0</v>
      </c>
      <c r="E60" s="96">
        <v>60382.95</v>
      </c>
      <c r="F60" s="96">
        <v>361.25</v>
      </c>
      <c r="P60" s="96" t="s">
        <v>42</v>
      </c>
      <c r="Q60" s="170">
        <v>14863.620000000003</v>
      </c>
      <c r="R60" s="170">
        <v>15220.346880000003</v>
      </c>
      <c r="S60" s="170">
        <v>15539.974164480003</v>
      </c>
      <c r="T60" s="170">
        <v>15866.313621934081</v>
      </c>
      <c r="U60" s="170">
        <v>16199.506207994695</v>
      </c>
      <c r="V60" s="170">
        <v>16539.695838362582</v>
      </c>
      <c r="W60" s="170">
        <v>16887.029450968195</v>
      </c>
      <c r="X60" s="170">
        <v>17241.657069438526</v>
      </c>
      <c r="Y60" s="170">
        <v>17603.731867896731</v>
      </c>
      <c r="Z60" s="170">
        <v>17973.41023712256</v>
      </c>
      <c r="AB60" s="96" t="s">
        <v>42</v>
      </c>
      <c r="AC60" s="96">
        <v>564</v>
      </c>
      <c r="AE60" s="96">
        <f t="shared" si="48"/>
        <v>26.353936170212769</v>
      </c>
      <c r="AF60" s="96">
        <f t="shared" si="49"/>
        <v>26.986430638297879</v>
      </c>
      <c r="AG60" s="96">
        <f t="shared" si="50"/>
        <v>27.553145681702134</v>
      </c>
      <c r="AH60" s="96">
        <f t="shared" si="51"/>
        <v>28.131761741017876</v>
      </c>
      <c r="AI60" s="96">
        <f t="shared" si="52"/>
        <v>28.722528737579246</v>
      </c>
      <c r="AJ60" s="96">
        <f t="shared" si="53"/>
        <v>29.325701841068408</v>
      </c>
      <c r="AK60" s="96">
        <f t="shared" si="54"/>
        <v>29.941541579730842</v>
      </c>
      <c r="AL60" s="96">
        <f t="shared" si="55"/>
        <v>30.570313952905188</v>
      </c>
      <c r="AM60" s="96">
        <f t="shared" si="56"/>
        <v>31.21229054591619</v>
      </c>
      <c r="AN60" s="96">
        <f t="shared" si="57"/>
        <v>31.867748647380424</v>
      </c>
      <c r="AS60" s="96" t="s">
        <v>42</v>
      </c>
      <c r="AT60" s="96">
        <f t="shared" si="23"/>
        <v>3.233627968085107</v>
      </c>
      <c r="AU60" s="96">
        <f t="shared" si="24"/>
        <v>3.3112350393191496</v>
      </c>
      <c r="AV60" s="96">
        <f t="shared" si="25"/>
        <v>3.380770975144852</v>
      </c>
      <c r="AW60" s="96">
        <f t="shared" si="26"/>
        <v>3.4517671656228934</v>
      </c>
      <c r="AX60" s="96">
        <f t="shared" si="27"/>
        <v>3.5242542761009736</v>
      </c>
      <c r="AY60" s="96">
        <f t="shared" si="28"/>
        <v>3.5982636158990937</v>
      </c>
      <c r="AZ60" s="96">
        <f t="shared" si="29"/>
        <v>3.6738271518329744</v>
      </c>
      <c r="BA60" s="96">
        <f t="shared" si="30"/>
        <v>3.7509775220214667</v>
      </c>
      <c r="BB60" s="96">
        <f t="shared" si="31"/>
        <v>3.8297480499839165</v>
      </c>
      <c r="BC60" s="96">
        <f t="shared" si="32"/>
        <v>3.910172759033578</v>
      </c>
      <c r="BE60" s="169">
        <f t="shared" si="33"/>
        <v>3.51735896196673</v>
      </c>
      <c r="BM60" s="175" t="s">
        <v>55</v>
      </c>
      <c r="BN60" s="176">
        <f>SUMIFS($AC$137:$AC$266,$AB$137:$AB$266,$BM60)+AC85+AC86</f>
        <v>296.64999999999998</v>
      </c>
      <c r="BQ60" s="81" t="s">
        <v>55</v>
      </c>
      <c r="BR60" s="173">
        <f t="shared" si="58"/>
        <v>0</v>
      </c>
      <c r="BS60" s="173">
        <f t="shared" si="59"/>
        <v>0</v>
      </c>
      <c r="BT60" s="173">
        <f t="shared" si="60"/>
        <v>0</v>
      </c>
      <c r="BU60" s="173">
        <f t="shared" si="61"/>
        <v>0</v>
      </c>
      <c r="BV60" s="173">
        <f t="shared" si="62"/>
        <v>0</v>
      </c>
      <c r="BW60" s="173">
        <f t="shared" si="63"/>
        <v>0</v>
      </c>
      <c r="BX60" s="173">
        <f t="shared" si="64"/>
        <v>0</v>
      </c>
      <c r="BY60" s="173">
        <f t="shared" si="65"/>
        <v>0</v>
      </c>
      <c r="BZ60" s="173">
        <f t="shared" si="66"/>
        <v>0</v>
      </c>
      <c r="CA60" s="173">
        <f t="shared" si="67"/>
        <v>0</v>
      </c>
      <c r="CC60" s="81" t="s">
        <v>55</v>
      </c>
      <c r="CD60" s="170">
        <f t="shared" si="45"/>
        <v>6.0268165616045861</v>
      </c>
      <c r="CE60" s="170">
        <f t="shared" si="35"/>
        <v>6.1714601590830958</v>
      </c>
      <c r="CF60" s="170">
        <f t="shared" si="36"/>
        <v>6.3010608224238425</v>
      </c>
      <c r="CG60" s="170">
        <f t="shared" si="37"/>
        <v>6.4333830996947414</v>
      </c>
      <c r="CH60" s="170">
        <f t="shared" si="38"/>
        <v>6.5684841447883295</v>
      </c>
      <c r="CI60" s="170">
        <f t="shared" si="39"/>
        <v>6.7064223118288844</v>
      </c>
      <c r="CJ60" s="170">
        <f t="shared" si="40"/>
        <v>6.8472571803772908</v>
      </c>
      <c r="CK60" s="170">
        <f t="shared" si="41"/>
        <v>6.991049581165214</v>
      </c>
      <c r="CL60" s="170">
        <f t="shared" si="42"/>
        <v>7.137861622369682</v>
      </c>
      <c r="CM60" s="170">
        <f t="shared" si="46"/>
        <v>7.2877567164394428</v>
      </c>
      <c r="CN60" s="96">
        <f t="shared" si="43"/>
        <v>296.64999999999998</v>
      </c>
      <c r="CO60" s="225">
        <f t="shared" si="47"/>
        <v>6.5556326993431897</v>
      </c>
      <c r="CP60" s="169">
        <f t="shared" si="44"/>
        <v>4.5492794069965385E-4</v>
      </c>
    </row>
    <row r="61" spans="2:94">
      <c r="B61" s="96" t="s">
        <v>58</v>
      </c>
      <c r="C61" s="96">
        <v>0</v>
      </c>
      <c r="D61" s="96">
        <v>0</v>
      </c>
      <c r="E61" s="96">
        <v>131890.1</v>
      </c>
      <c r="F61" s="96">
        <v>361.25</v>
      </c>
      <c r="P61" s="96" t="s">
        <v>49</v>
      </c>
      <c r="Q61" s="170">
        <v>3761.01</v>
      </c>
      <c r="R61" s="170">
        <v>3851.2742400000002</v>
      </c>
      <c r="S61" s="170">
        <v>3932.15099904</v>
      </c>
      <c r="T61" s="170">
        <v>4014.7261700198396</v>
      </c>
      <c r="U61" s="170">
        <v>4099.0354195902555</v>
      </c>
      <c r="V61" s="170">
        <v>4185.1151634016514</v>
      </c>
      <c r="W61" s="170">
        <v>4273.0025818330851</v>
      </c>
      <c r="X61" s="170">
        <v>4362.7356360515796</v>
      </c>
      <c r="Y61" s="170">
        <v>4454.3530844086627</v>
      </c>
      <c r="Z61" s="170">
        <v>4547.8944991812432</v>
      </c>
      <c r="AB61" s="96" t="s">
        <v>49</v>
      </c>
      <c r="AC61" s="96">
        <v>541</v>
      </c>
      <c r="AE61" s="96">
        <f t="shared" si="48"/>
        <v>6.9519593345656192</v>
      </c>
      <c r="AF61" s="96">
        <f t="shared" si="49"/>
        <v>7.1188063585951946</v>
      </c>
      <c r="AG61" s="96">
        <f t="shared" si="50"/>
        <v>7.2683012921256935</v>
      </c>
      <c r="AH61" s="96">
        <f t="shared" si="51"/>
        <v>7.420935619260332</v>
      </c>
      <c r="AI61" s="96">
        <f t="shared" si="52"/>
        <v>7.5767752672647974</v>
      </c>
      <c r="AJ61" s="96">
        <f t="shared" si="53"/>
        <v>7.7358875478773594</v>
      </c>
      <c r="AK61" s="96">
        <f t="shared" si="54"/>
        <v>7.8983411863827824</v>
      </c>
      <c r="AL61" s="96">
        <f t="shared" si="55"/>
        <v>8.0642063512968196</v>
      </c>
      <c r="AM61" s="96">
        <f t="shared" si="56"/>
        <v>8.2335546846740524</v>
      </c>
      <c r="AN61" s="96">
        <f t="shared" si="57"/>
        <v>8.4064593330522062</v>
      </c>
      <c r="AS61" s="96" t="s">
        <v>49</v>
      </c>
      <c r="AT61" s="96">
        <f t="shared" si="23"/>
        <v>0.85300541035120148</v>
      </c>
      <c r="AU61" s="96">
        <f t="shared" si="24"/>
        <v>0.87347754019963042</v>
      </c>
      <c r="AV61" s="96">
        <f t="shared" si="25"/>
        <v>0.89182056854382263</v>
      </c>
      <c r="AW61" s="96">
        <f t="shared" si="26"/>
        <v>0.91054880048324272</v>
      </c>
      <c r="AX61" s="96">
        <f t="shared" si="27"/>
        <v>0.92967032529339066</v>
      </c>
      <c r="AY61" s="96">
        <f t="shared" si="28"/>
        <v>0.94919340212455205</v>
      </c>
      <c r="AZ61" s="96">
        <f t="shared" si="29"/>
        <v>0.96912646356916743</v>
      </c>
      <c r="BA61" s="96">
        <f t="shared" si="30"/>
        <v>0.98947811930411977</v>
      </c>
      <c r="BB61" s="96">
        <f t="shared" si="31"/>
        <v>1.0102571598095063</v>
      </c>
      <c r="BC61" s="96">
        <f t="shared" si="32"/>
        <v>1.0314725601655057</v>
      </c>
      <c r="BE61" s="169">
        <f t="shared" si="33"/>
        <v>0.92785139611519463</v>
      </c>
      <c r="BM61" s="81" t="s">
        <v>56</v>
      </c>
      <c r="BN61" s="96">
        <f t="shared" si="34"/>
        <v>264</v>
      </c>
      <c r="BQ61" s="81" t="s">
        <v>56</v>
      </c>
      <c r="BR61" s="173">
        <f t="shared" si="58"/>
        <v>0</v>
      </c>
      <c r="BS61" s="173">
        <f t="shared" si="59"/>
        <v>0</v>
      </c>
      <c r="BT61" s="173">
        <f t="shared" si="60"/>
        <v>0</v>
      </c>
      <c r="BU61" s="173">
        <f t="shared" si="61"/>
        <v>0</v>
      </c>
      <c r="BV61" s="173">
        <f t="shared" si="62"/>
        <v>0</v>
      </c>
      <c r="BW61" s="173">
        <f t="shared" si="63"/>
        <v>0</v>
      </c>
      <c r="BX61" s="173">
        <f t="shared" si="64"/>
        <v>0</v>
      </c>
      <c r="BY61" s="173">
        <f t="shared" si="65"/>
        <v>0</v>
      </c>
      <c r="BZ61" s="173">
        <f t="shared" si="66"/>
        <v>0</v>
      </c>
      <c r="CA61" s="173">
        <f t="shared" si="67"/>
        <v>0</v>
      </c>
      <c r="CC61" s="81" t="s">
        <v>56</v>
      </c>
      <c r="CD61" s="170">
        <f t="shared" si="45"/>
        <v>15.112538321969694</v>
      </c>
      <c r="CE61" s="170">
        <f t="shared" si="35"/>
        <v>15.475239241696968</v>
      </c>
      <c r="CF61" s="170">
        <f t="shared" si="36"/>
        <v>15.800219265772601</v>
      </c>
      <c r="CG61" s="170">
        <f t="shared" si="37"/>
        <v>16.132023870353827</v>
      </c>
      <c r="CH61" s="170">
        <f t="shared" si="38"/>
        <v>16.470796371631252</v>
      </c>
      <c r="CI61" s="170">
        <f t="shared" si="39"/>
        <v>16.816683095435511</v>
      </c>
      <c r="CJ61" s="170">
        <f t="shared" si="40"/>
        <v>17.16983344043965</v>
      </c>
      <c r="CK61" s="170">
        <f t="shared" si="41"/>
        <v>17.530399942688884</v>
      </c>
      <c r="CL61" s="170">
        <f t="shared" si="42"/>
        <v>17.898538341485349</v>
      </c>
      <c r="CM61" s="170">
        <f t="shared" si="46"/>
        <v>18.274407646656538</v>
      </c>
      <c r="CN61" s="96">
        <f t="shared" si="43"/>
        <v>264</v>
      </c>
      <c r="CO61" s="225">
        <f t="shared" si="47"/>
        <v>16.438570741433765</v>
      </c>
      <c r="CP61" s="169">
        <f t="shared" si="44"/>
        <v>1.0152000427852252E-3</v>
      </c>
    </row>
    <row r="62" spans="2:94">
      <c r="B62" s="96" t="s">
        <v>58</v>
      </c>
      <c r="C62" s="96">
        <v>0</v>
      </c>
      <c r="D62" s="96">
        <v>0</v>
      </c>
      <c r="E62" s="96">
        <v>100983.6</v>
      </c>
      <c r="F62" s="96">
        <v>361.25</v>
      </c>
      <c r="P62" s="96" t="s">
        <v>49</v>
      </c>
      <c r="Q62" s="170">
        <v>26885.46</v>
      </c>
      <c r="R62" s="170">
        <v>27530.711039999998</v>
      </c>
      <c r="S62" s="170">
        <v>28108.855971839999</v>
      </c>
      <c r="T62" s="170">
        <v>28699.141947248634</v>
      </c>
      <c r="U62" s="170">
        <v>29301.823928140853</v>
      </c>
      <c r="V62" s="170">
        <v>29917.16223063181</v>
      </c>
      <c r="W62" s="170">
        <v>30545.422637475072</v>
      </c>
      <c r="X62" s="170">
        <v>31186.876512862047</v>
      </c>
      <c r="Y62" s="170">
        <v>31841.800919632147</v>
      </c>
      <c r="Z62" s="170">
        <v>32510.478738944417</v>
      </c>
      <c r="AB62" s="96" t="s">
        <v>49</v>
      </c>
      <c r="AC62" s="96">
        <v>17</v>
      </c>
      <c r="AE62" s="96">
        <f t="shared" si="48"/>
        <v>1581.4976470588235</v>
      </c>
      <c r="AF62" s="96">
        <f t="shared" si="49"/>
        <v>1619.4535905882351</v>
      </c>
      <c r="AG62" s="96">
        <f t="shared" si="50"/>
        <v>1653.4621159905882</v>
      </c>
      <c r="AH62" s="96">
        <f t="shared" si="51"/>
        <v>1688.1848204263902</v>
      </c>
      <c r="AI62" s="96">
        <f t="shared" si="52"/>
        <v>1723.6367016553443</v>
      </c>
      <c r="AJ62" s="96">
        <f t="shared" si="53"/>
        <v>1759.8330723901065</v>
      </c>
      <c r="AK62" s="96">
        <f t="shared" si="54"/>
        <v>1796.7895669102984</v>
      </c>
      <c r="AL62" s="96">
        <f t="shared" si="55"/>
        <v>1834.5221478154144</v>
      </c>
      <c r="AM62" s="96">
        <f t="shared" si="56"/>
        <v>1873.047112919538</v>
      </c>
      <c r="AN62" s="96">
        <f t="shared" si="57"/>
        <v>1912.381102290848</v>
      </c>
      <c r="AS62" s="96" t="s">
        <v>49</v>
      </c>
      <c r="AT62" s="96">
        <f t="shared" si="23"/>
        <v>194.04976129411764</v>
      </c>
      <c r="AU62" s="96">
        <f t="shared" si="24"/>
        <v>198.70695556517646</v>
      </c>
      <c r="AV62" s="96">
        <f t="shared" si="25"/>
        <v>202.87980163204517</v>
      </c>
      <c r="AW62" s="96">
        <f t="shared" si="26"/>
        <v>207.14027746631808</v>
      </c>
      <c r="AX62" s="96">
        <f t="shared" si="27"/>
        <v>211.49022329311074</v>
      </c>
      <c r="AY62" s="96">
        <f t="shared" si="28"/>
        <v>215.93151798226609</v>
      </c>
      <c r="AZ62" s="96">
        <f t="shared" si="29"/>
        <v>220.46607985989363</v>
      </c>
      <c r="BA62" s="96">
        <f t="shared" si="30"/>
        <v>225.09586753695135</v>
      </c>
      <c r="BB62" s="96">
        <f t="shared" si="31"/>
        <v>229.82288075522732</v>
      </c>
      <c r="BC62" s="96">
        <f t="shared" si="32"/>
        <v>234.64916125108707</v>
      </c>
      <c r="BE62" s="169">
        <f t="shared" si="33"/>
        <v>211.07643603155688</v>
      </c>
      <c r="BM62" s="81" t="s">
        <v>58</v>
      </c>
      <c r="BN62" s="96">
        <f t="shared" si="34"/>
        <v>4167.5499999999993</v>
      </c>
      <c r="BQ62" s="81" t="s">
        <v>58</v>
      </c>
      <c r="BR62" s="173">
        <f t="shared" si="58"/>
        <v>17.577683571337818</v>
      </c>
      <c r="BS62" s="173">
        <f t="shared" si="59"/>
        <v>17.999547977049929</v>
      </c>
      <c r="BT62" s="173">
        <f t="shared" si="60"/>
        <v>18.377538484567975</v>
      </c>
      <c r="BU62" s="173">
        <f t="shared" si="61"/>
        <v>18.763466792743902</v>
      </c>
      <c r="BV62" s="173">
        <f t="shared" si="62"/>
        <v>19.157499595391521</v>
      </c>
      <c r="BW62" s="173">
        <f t="shared" si="63"/>
        <v>19.559807086894743</v>
      </c>
      <c r="BX62" s="173">
        <f t="shared" si="64"/>
        <v>19.970563035719529</v>
      </c>
      <c r="BY62" s="173">
        <f t="shared" si="65"/>
        <v>20.389944859469633</v>
      </c>
      <c r="BZ62" s="173">
        <f t="shared" si="66"/>
        <v>20.818133701518498</v>
      </c>
      <c r="CA62" s="173">
        <f t="shared" si="67"/>
        <v>21.255314509250386</v>
      </c>
      <c r="CC62" s="81" t="s">
        <v>58</v>
      </c>
      <c r="CD62" s="170">
        <f t="shared" si="45"/>
        <v>58.27833028265178</v>
      </c>
      <c r="CE62" s="170">
        <f t="shared" si="35"/>
        <v>59.677010209435437</v>
      </c>
      <c r="CF62" s="170">
        <f t="shared" si="36"/>
        <v>60.930227423833571</v>
      </c>
      <c r="CG62" s="170">
        <f t="shared" si="37"/>
        <v>62.209762199734065</v>
      </c>
      <c r="CH62" s="170">
        <f t="shared" si="38"/>
        <v>63.516167205928475</v>
      </c>
      <c r="CI62" s="170">
        <f t="shared" si="39"/>
        <v>64.850006717252967</v>
      </c>
      <c r="CJ62" s="170">
        <f t="shared" si="40"/>
        <v>66.211856858315272</v>
      </c>
      <c r="CK62" s="170">
        <f t="shared" si="41"/>
        <v>67.602305852339896</v>
      </c>
      <c r="CL62" s="170">
        <f t="shared" si="42"/>
        <v>69.021954275239011</v>
      </c>
      <c r="CM62" s="170">
        <f t="shared" si="46"/>
        <v>70.47141531501903</v>
      </c>
      <c r="CN62" s="96">
        <f t="shared" si="43"/>
        <v>4167.5499999999993</v>
      </c>
      <c r="CO62" s="225">
        <f t="shared" si="47"/>
        <v>63.391895830716443</v>
      </c>
      <c r="CP62" s="169">
        <f t="shared" si="44"/>
        <v>6.1801384544717057E-2</v>
      </c>
    </row>
    <row r="63" spans="2:94">
      <c r="B63" s="96" t="s">
        <v>58</v>
      </c>
      <c r="C63" s="96">
        <v>0</v>
      </c>
      <c r="D63" s="96">
        <v>0</v>
      </c>
      <c r="E63" s="96">
        <v>0</v>
      </c>
      <c r="F63" s="96">
        <v>361.25</v>
      </c>
      <c r="P63" s="96" t="s">
        <v>49</v>
      </c>
      <c r="Q63" s="170">
        <v>1642.7900000000002</v>
      </c>
      <c r="R63" s="170">
        <v>1682.2169600000002</v>
      </c>
      <c r="S63" s="170">
        <v>1717.5435161600001</v>
      </c>
      <c r="T63" s="170">
        <v>1753.61192999936</v>
      </c>
      <c r="U63" s="170">
        <v>1790.4377805293464</v>
      </c>
      <c r="V63" s="170">
        <v>1828.0369739204625</v>
      </c>
      <c r="W63" s="170">
        <v>1866.425750372792</v>
      </c>
      <c r="X63" s="170">
        <v>1905.6206911306206</v>
      </c>
      <c r="Y63" s="170">
        <v>1945.6387256443634</v>
      </c>
      <c r="Z63" s="170">
        <v>1986.4971388828947</v>
      </c>
      <c r="AB63" s="96" t="s">
        <v>49</v>
      </c>
      <c r="AC63" s="96">
        <v>444</v>
      </c>
      <c r="AE63" s="96">
        <f t="shared" si="48"/>
        <v>3.6999774774774781</v>
      </c>
      <c r="AF63" s="96">
        <f t="shared" si="49"/>
        <v>3.7887769369369373</v>
      </c>
      <c r="AG63" s="96">
        <f t="shared" si="50"/>
        <v>3.8683412526126126</v>
      </c>
      <c r="AH63" s="96">
        <f t="shared" si="51"/>
        <v>3.9495764189174776</v>
      </c>
      <c r="AI63" s="96">
        <f t="shared" si="52"/>
        <v>4.0325175237147439</v>
      </c>
      <c r="AJ63" s="96">
        <f t="shared" si="53"/>
        <v>4.1172003917127533</v>
      </c>
      <c r="AK63" s="96">
        <f t="shared" si="54"/>
        <v>4.2036615999387204</v>
      </c>
      <c r="AL63" s="96">
        <f t="shared" si="55"/>
        <v>4.2919384935374341</v>
      </c>
      <c r="AM63" s="96">
        <f t="shared" si="56"/>
        <v>4.3820692019017189</v>
      </c>
      <c r="AN63" s="96">
        <f t="shared" si="57"/>
        <v>4.4740926551416544</v>
      </c>
      <c r="AS63" s="96" t="s">
        <v>49</v>
      </c>
      <c r="AT63" s="96">
        <f t="shared" si="23"/>
        <v>0.45398723648648659</v>
      </c>
      <c r="AU63" s="96">
        <f t="shared" si="24"/>
        <v>0.4648829301621622</v>
      </c>
      <c r="AV63" s="96">
        <f t="shared" si="25"/>
        <v>0.47464547169556759</v>
      </c>
      <c r="AW63" s="96">
        <f t="shared" si="26"/>
        <v>0.4846130266011745</v>
      </c>
      <c r="AX63" s="96">
        <f t="shared" si="27"/>
        <v>0.49478990015979907</v>
      </c>
      <c r="AY63" s="96">
        <f t="shared" si="28"/>
        <v>0.50518048806315485</v>
      </c>
      <c r="AZ63" s="96">
        <f t="shared" si="29"/>
        <v>0.515789278312481</v>
      </c>
      <c r="BA63" s="96">
        <f t="shared" si="30"/>
        <v>0.52662085315704321</v>
      </c>
      <c r="BB63" s="96">
        <f t="shared" si="31"/>
        <v>0.53767989107334091</v>
      </c>
      <c r="BC63" s="96">
        <f t="shared" si="32"/>
        <v>0.54897116878588104</v>
      </c>
      <c r="BE63" s="169">
        <f t="shared" si="33"/>
        <v>0.49382182818633541</v>
      </c>
      <c r="BM63" s="81" t="s">
        <v>60</v>
      </c>
      <c r="BN63" s="96">
        <f t="shared" si="34"/>
        <v>2440</v>
      </c>
      <c r="BQ63" s="81" t="s">
        <v>60</v>
      </c>
      <c r="BR63" s="173">
        <f t="shared" si="58"/>
        <v>13.490425492622949</v>
      </c>
      <c r="BS63" s="173">
        <f t="shared" si="59"/>
        <v>13.814195704445901</v>
      </c>
      <c r="BT63" s="173">
        <f t="shared" si="60"/>
        <v>14.104293814239263</v>
      </c>
      <c r="BU63" s="173">
        <f t="shared" si="61"/>
        <v>14.400483984338287</v>
      </c>
      <c r="BV63" s="173">
        <f t="shared" si="62"/>
        <v>14.702894148009385</v>
      </c>
      <c r="BW63" s="173">
        <f t="shared" si="63"/>
        <v>15.011654925117584</v>
      </c>
      <c r="BX63" s="173">
        <f t="shared" si="64"/>
        <v>15.326899678545052</v>
      </c>
      <c r="BY63" s="173">
        <f t="shared" si="65"/>
        <v>15.648764571794496</v>
      </c>
      <c r="BZ63" s="173">
        <f t="shared" si="66"/>
        <v>15.977388627802183</v>
      </c>
      <c r="CA63" s="173">
        <f t="shared" si="67"/>
        <v>16.312913788986023</v>
      </c>
      <c r="CC63" s="81" t="s">
        <v>60</v>
      </c>
      <c r="CD63" s="170">
        <f t="shared" si="45"/>
        <v>31.373991509016385</v>
      </c>
      <c r="CE63" s="170">
        <f t="shared" si="35"/>
        <v>32.126967305232782</v>
      </c>
      <c r="CF63" s="170">
        <f t="shared" si="36"/>
        <v>32.801633618642661</v>
      </c>
      <c r="CG63" s="170">
        <f t="shared" si="37"/>
        <v>33.49046792463416</v>
      </c>
      <c r="CH63" s="170">
        <f t="shared" si="38"/>
        <v>34.193767751051467</v>
      </c>
      <c r="CI63" s="170">
        <f t="shared" si="39"/>
        <v>34.911836873823553</v>
      </c>
      <c r="CJ63" s="170">
        <f t="shared" si="40"/>
        <v>35.644985448173841</v>
      </c>
      <c r="CK63" s="170">
        <f t="shared" si="41"/>
        <v>36.39353014258549</v>
      </c>
      <c r="CL63" s="170">
        <f t="shared" si="42"/>
        <v>37.157794275579789</v>
      </c>
      <c r="CM63" s="170">
        <f t="shared" si="46"/>
        <v>37.938107955366952</v>
      </c>
      <c r="CN63" s="96">
        <f t="shared" si="43"/>
        <v>2440</v>
      </c>
      <c r="CO63" s="225">
        <f t="shared" si="47"/>
        <v>34.126866570942042</v>
      </c>
      <c r="CP63" s="169">
        <f t="shared" si="44"/>
        <v>1.9479144818882597E-2</v>
      </c>
    </row>
    <row r="64" spans="2:94">
      <c r="B64" s="96" t="s">
        <v>58</v>
      </c>
      <c r="C64" s="96">
        <v>0</v>
      </c>
      <c r="D64" s="96">
        <v>0</v>
      </c>
      <c r="E64" s="96">
        <v>150701.4</v>
      </c>
      <c r="F64" s="96">
        <v>361.25</v>
      </c>
      <c r="P64" s="96" t="s">
        <v>49</v>
      </c>
      <c r="Q64" s="170">
        <v>4850.4500000000007</v>
      </c>
      <c r="R64" s="170">
        <v>4966.8608000000013</v>
      </c>
      <c r="S64" s="170">
        <v>5071.1648768000005</v>
      </c>
      <c r="T64" s="170">
        <v>5177.6593392127998</v>
      </c>
      <c r="U64" s="170">
        <v>5286.3901853362677</v>
      </c>
      <c r="V64" s="170">
        <v>5397.4043792283292</v>
      </c>
      <c r="W64" s="170">
        <v>5510.7498711921235</v>
      </c>
      <c r="X64" s="170">
        <v>5626.4756184871576</v>
      </c>
      <c r="Y64" s="170">
        <v>5744.6316064753873</v>
      </c>
      <c r="Z64" s="170">
        <v>5865.2688702113701</v>
      </c>
      <c r="AB64" s="96" t="s">
        <v>49</v>
      </c>
      <c r="AC64" s="96">
        <v>408</v>
      </c>
      <c r="AE64" s="96">
        <f t="shared" si="48"/>
        <v>11.888357843137257</v>
      </c>
      <c r="AF64" s="96">
        <f t="shared" si="49"/>
        <v>12.173678431372553</v>
      </c>
      <c r="AG64" s="96">
        <f t="shared" si="50"/>
        <v>12.429325678431374</v>
      </c>
      <c r="AH64" s="96">
        <f t="shared" si="51"/>
        <v>12.69034151767843</v>
      </c>
      <c r="AI64" s="96">
        <f t="shared" si="52"/>
        <v>12.956838689549675</v>
      </c>
      <c r="AJ64" s="96">
        <f t="shared" si="53"/>
        <v>13.228932302030218</v>
      </c>
      <c r="AK64" s="96">
        <f t="shared" si="54"/>
        <v>13.506739880372852</v>
      </c>
      <c r="AL64" s="96">
        <f t="shared" si="55"/>
        <v>13.790381417860681</v>
      </c>
      <c r="AM64" s="96">
        <f t="shared" si="56"/>
        <v>14.079979427635754</v>
      </c>
      <c r="AN64" s="96">
        <f t="shared" si="57"/>
        <v>14.375658995616103</v>
      </c>
      <c r="AS64" s="96" t="s">
        <v>49</v>
      </c>
      <c r="AT64" s="96">
        <f t="shared" si="23"/>
        <v>1.4587015073529415</v>
      </c>
      <c r="AU64" s="96">
        <f t="shared" si="24"/>
        <v>1.4937103435294123</v>
      </c>
      <c r="AV64" s="96">
        <f t="shared" si="25"/>
        <v>1.5250782607435296</v>
      </c>
      <c r="AW64" s="96">
        <f t="shared" si="26"/>
        <v>1.5571049042191434</v>
      </c>
      <c r="AX64" s="96">
        <f t="shared" si="27"/>
        <v>1.5898041072077451</v>
      </c>
      <c r="AY64" s="96">
        <f t="shared" si="28"/>
        <v>1.6231899934591079</v>
      </c>
      <c r="AZ64" s="96">
        <f t="shared" si="29"/>
        <v>1.6572769833217489</v>
      </c>
      <c r="BA64" s="96">
        <f t="shared" si="30"/>
        <v>1.6920797999715056</v>
      </c>
      <c r="BB64" s="96">
        <f t="shared" si="31"/>
        <v>1.7276134757709072</v>
      </c>
      <c r="BC64" s="96">
        <f t="shared" si="32"/>
        <v>1.763893358762096</v>
      </c>
      <c r="BE64" s="169">
        <f t="shared" si="33"/>
        <v>1.5866936055605045</v>
      </c>
      <c r="BM64" s="81" t="s">
        <v>82</v>
      </c>
      <c r="BN64" s="96">
        <f t="shared" si="34"/>
        <v>0</v>
      </c>
      <c r="BQ64" s="81" t="s">
        <v>82</v>
      </c>
      <c r="BR64" s="173">
        <f t="shared" si="58"/>
        <v>0</v>
      </c>
      <c r="BS64" s="173">
        <f t="shared" si="59"/>
        <v>0</v>
      </c>
      <c r="BT64" s="173">
        <f t="shared" si="60"/>
        <v>0</v>
      </c>
      <c r="BU64" s="173">
        <f t="shared" si="61"/>
        <v>0</v>
      </c>
      <c r="BV64" s="173">
        <f t="shared" si="62"/>
        <v>0</v>
      </c>
      <c r="BW64" s="173">
        <f t="shared" si="63"/>
        <v>0</v>
      </c>
      <c r="BX64" s="173">
        <f t="shared" si="64"/>
        <v>0</v>
      </c>
      <c r="BY64" s="173">
        <f t="shared" si="65"/>
        <v>0</v>
      </c>
      <c r="BZ64" s="173">
        <f t="shared" si="66"/>
        <v>0</v>
      </c>
      <c r="CA64" s="173">
        <f t="shared" si="67"/>
        <v>0</v>
      </c>
      <c r="CC64" s="81" t="s">
        <v>82</v>
      </c>
      <c r="CD64" s="170">
        <f t="shared" si="45"/>
        <v>0</v>
      </c>
      <c r="CE64" s="170">
        <f t="shared" si="35"/>
        <v>0</v>
      </c>
      <c r="CF64" s="170">
        <f t="shared" si="36"/>
        <v>0</v>
      </c>
      <c r="CG64" s="170">
        <f t="shared" si="37"/>
        <v>0</v>
      </c>
      <c r="CH64" s="170">
        <f t="shared" si="38"/>
        <v>0</v>
      </c>
      <c r="CI64" s="170">
        <f t="shared" si="39"/>
        <v>0</v>
      </c>
      <c r="CJ64" s="170">
        <f t="shared" si="40"/>
        <v>0</v>
      </c>
      <c r="CK64" s="170">
        <f t="shared" si="41"/>
        <v>0</v>
      </c>
      <c r="CL64" s="170">
        <f t="shared" si="42"/>
        <v>0</v>
      </c>
      <c r="CM64" s="170">
        <f t="shared" si="46"/>
        <v>0</v>
      </c>
      <c r="CN64" s="96">
        <f t="shared" si="43"/>
        <v>0</v>
      </c>
      <c r="CO64" s="225">
        <f t="shared" si="47"/>
        <v>0</v>
      </c>
      <c r="CP64" s="169">
        <f t="shared" si="44"/>
        <v>0</v>
      </c>
    </row>
    <row r="65" spans="1:110">
      <c r="B65" s="96" t="s">
        <v>60</v>
      </c>
      <c r="C65" s="96">
        <v>268269.25999999995</v>
      </c>
      <c r="D65" s="96">
        <v>70451.06</v>
      </c>
      <c r="E65" s="96">
        <v>297170.52999999991</v>
      </c>
      <c r="F65" s="96">
        <v>2440</v>
      </c>
      <c r="P65" s="96" t="s">
        <v>50</v>
      </c>
      <c r="Q65" s="170">
        <v>33309.449999999997</v>
      </c>
      <c r="R65" s="170">
        <v>34108.876799999998</v>
      </c>
      <c r="S65" s="170">
        <v>34825.163212799998</v>
      </c>
      <c r="T65" s="170">
        <v>35556.491640268789</v>
      </c>
      <c r="U65" s="170">
        <v>36303.177964714429</v>
      </c>
      <c r="V65" s="170">
        <v>37065.544701973435</v>
      </c>
      <c r="W65" s="170">
        <v>37843.921140714869</v>
      </c>
      <c r="X65" s="170">
        <v>38638.643484669883</v>
      </c>
      <c r="Y65" s="170">
        <v>39450.054997847947</v>
      </c>
      <c r="Z65" s="170">
        <v>40278.506152802744</v>
      </c>
      <c r="AB65" s="96" t="s">
        <v>50</v>
      </c>
      <c r="AC65" s="96">
        <v>920</v>
      </c>
      <c r="AE65" s="96">
        <f t="shared" si="48"/>
        <v>36.205923913043478</v>
      </c>
      <c r="AF65" s="96">
        <f t="shared" si="49"/>
        <v>37.074866086956519</v>
      </c>
      <c r="AG65" s="96">
        <f t="shared" si="50"/>
        <v>37.853438274782604</v>
      </c>
      <c r="AH65" s="96">
        <f t="shared" si="51"/>
        <v>38.64836047855303</v>
      </c>
      <c r="AI65" s="96">
        <f t="shared" si="52"/>
        <v>39.459976048602641</v>
      </c>
      <c r="AJ65" s="96">
        <f t="shared" si="53"/>
        <v>40.288635545623301</v>
      </c>
      <c r="AK65" s="96">
        <f t="shared" si="54"/>
        <v>41.134696892081379</v>
      </c>
      <c r="AL65" s="96">
        <f t="shared" si="55"/>
        <v>41.998525526815094</v>
      </c>
      <c r="AM65" s="96">
        <f t="shared" si="56"/>
        <v>42.880494562878205</v>
      </c>
      <c r="AN65" s="96">
        <f t="shared" si="57"/>
        <v>43.780984948698631</v>
      </c>
      <c r="AS65" s="96" t="s">
        <v>50</v>
      </c>
      <c r="AT65" s="96">
        <f t="shared" si="23"/>
        <v>4.4424668641304352</v>
      </c>
      <c r="AU65" s="96">
        <f t="shared" si="24"/>
        <v>4.5490860688695651</v>
      </c>
      <c r="AV65" s="96">
        <f t="shared" si="25"/>
        <v>4.6446168763158253</v>
      </c>
      <c r="AW65" s="96">
        <f t="shared" si="26"/>
        <v>4.7421538307184568</v>
      </c>
      <c r="AX65" s="96">
        <f t="shared" si="27"/>
        <v>4.841739061163544</v>
      </c>
      <c r="AY65" s="96">
        <f t="shared" si="28"/>
        <v>4.9434155814479794</v>
      </c>
      <c r="AZ65" s="96">
        <f t="shared" si="29"/>
        <v>5.0472273086583854</v>
      </c>
      <c r="BA65" s="96">
        <f t="shared" si="30"/>
        <v>5.153219082140212</v>
      </c>
      <c r="BB65" s="96">
        <f t="shared" si="31"/>
        <v>5.2614366828651562</v>
      </c>
      <c r="BC65" s="96">
        <f t="shared" si="32"/>
        <v>5.3719268532053226</v>
      </c>
      <c r="BE65" s="169">
        <f t="shared" si="33"/>
        <v>4.8322660466852314</v>
      </c>
      <c r="BM65" s="81" t="s">
        <v>83</v>
      </c>
      <c r="BN65" s="96">
        <f t="shared" si="34"/>
        <v>0</v>
      </c>
      <c r="BQ65" s="81" t="s">
        <v>83</v>
      </c>
      <c r="BR65" s="173">
        <f t="shared" si="58"/>
        <v>0</v>
      </c>
      <c r="BS65" s="173">
        <f t="shared" si="59"/>
        <v>0</v>
      </c>
      <c r="BT65" s="173">
        <f t="shared" si="60"/>
        <v>0</v>
      </c>
      <c r="BU65" s="173">
        <f t="shared" si="61"/>
        <v>0</v>
      </c>
      <c r="BV65" s="173">
        <f t="shared" si="62"/>
        <v>0</v>
      </c>
      <c r="BW65" s="173">
        <f t="shared" si="63"/>
        <v>0</v>
      </c>
      <c r="BX65" s="173">
        <f t="shared" si="64"/>
        <v>0</v>
      </c>
      <c r="BY65" s="173">
        <f t="shared" si="65"/>
        <v>0</v>
      </c>
      <c r="BZ65" s="173">
        <f t="shared" si="66"/>
        <v>0</v>
      </c>
      <c r="CA65" s="173">
        <f t="shared" si="67"/>
        <v>0</v>
      </c>
      <c r="CC65" s="81" t="s">
        <v>83</v>
      </c>
      <c r="CD65" s="170">
        <f t="shared" si="45"/>
        <v>0</v>
      </c>
      <c r="CE65" s="170">
        <f t="shared" si="35"/>
        <v>0</v>
      </c>
      <c r="CF65" s="170">
        <f t="shared" si="36"/>
        <v>0</v>
      </c>
      <c r="CG65" s="170">
        <f t="shared" si="37"/>
        <v>0</v>
      </c>
      <c r="CH65" s="170">
        <f t="shared" si="38"/>
        <v>0</v>
      </c>
      <c r="CI65" s="170">
        <f t="shared" si="39"/>
        <v>0</v>
      </c>
      <c r="CJ65" s="170">
        <f t="shared" si="40"/>
        <v>0</v>
      </c>
      <c r="CK65" s="170">
        <f t="shared" si="41"/>
        <v>0</v>
      </c>
      <c r="CL65" s="170">
        <f t="shared" si="42"/>
        <v>0</v>
      </c>
      <c r="CM65" s="170">
        <f t="shared" si="46"/>
        <v>0</v>
      </c>
      <c r="CN65" s="96">
        <f t="shared" si="43"/>
        <v>0</v>
      </c>
      <c r="CO65" s="225">
        <f t="shared" si="47"/>
        <v>0</v>
      </c>
      <c r="CP65" s="169">
        <f t="shared" si="44"/>
        <v>0</v>
      </c>
    </row>
    <row r="66" spans="1:110">
      <c r="B66" s="96" t="s">
        <v>62</v>
      </c>
      <c r="C66" s="96">
        <v>297830.95</v>
      </c>
      <c r="D66" s="96">
        <v>27915.82</v>
      </c>
      <c r="E66" s="96">
        <v>356727.28000000014</v>
      </c>
      <c r="F66" s="96">
        <v>2752</v>
      </c>
      <c r="P66" s="96" t="s">
        <v>50</v>
      </c>
      <c r="Q66" s="170">
        <v>81547.239999999991</v>
      </c>
      <c r="R66" s="170">
        <v>83504.373759999988</v>
      </c>
      <c r="S66" s="170">
        <v>85257.965608959988</v>
      </c>
      <c r="T66" s="170">
        <v>87048.382886748135</v>
      </c>
      <c r="U66" s="170">
        <v>88876.398927369839</v>
      </c>
      <c r="V66" s="170">
        <v>90742.803304844594</v>
      </c>
      <c r="W66" s="170">
        <v>92648.402174246323</v>
      </c>
      <c r="X66" s="170">
        <v>94594.018619905488</v>
      </c>
      <c r="Y66" s="170">
        <v>96580.493010923499</v>
      </c>
      <c r="Z66" s="170">
        <v>98608.683364152879</v>
      </c>
      <c r="AB66" s="96" t="s">
        <v>50</v>
      </c>
      <c r="AC66" s="96">
        <v>920</v>
      </c>
      <c r="AE66" s="96">
        <f t="shared" si="48"/>
        <v>88.638304347826079</v>
      </c>
      <c r="AF66" s="96">
        <f t="shared" si="49"/>
        <v>90.7656236521739</v>
      </c>
      <c r="AG66" s="96">
        <f t="shared" si="50"/>
        <v>92.671701748869552</v>
      </c>
      <c r="AH66" s="96">
        <f t="shared" si="51"/>
        <v>94.617807485595804</v>
      </c>
      <c r="AI66" s="96">
        <f t="shared" si="52"/>
        <v>96.604781442793296</v>
      </c>
      <c r="AJ66" s="96">
        <f t="shared" si="53"/>
        <v>98.633481853091951</v>
      </c>
      <c r="AK66" s="96">
        <f t="shared" si="54"/>
        <v>100.70478497200688</v>
      </c>
      <c r="AL66" s="96">
        <f t="shared" si="55"/>
        <v>102.81958545641901</v>
      </c>
      <c r="AM66" s="96">
        <f t="shared" si="56"/>
        <v>104.9787967510038</v>
      </c>
      <c r="AN66" s="96">
        <f t="shared" si="57"/>
        <v>107.18335148277487</v>
      </c>
      <c r="AS66" s="96" t="s">
        <v>50</v>
      </c>
      <c r="AT66" s="96">
        <f t="shared" si="23"/>
        <v>10.875919943478261</v>
      </c>
      <c r="AU66" s="96">
        <f t="shared" si="24"/>
        <v>11.136942022121739</v>
      </c>
      <c r="AV66" s="96">
        <f t="shared" si="25"/>
        <v>11.370817804586295</v>
      </c>
      <c r="AW66" s="96">
        <f t="shared" si="26"/>
        <v>11.609604978482606</v>
      </c>
      <c r="AX66" s="96">
        <f t="shared" si="27"/>
        <v>11.853406683030737</v>
      </c>
      <c r="AY66" s="96">
        <f t="shared" si="28"/>
        <v>12.102328223374382</v>
      </c>
      <c r="AZ66" s="96">
        <f t="shared" si="29"/>
        <v>12.356477116065244</v>
      </c>
      <c r="BA66" s="96">
        <f t="shared" si="30"/>
        <v>12.615963135502613</v>
      </c>
      <c r="BB66" s="96">
        <f t="shared" si="31"/>
        <v>12.880898361348166</v>
      </c>
      <c r="BC66" s="96">
        <f t="shared" si="32"/>
        <v>13.151397226936476</v>
      </c>
      <c r="BE66" s="169">
        <f t="shared" si="33"/>
        <v>11.830215120720752</v>
      </c>
      <c r="BM66" s="81" t="s">
        <v>84</v>
      </c>
      <c r="BN66" s="96">
        <f t="shared" si="34"/>
        <v>0</v>
      </c>
      <c r="BQ66" s="81" t="s">
        <v>84</v>
      </c>
      <c r="BR66" s="173">
        <f t="shared" si="58"/>
        <v>0</v>
      </c>
      <c r="BS66" s="173">
        <f t="shared" si="59"/>
        <v>0</v>
      </c>
      <c r="BT66" s="173">
        <f t="shared" si="60"/>
        <v>0</v>
      </c>
      <c r="BU66" s="173">
        <f t="shared" si="61"/>
        <v>0</v>
      </c>
      <c r="BV66" s="173">
        <f t="shared" si="62"/>
        <v>0</v>
      </c>
      <c r="BW66" s="173">
        <f t="shared" si="63"/>
        <v>0</v>
      </c>
      <c r="BX66" s="173">
        <f t="shared" si="64"/>
        <v>0</v>
      </c>
      <c r="BY66" s="173">
        <f t="shared" si="65"/>
        <v>0</v>
      </c>
      <c r="BZ66" s="173">
        <f t="shared" si="66"/>
        <v>0</v>
      </c>
      <c r="CA66" s="173">
        <f t="shared" si="67"/>
        <v>0</v>
      </c>
      <c r="CC66" s="81" t="s">
        <v>84</v>
      </c>
      <c r="CD66" s="170">
        <f t="shared" si="45"/>
        <v>0</v>
      </c>
      <c r="CE66" s="170">
        <f t="shared" si="35"/>
        <v>0</v>
      </c>
      <c r="CF66" s="170">
        <f t="shared" si="36"/>
        <v>0</v>
      </c>
      <c r="CG66" s="170">
        <f t="shared" si="37"/>
        <v>0</v>
      </c>
      <c r="CH66" s="170">
        <f t="shared" si="38"/>
        <v>0</v>
      </c>
      <c r="CI66" s="170">
        <f t="shared" si="39"/>
        <v>0</v>
      </c>
      <c r="CJ66" s="170">
        <f t="shared" si="40"/>
        <v>0</v>
      </c>
      <c r="CK66" s="170">
        <f t="shared" si="41"/>
        <v>0</v>
      </c>
      <c r="CL66" s="170">
        <f t="shared" si="42"/>
        <v>0</v>
      </c>
      <c r="CM66" s="170">
        <f t="shared" si="46"/>
        <v>0</v>
      </c>
      <c r="CN66" s="96">
        <f t="shared" si="43"/>
        <v>0</v>
      </c>
      <c r="CO66" s="225">
        <f t="shared" si="47"/>
        <v>0</v>
      </c>
      <c r="CP66" s="169">
        <f t="shared" si="44"/>
        <v>0</v>
      </c>
    </row>
    <row r="67" spans="1:110">
      <c r="B67" s="96" t="s">
        <v>21</v>
      </c>
      <c r="C67" s="96">
        <v>0</v>
      </c>
      <c r="D67" s="96">
        <v>0</v>
      </c>
      <c r="E67" s="96">
        <v>601494.74000000011</v>
      </c>
      <c r="F67" s="96">
        <v>207</v>
      </c>
      <c r="P67" s="96" t="s">
        <v>53</v>
      </c>
      <c r="Q67" s="170">
        <v>627605.63000000035</v>
      </c>
      <c r="R67" s="170">
        <v>642668.16512000037</v>
      </c>
      <c r="S67" s="170">
        <v>656164.19658752042</v>
      </c>
      <c r="T67" s="170">
        <v>669943.64471585816</v>
      </c>
      <c r="U67" s="170">
        <v>684012.46125489112</v>
      </c>
      <c r="V67" s="170">
        <v>698376.72294124379</v>
      </c>
      <c r="W67" s="170">
        <v>713042.63412300986</v>
      </c>
      <c r="X67" s="170">
        <v>728016.52943959297</v>
      </c>
      <c r="Y67" s="170">
        <v>743304.87655782443</v>
      </c>
      <c r="Z67" s="170">
        <v>758914.2789655386</v>
      </c>
      <c r="AB67" s="96" t="s">
        <v>53</v>
      </c>
      <c r="AC67" s="96">
        <v>1216</v>
      </c>
      <c r="AE67" s="96">
        <f t="shared" si="48"/>
        <v>516.12305098684237</v>
      </c>
      <c r="AF67" s="96">
        <f t="shared" si="49"/>
        <v>528.51000421052663</v>
      </c>
      <c r="AG67" s="96">
        <f t="shared" si="50"/>
        <v>539.60871429894769</v>
      </c>
      <c r="AH67" s="96">
        <f t="shared" si="51"/>
        <v>550.94049729922551</v>
      </c>
      <c r="AI67" s="96">
        <f t="shared" si="52"/>
        <v>562.51024774250914</v>
      </c>
      <c r="AJ67" s="96">
        <f t="shared" si="53"/>
        <v>574.32296294510184</v>
      </c>
      <c r="AK67" s="96">
        <f t="shared" si="54"/>
        <v>586.38374516694887</v>
      </c>
      <c r="AL67" s="96">
        <f t="shared" si="55"/>
        <v>598.69780381545479</v>
      </c>
      <c r="AM67" s="96">
        <f t="shared" si="56"/>
        <v>611.27045769557935</v>
      </c>
      <c r="AN67" s="96">
        <f t="shared" si="57"/>
        <v>624.10713730718635</v>
      </c>
      <c r="AS67" s="96" t="s">
        <v>53</v>
      </c>
      <c r="AT67" s="96">
        <f t="shared" si="23"/>
        <v>63.328298356085561</v>
      </c>
      <c r="AU67" s="96">
        <f t="shared" si="24"/>
        <v>64.848177516631623</v>
      </c>
      <c r="AV67" s="96">
        <f t="shared" si="25"/>
        <v>66.20998924448088</v>
      </c>
      <c r="AW67" s="96">
        <f t="shared" si="26"/>
        <v>67.600399018614979</v>
      </c>
      <c r="AX67" s="96">
        <f t="shared" si="27"/>
        <v>69.020007398005873</v>
      </c>
      <c r="AY67" s="96">
        <f t="shared" si="28"/>
        <v>70.469427553364</v>
      </c>
      <c r="AZ67" s="96">
        <f t="shared" si="29"/>
        <v>71.949285531984629</v>
      </c>
      <c r="BA67" s="96">
        <f t="shared" si="30"/>
        <v>73.460220528156299</v>
      </c>
      <c r="BB67" s="96">
        <f t="shared" si="31"/>
        <v>75.002885159247583</v>
      </c>
      <c r="BC67" s="96">
        <f t="shared" si="32"/>
        <v>76.57794574759177</v>
      </c>
      <c r="BE67" s="169">
        <f t="shared" si="33"/>
        <v>68.884967586666406</v>
      </c>
      <c r="BM67" s="81" t="s">
        <v>62</v>
      </c>
      <c r="BN67" s="96">
        <f t="shared" si="34"/>
        <v>2752</v>
      </c>
      <c r="BQ67" s="81" t="s">
        <v>62</v>
      </c>
      <c r="BR67" s="173">
        <f t="shared" si="58"/>
        <v>13.279018010537792</v>
      </c>
      <c r="BS67" s="173">
        <f t="shared" si="59"/>
        <v>13.5977144427907</v>
      </c>
      <c r="BT67" s="173">
        <f t="shared" si="60"/>
        <v>13.883266446089303</v>
      </c>
      <c r="BU67" s="173">
        <f t="shared" si="61"/>
        <v>14.174815041457176</v>
      </c>
      <c r="BV67" s="173">
        <f t="shared" si="62"/>
        <v>14.472486157327777</v>
      </c>
      <c r="BW67" s="173">
        <f t="shared" si="63"/>
        <v>14.776408366631658</v>
      </c>
      <c r="BX67" s="173">
        <f t="shared" si="64"/>
        <v>15.086712942330921</v>
      </c>
      <c r="BY67" s="173">
        <f t="shared" si="65"/>
        <v>15.403533914119869</v>
      </c>
      <c r="BZ67" s="173">
        <f t="shared" si="66"/>
        <v>15.727008126316386</v>
      </c>
      <c r="CA67" s="173">
        <f t="shared" si="67"/>
        <v>16.057275296969028</v>
      </c>
      <c r="CC67" s="81" t="s">
        <v>62</v>
      </c>
      <c r="CD67" s="170">
        <f t="shared" si="45"/>
        <v>30.103894201671519</v>
      </c>
      <c r="CE67" s="170">
        <f t="shared" si="35"/>
        <v>30.826387662511642</v>
      </c>
      <c r="CF67" s="170">
        <f t="shared" si="36"/>
        <v>31.473741803424375</v>
      </c>
      <c r="CG67" s="170">
        <f t="shared" si="37"/>
        <v>32.134690381296288</v>
      </c>
      <c r="CH67" s="170">
        <f t="shared" si="38"/>
        <v>32.809518879303511</v>
      </c>
      <c r="CI67" s="170">
        <f t="shared" si="39"/>
        <v>33.498518775768879</v>
      </c>
      <c r="CJ67" s="170">
        <f t="shared" si="40"/>
        <v>34.201987670060021</v>
      </c>
      <c r="CK67" s="170">
        <f t="shared" si="41"/>
        <v>34.920229411131274</v>
      </c>
      <c r="CL67" s="170">
        <f t="shared" si="42"/>
        <v>35.653554228765032</v>
      </c>
      <c r="CM67" s="170">
        <f t="shared" si="46"/>
        <v>36.402278867569095</v>
      </c>
      <c r="CN67" s="96">
        <f t="shared" si="43"/>
        <v>2752</v>
      </c>
      <c r="CO67" s="225">
        <f t="shared" si="47"/>
        <v>32.745326025569781</v>
      </c>
      <c r="CP67" s="169">
        <f t="shared" si="44"/>
        <v>2.1080523611283417E-2</v>
      </c>
    </row>
    <row r="68" spans="1:110">
      <c r="B68" s="96" t="s">
        <v>21</v>
      </c>
      <c r="C68" s="96">
        <v>30456.7</v>
      </c>
      <c r="D68" s="96">
        <v>69249.41</v>
      </c>
      <c r="E68" s="96">
        <v>118145.76</v>
      </c>
      <c r="F68" s="96">
        <v>214</v>
      </c>
      <c r="P68" s="96" t="s">
        <v>53</v>
      </c>
      <c r="Q68" s="170">
        <v>187181.55</v>
      </c>
      <c r="R68" s="170">
        <v>191673.90719999999</v>
      </c>
      <c r="S68" s="170">
        <v>195699.0592512</v>
      </c>
      <c r="T68" s="170">
        <v>199808.73949547517</v>
      </c>
      <c r="U68" s="170">
        <v>204004.72302488011</v>
      </c>
      <c r="V68" s="170">
        <v>208288.82220840259</v>
      </c>
      <c r="W68" s="170">
        <v>212662.88747477901</v>
      </c>
      <c r="X68" s="170">
        <v>217128.80811174936</v>
      </c>
      <c r="Y68" s="170">
        <v>221688.51308209606</v>
      </c>
      <c r="Z68" s="170">
        <v>226343.97185682005</v>
      </c>
      <c r="AB68" s="96" t="s">
        <v>53</v>
      </c>
      <c r="AC68" s="96">
        <v>359</v>
      </c>
      <c r="AE68" s="96">
        <f t="shared" si="48"/>
        <v>521.39707520891363</v>
      </c>
      <c r="AF68" s="96">
        <f t="shared" si="49"/>
        <v>533.91060501392758</v>
      </c>
      <c r="AG68" s="96">
        <f t="shared" si="50"/>
        <v>545.12272771922005</v>
      </c>
      <c r="AH68" s="96">
        <f t="shared" si="51"/>
        <v>556.57030500132362</v>
      </c>
      <c r="AI68" s="96">
        <f t="shared" si="52"/>
        <v>568.25828140635122</v>
      </c>
      <c r="AJ68" s="96">
        <f t="shared" si="53"/>
        <v>580.19170531588463</v>
      </c>
      <c r="AK68" s="96">
        <f t="shared" si="54"/>
        <v>592.37573112751818</v>
      </c>
      <c r="AL68" s="96">
        <f t="shared" si="55"/>
        <v>604.81562148119599</v>
      </c>
      <c r="AM68" s="96">
        <f t="shared" si="56"/>
        <v>617.51674953230099</v>
      </c>
      <c r="AN68" s="96">
        <f t="shared" si="57"/>
        <v>630.48460127247927</v>
      </c>
      <c r="AS68" s="96" t="s">
        <v>53</v>
      </c>
      <c r="AT68" s="96">
        <f t="shared" si="23"/>
        <v>63.975421128133704</v>
      </c>
      <c r="AU68" s="96">
        <f t="shared" si="24"/>
        <v>65.510831235208911</v>
      </c>
      <c r="AV68" s="96">
        <f t="shared" si="25"/>
        <v>66.886558691148309</v>
      </c>
      <c r="AW68" s="96">
        <f t="shared" si="26"/>
        <v>68.291176423662407</v>
      </c>
      <c r="AX68" s="96">
        <f t="shared" si="27"/>
        <v>69.725291128559292</v>
      </c>
      <c r="AY68" s="96">
        <f t="shared" si="28"/>
        <v>71.189522242259045</v>
      </c>
      <c r="AZ68" s="96">
        <f t="shared" si="29"/>
        <v>72.684502209346476</v>
      </c>
      <c r="BA68" s="96">
        <f t="shared" si="30"/>
        <v>74.210876755742746</v>
      </c>
      <c r="BB68" s="96">
        <f t="shared" si="31"/>
        <v>75.769305167613339</v>
      </c>
      <c r="BC68" s="96">
        <f t="shared" si="32"/>
        <v>77.360460576133207</v>
      </c>
      <c r="BE68" s="169">
        <f t="shared" si="33"/>
        <v>69.588871407458797</v>
      </c>
      <c r="BM68" s="81" t="s">
        <v>63</v>
      </c>
      <c r="BN68" s="96">
        <f t="shared" si="34"/>
        <v>2425</v>
      </c>
      <c r="BQ68" s="81" t="s">
        <v>63</v>
      </c>
      <c r="BR68" s="173">
        <f t="shared" si="58"/>
        <v>31.85239125154639</v>
      </c>
      <c r="BS68" s="173">
        <f t="shared" si="59"/>
        <v>32.616848641583502</v>
      </c>
      <c r="BT68" s="173">
        <f t="shared" si="60"/>
        <v>33.301802463056752</v>
      </c>
      <c r="BU68" s="173">
        <f t="shared" si="61"/>
        <v>34.00114031478094</v>
      </c>
      <c r="BV68" s="173">
        <f t="shared" si="62"/>
        <v>34.715164261391337</v>
      </c>
      <c r="BW68" s="173">
        <f t="shared" si="63"/>
        <v>35.444182710880554</v>
      </c>
      <c r="BX68" s="173">
        <f t="shared" si="64"/>
        <v>36.188510547809045</v>
      </c>
      <c r="BY68" s="173">
        <f t="shared" si="65"/>
        <v>36.94846926931303</v>
      </c>
      <c r="BZ68" s="173">
        <f t="shared" si="66"/>
        <v>37.724387123968604</v>
      </c>
      <c r="CA68" s="173">
        <f t="shared" si="67"/>
        <v>38.516599253571933</v>
      </c>
      <c r="CC68" s="81" t="s">
        <v>63</v>
      </c>
      <c r="CD68" s="170">
        <f t="shared" si="45"/>
        <v>57.074494740618562</v>
      </c>
      <c r="CE68" s="170">
        <f t="shared" si="35"/>
        <v>58.444282614393401</v>
      </c>
      <c r="CF68" s="170">
        <f t="shared" si="36"/>
        <v>59.671612549295659</v>
      </c>
      <c r="CG68" s="170">
        <f t="shared" si="37"/>
        <v>60.924716412830861</v>
      </c>
      <c r="CH68" s="170">
        <f t="shared" si="38"/>
        <v>62.2041354575003</v>
      </c>
      <c r="CI68" s="170">
        <f t="shared" si="39"/>
        <v>63.510422302107806</v>
      </c>
      <c r="CJ68" s="170">
        <f t="shared" si="40"/>
        <v>64.844141170452076</v>
      </c>
      <c r="CK68" s="170">
        <f t="shared" si="41"/>
        <v>66.205868135031551</v>
      </c>
      <c r="CL68" s="170">
        <f t="shared" si="42"/>
        <v>67.596191365867213</v>
      </c>
      <c r="CM68" s="170">
        <f t="shared" si="46"/>
        <v>69.0157113845504</v>
      </c>
      <c r="CN68" s="96">
        <f t="shared" si="43"/>
        <v>2425</v>
      </c>
      <c r="CO68" s="225">
        <f t="shared" si="47"/>
        <v>62.082431113594964</v>
      </c>
      <c r="CP68" s="169">
        <f t="shared" si="44"/>
        <v>3.5217952538744844E-2</v>
      </c>
    </row>
    <row r="69" spans="1:110">
      <c r="B69" s="96" t="s">
        <v>21</v>
      </c>
      <c r="C69" s="96">
        <v>27136.219999999998</v>
      </c>
      <c r="D69" s="96">
        <v>9789.3199999999979</v>
      </c>
      <c r="E69" s="96">
        <v>60917.15</v>
      </c>
      <c r="F69" s="96">
        <v>313</v>
      </c>
      <c r="P69" s="96" t="s">
        <v>53</v>
      </c>
      <c r="Q69" s="170">
        <v>13989.32</v>
      </c>
      <c r="R69" s="170">
        <v>14325.063679999999</v>
      </c>
      <c r="S69" s="170">
        <v>14625.89001728</v>
      </c>
      <c r="T69" s="170">
        <v>14933.033707642877</v>
      </c>
      <c r="U69" s="170">
        <v>15246.627415503375</v>
      </c>
      <c r="V69" s="170">
        <v>15566.806591228946</v>
      </c>
      <c r="W69" s="170">
        <v>15893.709529644751</v>
      </c>
      <c r="X69" s="170">
        <v>16227.47742976729</v>
      </c>
      <c r="Y69" s="170">
        <v>16568.254455792401</v>
      </c>
      <c r="Z69" s="170">
        <v>16916.187799364041</v>
      </c>
      <c r="AB69" s="96" t="s">
        <v>53</v>
      </c>
      <c r="AC69" s="96">
        <v>694</v>
      </c>
      <c r="AE69" s="96">
        <f t="shared" si="48"/>
        <v>20.157521613832852</v>
      </c>
      <c r="AF69" s="96">
        <f t="shared" si="49"/>
        <v>20.641302132564842</v>
      </c>
      <c r="AG69" s="96">
        <f t="shared" si="50"/>
        <v>21.074769477348703</v>
      </c>
      <c r="AH69" s="96">
        <f t="shared" si="51"/>
        <v>21.51733963637302</v>
      </c>
      <c r="AI69" s="96">
        <f t="shared" si="52"/>
        <v>21.96920376873685</v>
      </c>
      <c r="AJ69" s="96">
        <f t="shared" si="53"/>
        <v>22.430557047880324</v>
      </c>
      <c r="AK69" s="96">
        <f t="shared" si="54"/>
        <v>22.90159874588581</v>
      </c>
      <c r="AL69" s="96">
        <f t="shared" si="55"/>
        <v>23.382532319549409</v>
      </c>
      <c r="AM69" s="96">
        <f t="shared" si="56"/>
        <v>23.873565498259943</v>
      </c>
      <c r="AN69" s="96">
        <f t="shared" si="57"/>
        <v>24.374910373723402</v>
      </c>
      <c r="AS69" s="96" t="s">
        <v>53</v>
      </c>
      <c r="AT69" s="96">
        <f t="shared" si="23"/>
        <v>2.4733279020172909</v>
      </c>
      <c r="AU69" s="96">
        <f t="shared" si="24"/>
        <v>2.5326877716657061</v>
      </c>
      <c r="AV69" s="96">
        <f t="shared" si="25"/>
        <v>2.5858742148706857</v>
      </c>
      <c r="AW69" s="96">
        <f t="shared" si="26"/>
        <v>2.6401775733829695</v>
      </c>
      <c r="AX69" s="96">
        <f t="shared" si="27"/>
        <v>2.6956213024240117</v>
      </c>
      <c r="AY69" s="96">
        <f t="shared" si="28"/>
        <v>2.752229349774916</v>
      </c>
      <c r="AZ69" s="96">
        <f t="shared" si="29"/>
        <v>2.8100261661201889</v>
      </c>
      <c r="BA69" s="96">
        <f t="shared" si="30"/>
        <v>2.8690367156087127</v>
      </c>
      <c r="BB69" s="96">
        <f t="shared" si="31"/>
        <v>2.9292864866364949</v>
      </c>
      <c r="BC69" s="96">
        <f t="shared" si="32"/>
        <v>2.9908015028558617</v>
      </c>
      <c r="BE69" s="169">
        <f t="shared" si="33"/>
        <v>2.690347234717485</v>
      </c>
      <c r="BM69" s="81" t="s">
        <v>64</v>
      </c>
      <c r="BN69" s="96">
        <f t="shared" si="34"/>
        <v>1748</v>
      </c>
      <c r="BQ69" s="81" t="s">
        <v>64</v>
      </c>
      <c r="BR69" s="173">
        <f t="shared" si="58"/>
        <v>20.925102870137273</v>
      </c>
      <c r="BS69" s="173">
        <f t="shared" si="59"/>
        <v>21.427305339020567</v>
      </c>
      <c r="BT69" s="173">
        <f t="shared" si="60"/>
        <v>21.877278751139997</v>
      </c>
      <c r="BU69" s="173">
        <f t="shared" si="61"/>
        <v>22.336701604913937</v>
      </c>
      <c r="BV69" s="173">
        <f t="shared" si="62"/>
        <v>22.805772338617125</v>
      </c>
      <c r="BW69" s="173">
        <f t="shared" si="63"/>
        <v>23.284693557728083</v>
      </c>
      <c r="BX69" s="173">
        <f t="shared" si="64"/>
        <v>23.77367212244037</v>
      </c>
      <c r="BY69" s="173">
        <f t="shared" si="65"/>
        <v>24.272919237011621</v>
      </c>
      <c r="BZ69" s="173">
        <f t="shared" si="66"/>
        <v>24.782650540988858</v>
      </c>
      <c r="CA69" s="173">
        <f t="shared" si="67"/>
        <v>25.303086202349622</v>
      </c>
      <c r="CC69" s="81" t="s">
        <v>64</v>
      </c>
      <c r="CD69" s="170">
        <f t="shared" si="45"/>
        <v>53.441392192219645</v>
      </c>
      <c r="CE69" s="170">
        <f t="shared" si="35"/>
        <v>54.723985604832912</v>
      </c>
      <c r="CF69" s="170">
        <f t="shared" si="36"/>
        <v>55.873189302534399</v>
      </c>
      <c r="CG69" s="170">
        <f t="shared" si="37"/>
        <v>57.046526277887622</v>
      </c>
      <c r="CH69" s="170">
        <f t="shared" si="38"/>
        <v>58.244503329723244</v>
      </c>
      <c r="CI69" s="170">
        <f t="shared" si="39"/>
        <v>59.467637899647436</v>
      </c>
      <c r="CJ69" s="170">
        <f t="shared" si="40"/>
        <v>60.716458295540029</v>
      </c>
      <c r="CK69" s="170">
        <f t="shared" si="41"/>
        <v>61.991503919746371</v>
      </c>
      <c r="CL69" s="170">
        <f t="shared" si="42"/>
        <v>63.293325502061023</v>
      </c>
      <c r="CM69" s="170">
        <f t="shared" si="46"/>
        <v>64.622485337604303</v>
      </c>
      <c r="CN69" s="96">
        <f t="shared" si="43"/>
        <v>1748</v>
      </c>
      <c r="CO69" s="225">
        <f t="shared" si="47"/>
        <v>58.130546130387529</v>
      </c>
      <c r="CP69" s="169">
        <f t="shared" si="44"/>
        <v>2.3770016162002739E-2</v>
      </c>
    </row>
    <row r="70" spans="1:110" s="165" customFormat="1">
      <c r="A70" s="162"/>
      <c r="B70" s="164" t="s">
        <v>21</v>
      </c>
      <c r="C70" s="164">
        <v>1088.8699999999999</v>
      </c>
      <c r="D70" s="164">
        <v>3467.0099999999998</v>
      </c>
      <c r="E70" s="164">
        <v>3172.1000000000013</v>
      </c>
      <c r="F70" s="164">
        <v>400</v>
      </c>
      <c r="G70" s="162"/>
      <c r="P70" s="165" t="s">
        <v>10</v>
      </c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B70" s="165" t="s">
        <v>10</v>
      </c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S70" s="165" t="s">
        <v>10</v>
      </c>
      <c r="BK70" s="163"/>
      <c r="BL70" s="163"/>
      <c r="BM70" s="81" t="s">
        <v>65</v>
      </c>
      <c r="BN70" s="96">
        <f t="shared" ref="BN70:BN73" si="68">SUMIFS($AC$137:$AC$266,$AB$137:$AB$266,$BM70)</f>
        <v>1167</v>
      </c>
      <c r="BO70" s="162"/>
      <c r="BP70" s="163"/>
      <c r="BQ70" s="81" t="s">
        <v>65</v>
      </c>
      <c r="BR70" s="173">
        <f t="shared" si="58"/>
        <v>9.5202099383033403</v>
      </c>
      <c r="BS70" s="173">
        <f t="shared" si="59"/>
        <v>9.7486949768226214</v>
      </c>
      <c r="BT70" s="173">
        <f t="shared" si="60"/>
        <v>9.9534175713358959</v>
      </c>
      <c r="BU70" s="173">
        <f t="shared" si="61"/>
        <v>10.162439340333949</v>
      </c>
      <c r="BV70" s="173">
        <f t="shared" si="62"/>
        <v>10.375850566480961</v>
      </c>
      <c r="BW70" s="173">
        <f t="shared" si="63"/>
        <v>10.59374342837706</v>
      </c>
      <c r="BX70" s="173">
        <f t="shared" si="64"/>
        <v>10.816212040372976</v>
      </c>
      <c r="BY70" s="173">
        <f t="shared" si="65"/>
        <v>11.043352493220809</v>
      </c>
      <c r="BZ70" s="173">
        <f t="shared" si="66"/>
        <v>11.275262895578445</v>
      </c>
      <c r="CA70" s="173">
        <f t="shared" si="67"/>
        <v>11.512043416385591</v>
      </c>
      <c r="CB70" s="162"/>
      <c r="CC70" s="81" t="s">
        <v>65</v>
      </c>
      <c r="CD70" s="170">
        <f t="shared" ref="CD70:CD73" si="69">SUMIFS(BR$5:BR$353,$BQ$5:$BQ$353,$CC70)</f>
        <v>19.273624841473865</v>
      </c>
      <c r="CE70" s="170">
        <f t="shared" ref="CE70:CE73" si="70">SUMIFS(BS$5:BS$353,$BQ$5:$BQ$353,$CC70)</f>
        <v>19.736191837669239</v>
      </c>
      <c r="CF70" s="170">
        <f t="shared" ref="CF70:CF73" si="71">SUMIFS(BT$5:BT$353,$BQ$5:$BQ$353,$CC70)</f>
        <v>20.15065186626029</v>
      </c>
      <c r="CG70" s="170">
        <f t="shared" ref="CG70:CG73" si="72">SUMIFS(BU$5:BU$353,$BQ$5:$BQ$353,$CC70)</f>
        <v>20.573815555451755</v>
      </c>
      <c r="CH70" s="170">
        <f t="shared" ref="CH70:CH73" si="73">SUMIFS(BV$5:BV$353,$BQ$5:$BQ$353,$CC70)</f>
        <v>21.005865682116241</v>
      </c>
      <c r="CI70" s="170">
        <f t="shared" ref="CI70:CI73" si="74">SUMIFS(BW$5:BW$353,$BQ$5:$BQ$353,$CC70)</f>
        <v>21.44698886144068</v>
      </c>
      <c r="CJ70" s="170">
        <f t="shared" ref="CJ70:CJ73" si="75">SUMIFS(BX$5:BX$353,$BQ$5:$BQ$353,$CC70)</f>
        <v>21.897375627530927</v>
      </c>
      <c r="CK70" s="170">
        <f t="shared" ref="CK70:CK73" si="76">SUMIFS(BY$5:BY$353,$BQ$5:$BQ$353,$CC70)</f>
        <v>22.357220515709081</v>
      </c>
      <c r="CL70" s="170">
        <f t="shared" ref="CL70:CL73" si="77">SUMIFS(BZ$5:BZ$353,$BQ$5:$BQ$353,$CC70)</f>
        <v>22.826722146538966</v>
      </c>
      <c r="CM70" s="170">
        <f t="shared" ref="CM70:CM73" si="78">SUMIFS(CA$5:CA$353,$BQ$5:$BQ$353,$CC70)</f>
        <v>23.306083311616284</v>
      </c>
      <c r="CN70" s="96">
        <f t="shared" ref="CN70:CN73" si="79">BN70</f>
        <v>1167</v>
      </c>
      <c r="CO70" s="225">
        <f t="shared" ref="CO70:CO73" si="80">NPV($CO$3,CD70:CM70)/((1-(1+$CO$3)^-10)/$CO$3)</f>
        <v>20.964767046435458</v>
      </c>
      <c r="CP70" s="169">
        <f t="shared" ref="CP70:CP73" si="81">CO70*(CN70/SUM(CN$5:CN$73))</f>
        <v>5.7232740599201257E-3</v>
      </c>
      <c r="CS70" s="162"/>
      <c r="CT70" s="162"/>
      <c r="CU70" s="162"/>
      <c r="CV70" s="162"/>
      <c r="CW70" s="162"/>
      <c r="CX70" s="162"/>
      <c r="CY70" s="162"/>
      <c r="CZ70" s="162"/>
      <c r="DA70" s="162"/>
      <c r="DB70" s="162"/>
      <c r="DC70" s="162"/>
      <c r="DD70" s="162"/>
      <c r="DE70" s="162"/>
      <c r="DF70" s="162"/>
    </row>
    <row r="71" spans="1:110">
      <c r="B71" s="96" t="s">
        <v>61</v>
      </c>
      <c r="C71" s="96" t="s">
        <v>97</v>
      </c>
      <c r="D71" s="96" t="s">
        <v>97</v>
      </c>
      <c r="E71" s="96" t="s">
        <v>97</v>
      </c>
      <c r="F71" s="96">
        <v>0</v>
      </c>
      <c r="P71" s="96" t="s">
        <v>17</v>
      </c>
      <c r="Q71" s="170">
        <v>26818.21</v>
      </c>
      <c r="R71" s="170">
        <v>27461.847040000001</v>
      </c>
      <c r="S71" s="170">
        <v>28038.54582784</v>
      </c>
      <c r="T71" s="170">
        <v>28627.355290224634</v>
      </c>
      <c r="U71" s="170">
        <v>29228.529751319347</v>
      </c>
      <c r="V71" s="170">
        <v>29842.328876097054</v>
      </c>
      <c r="W71" s="170">
        <v>30469.017782495088</v>
      </c>
      <c r="X71" s="170">
        <v>31108.867155927484</v>
      </c>
      <c r="Y71" s="170">
        <v>31762.153366201957</v>
      </c>
      <c r="Z71" s="170">
        <v>32429.158586892194</v>
      </c>
      <c r="AB71" s="96" t="s">
        <v>17</v>
      </c>
      <c r="AC71" s="96">
        <v>979.19999999999993</v>
      </c>
      <c r="AE71" s="96">
        <f t="shared" ref="AE71:AE102" si="82">Q71/$AC71</f>
        <v>27.387877859477125</v>
      </c>
      <c r="AF71" s="96">
        <f t="shared" ref="AF71:AF102" si="83">R71/$AC71</f>
        <v>28.045186928104577</v>
      </c>
      <c r="AG71" s="96">
        <f t="shared" ref="AG71:AG102" si="84">S71/$AC71</f>
        <v>28.634135853594774</v>
      </c>
      <c r="AH71" s="96">
        <f t="shared" ref="AH71:AH102" si="85">T71/$AC71</f>
        <v>29.235452706520256</v>
      </c>
      <c r="AI71" s="96">
        <f t="shared" ref="AI71:AI102" si="86">U71/$AC71</f>
        <v>29.849397213357179</v>
      </c>
      <c r="AJ71" s="96">
        <f t="shared" ref="AJ71:AJ102" si="87">V71/$AC71</f>
        <v>30.476234554837678</v>
      </c>
      <c r="AK71" s="96">
        <f t="shared" ref="AK71:AK102" si="88">W71/$AC71</f>
        <v>31.116235480489266</v>
      </c>
      <c r="AL71" s="96">
        <f t="shared" ref="AL71:AL102" si="89">X71/$AC71</f>
        <v>31.76967642557954</v>
      </c>
      <c r="AM71" s="96">
        <f t="shared" ref="AM71:AM102" si="90">Y71/$AC71</f>
        <v>32.436839630516708</v>
      </c>
      <c r="AN71" s="96">
        <f t="shared" ref="AN71:AN102" si="91">Z71/$AC71</f>
        <v>33.11801326275755</v>
      </c>
      <c r="AS71" s="96" t="s">
        <v>17</v>
      </c>
      <c r="AT71" s="96">
        <f>AE71*$AQ$6</f>
        <v>2.9387192943218956</v>
      </c>
      <c r="AU71" s="96">
        <f t="shared" ref="AU71:BC71" si="92">AF71*$AQ$6</f>
        <v>3.0092485573856211</v>
      </c>
      <c r="AV71" s="96">
        <f t="shared" si="92"/>
        <v>3.0724427770907194</v>
      </c>
      <c r="AW71" s="96">
        <f t="shared" si="92"/>
        <v>3.1369640754096237</v>
      </c>
      <c r="AX71" s="96">
        <f t="shared" si="92"/>
        <v>3.2028403209932255</v>
      </c>
      <c r="AY71" s="96">
        <f t="shared" si="92"/>
        <v>3.2700999677340832</v>
      </c>
      <c r="AZ71" s="96">
        <f t="shared" si="92"/>
        <v>3.3387720670564982</v>
      </c>
      <c r="BA71" s="96">
        <f t="shared" si="92"/>
        <v>3.4088862804646847</v>
      </c>
      <c r="BB71" s="96">
        <f t="shared" si="92"/>
        <v>3.480472892354443</v>
      </c>
      <c r="BC71" s="96">
        <f t="shared" si="92"/>
        <v>3.5535628230938854</v>
      </c>
      <c r="BE71" s="169">
        <f t="shared" si="33"/>
        <v>3.1965738633528584</v>
      </c>
      <c r="BM71" s="81" t="s">
        <v>66</v>
      </c>
      <c r="BN71" s="96">
        <f t="shared" si="68"/>
        <v>808</v>
      </c>
      <c r="BQ71" s="81" t="s">
        <v>66</v>
      </c>
      <c r="BR71" s="173">
        <f t="shared" si="58"/>
        <v>11.808142318069308</v>
      </c>
      <c r="BS71" s="173">
        <f t="shared" si="59"/>
        <v>12.091537733702973</v>
      </c>
      <c r="BT71" s="173">
        <f t="shared" si="60"/>
        <v>12.345460026110734</v>
      </c>
      <c r="BU71" s="173">
        <f t="shared" si="61"/>
        <v>12.604714686659058</v>
      </c>
      <c r="BV71" s="173">
        <f t="shared" si="62"/>
        <v>12.869413695078896</v>
      </c>
      <c r="BW71" s="173">
        <f t="shared" si="63"/>
        <v>13.139671382675553</v>
      </c>
      <c r="BX71" s="173">
        <f t="shared" si="64"/>
        <v>13.415604481711737</v>
      </c>
      <c r="BY71" s="173">
        <f t="shared" si="65"/>
        <v>13.697332175827684</v>
      </c>
      <c r="BZ71" s="173">
        <f t="shared" si="66"/>
        <v>13.984976151520064</v>
      </c>
      <c r="CA71" s="173">
        <f t="shared" si="67"/>
        <v>14.278660650701982</v>
      </c>
      <c r="CC71" s="81" t="s">
        <v>66</v>
      </c>
      <c r="CD71" s="170">
        <f t="shared" si="69"/>
        <v>95.021141272277205</v>
      </c>
      <c r="CE71" s="170">
        <f t="shared" si="70"/>
        <v>97.301648662811857</v>
      </c>
      <c r="CF71" s="170">
        <f t="shared" si="71"/>
        <v>99.344983284730915</v>
      </c>
      <c r="CG71" s="170">
        <f t="shared" si="72"/>
        <v>101.43122793371023</v>
      </c>
      <c r="CH71" s="170">
        <f t="shared" si="73"/>
        <v>103.56128372031813</v>
      </c>
      <c r="CI71" s="170">
        <f t="shared" si="74"/>
        <v>105.7360706784448</v>
      </c>
      <c r="CJ71" s="170">
        <f t="shared" si="75"/>
        <v>107.95652816269214</v>
      </c>
      <c r="CK71" s="170">
        <f t="shared" si="76"/>
        <v>110.22361525410867</v>
      </c>
      <c r="CL71" s="170">
        <f t="shared" si="77"/>
        <v>112.53831117444494</v>
      </c>
      <c r="CM71" s="170">
        <f t="shared" si="78"/>
        <v>114.90161570910827</v>
      </c>
      <c r="CN71" s="96">
        <f t="shared" si="79"/>
        <v>808</v>
      </c>
      <c r="CO71" s="225">
        <f t="shared" si="80"/>
        <v>103.35866281743959</v>
      </c>
      <c r="CP71" s="169">
        <f t="shared" si="81"/>
        <v>1.9536280781267179E-2</v>
      </c>
    </row>
    <row r="72" spans="1:110">
      <c r="B72" s="96" t="s">
        <v>23</v>
      </c>
      <c r="C72" s="96">
        <v>663938.76</v>
      </c>
      <c r="D72" s="96">
        <v>77435.380000000019</v>
      </c>
      <c r="E72" s="96">
        <v>133179.54999999999</v>
      </c>
      <c r="F72" s="96">
        <v>1177.25</v>
      </c>
      <c r="P72" s="96" t="s">
        <v>17</v>
      </c>
      <c r="Q72" s="170">
        <v>49464.44999999999</v>
      </c>
      <c r="R72" s="170">
        <v>50651.596799999992</v>
      </c>
      <c r="S72" s="170">
        <v>51715.280332799986</v>
      </c>
      <c r="T72" s="170">
        <v>52801.30121978878</v>
      </c>
      <c r="U72" s="170">
        <v>53910.128545404339</v>
      </c>
      <c r="V72" s="170">
        <v>55042.241244857825</v>
      </c>
      <c r="W72" s="170">
        <v>56198.128310999833</v>
      </c>
      <c r="X72" s="170">
        <v>57378.289005530831</v>
      </c>
      <c r="Y72" s="170">
        <v>58583.233074646967</v>
      </c>
      <c r="Z72" s="170">
        <v>59813.480969214543</v>
      </c>
      <c r="AB72" s="96" t="s">
        <v>17</v>
      </c>
      <c r="AC72" s="96">
        <v>807.5</v>
      </c>
      <c r="AE72" s="96">
        <f t="shared" si="82"/>
        <v>61.256284829721352</v>
      </c>
      <c r="AF72" s="96">
        <f t="shared" si="83"/>
        <v>62.726435665634668</v>
      </c>
      <c r="AG72" s="96">
        <f t="shared" si="84"/>
        <v>64.043690814612987</v>
      </c>
      <c r="AH72" s="96">
        <f t="shared" si="85"/>
        <v>65.388608321719857</v>
      </c>
      <c r="AI72" s="96">
        <f t="shared" si="86"/>
        <v>66.761769096475959</v>
      </c>
      <c r="AJ72" s="96">
        <f t="shared" si="87"/>
        <v>68.163766247501954</v>
      </c>
      <c r="AK72" s="96">
        <f t="shared" si="88"/>
        <v>69.595205338699486</v>
      </c>
      <c r="AL72" s="96">
        <f t="shared" si="89"/>
        <v>71.056704650812179</v>
      </c>
      <c r="AM72" s="96">
        <f t="shared" si="90"/>
        <v>72.548895448479215</v>
      </c>
      <c r="AN72" s="96">
        <f t="shared" si="91"/>
        <v>74.072422252897269</v>
      </c>
      <c r="AS72" s="96" t="s">
        <v>17</v>
      </c>
      <c r="AT72" s="96">
        <f t="shared" ref="AT72:AT135" si="93">AE72*$AQ$6</f>
        <v>6.5727993622291017</v>
      </c>
      <c r="AU72" s="96">
        <f t="shared" ref="AU72:AU135" si="94">AF72*$AQ$6</f>
        <v>6.7305465469226</v>
      </c>
      <c r="AV72" s="96">
        <f t="shared" ref="AV72:AV135" si="95">AG72*$AQ$6</f>
        <v>6.8718880244079736</v>
      </c>
      <c r="AW72" s="96">
        <f t="shared" ref="AW72:AW135" si="96">AH72*$AQ$6</f>
        <v>7.0161976729205415</v>
      </c>
      <c r="AX72" s="96">
        <f t="shared" ref="AX72:AX135" si="97">AI72*$AQ$6</f>
        <v>7.163537824051871</v>
      </c>
      <c r="AY72" s="96">
        <f t="shared" ref="AY72:AY135" si="98">AJ72*$AQ$6</f>
        <v>7.3139721183569604</v>
      </c>
      <c r="AZ72" s="96">
        <f t="shared" ref="AZ72:AZ135" si="99">AK72*$AQ$6</f>
        <v>7.4675655328424551</v>
      </c>
      <c r="BA72" s="96">
        <f t="shared" ref="BA72:BA135" si="100">AL72*$AQ$6</f>
        <v>7.6243844090321469</v>
      </c>
      <c r="BB72" s="96">
        <f t="shared" ref="BB72:BB135" si="101">AM72*$AQ$6</f>
        <v>7.7844964816218205</v>
      </c>
      <c r="BC72" s="96">
        <f t="shared" ref="BC72:BC135" si="102">AN72*$AQ$6</f>
        <v>7.9479709077358773</v>
      </c>
      <c r="BE72" s="169">
        <f t="shared" si="33"/>
        <v>7.1495221374016946</v>
      </c>
      <c r="BM72" s="81" t="s">
        <v>85</v>
      </c>
      <c r="BN72" s="96">
        <f t="shared" si="68"/>
        <v>0</v>
      </c>
      <c r="BQ72" s="81" t="s">
        <v>85</v>
      </c>
      <c r="BR72" s="173">
        <f t="shared" si="58"/>
        <v>0</v>
      </c>
      <c r="BS72" s="173">
        <f t="shared" si="59"/>
        <v>0</v>
      </c>
      <c r="BT72" s="173">
        <f t="shared" si="60"/>
        <v>0</v>
      </c>
      <c r="BU72" s="173">
        <f t="shared" si="61"/>
        <v>0</v>
      </c>
      <c r="BV72" s="173">
        <f t="shared" si="62"/>
        <v>0</v>
      </c>
      <c r="BW72" s="173">
        <f t="shared" si="63"/>
        <v>0</v>
      </c>
      <c r="BX72" s="173">
        <f t="shared" si="64"/>
        <v>0</v>
      </c>
      <c r="BY72" s="173">
        <f t="shared" si="65"/>
        <v>0</v>
      </c>
      <c r="BZ72" s="173">
        <f t="shared" si="66"/>
        <v>0</v>
      </c>
      <c r="CA72" s="173">
        <f t="shared" si="67"/>
        <v>0</v>
      </c>
      <c r="CC72" s="81" t="s">
        <v>85</v>
      </c>
      <c r="CD72" s="170">
        <f t="shared" si="69"/>
        <v>0</v>
      </c>
      <c r="CE72" s="170">
        <f t="shared" si="70"/>
        <v>0</v>
      </c>
      <c r="CF72" s="170">
        <f t="shared" si="71"/>
        <v>0</v>
      </c>
      <c r="CG72" s="170">
        <f t="shared" si="72"/>
        <v>0</v>
      </c>
      <c r="CH72" s="170">
        <f t="shared" si="73"/>
        <v>0</v>
      </c>
      <c r="CI72" s="170">
        <f t="shared" si="74"/>
        <v>0</v>
      </c>
      <c r="CJ72" s="170">
        <f t="shared" si="75"/>
        <v>0</v>
      </c>
      <c r="CK72" s="170">
        <f t="shared" si="76"/>
        <v>0</v>
      </c>
      <c r="CL72" s="170">
        <f t="shared" si="77"/>
        <v>0</v>
      </c>
      <c r="CM72" s="170">
        <f t="shared" si="78"/>
        <v>0</v>
      </c>
      <c r="CN72" s="96">
        <f t="shared" si="79"/>
        <v>0</v>
      </c>
      <c r="CO72" s="225">
        <f t="shared" si="80"/>
        <v>0</v>
      </c>
      <c r="CP72" s="169">
        <f t="shared" si="81"/>
        <v>0</v>
      </c>
    </row>
    <row r="73" spans="1:110">
      <c r="B73" s="96" t="s">
        <v>34</v>
      </c>
      <c r="C73" s="96">
        <v>155872.25000000003</v>
      </c>
      <c r="D73" s="96">
        <v>215276.44999999998</v>
      </c>
      <c r="E73" s="96">
        <v>362835.8600000001</v>
      </c>
      <c r="F73" s="96">
        <v>1057.3999999999999</v>
      </c>
      <c r="P73" s="96" t="s">
        <v>18</v>
      </c>
      <c r="Q73" s="170">
        <v>156416.86000000004</v>
      </c>
      <c r="R73" s="170">
        <v>160170.86464000004</v>
      </c>
      <c r="S73" s="170">
        <v>163534.45279744006</v>
      </c>
      <c r="T73" s="170">
        <v>166968.67630618627</v>
      </c>
      <c r="U73" s="170">
        <v>170475.01850861614</v>
      </c>
      <c r="V73" s="170">
        <v>174054.9938972971</v>
      </c>
      <c r="W73" s="170">
        <v>177710.1487691403</v>
      </c>
      <c r="X73" s="170">
        <v>181442.06189329224</v>
      </c>
      <c r="Y73" s="170">
        <v>185252.34519305135</v>
      </c>
      <c r="Z73" s="170">
        <v>189142.6444421054</v>
      </c>
      <c r="AB73" s="96" t="s">
        <v>18</v>
      </c>
      <c r="AC73" s="96">
        <v>1923.55</v>
      </c>
      <c r="AE73" s="96">
        <f t="shared" si="82"/>
        <v>81.31676327623407</v>
      </c>
      <c r="AF73" s="96">
        <f t="shared" si="83"/>
        <v>83.268365594863681</v>
      </c>
      <c r="AG73" s="96">
        <f t="shared" si="84"/>
        <v>85.017001272355827</v>
      </c>
      <c r="AH73" s="96">
        <f t="shared" si="85"/>
        <v>86.802358299075294</v>
      </c>
      <c r="AI73" s="96">
        <f t="shared" si="86"/>
        <v>88.625207823355851</v>
      </c>
      <c r="AJ73" s="96">
        <f t="shared" si="87"/>
        <v>90.486337187646328</v>
      </c>
      <c r="AK73" s="96">
        <f t="shared" si="88"/>
        <v>92.386550268586888</v>
      </c>
      <c r="AL73" s="96">
        <f t="shared" si="89"/>
        <v>94.326667824227201</v>
      </c>
      <c r="AM73" s="96">
        <f t="shared" si="90"/>
        <v>96.307527848535969</v>
      </c>
      <c r="AN73" s="96">
        <f t="shared" si="91"/>
        <v>98.329985933355204</v>
      </c>
      <c r="AS73" s="96" t="s">
        <v>18</v>
      </c>
      <c r="AT73" s="96">
        <f t="shared" si="93"/>
        <v>8.7252886995399166</v>
      </c>
      <c r="AU73" s="96">
        <f t="shared" si="94"/>
        <v>8.934695628328873</v>
      </c>
      <c r="AV73" s="96">
        <f t="shared" si="95"/>
        <v>9.1223242365237809</v>
      </c>
      <c r="AW73" s="96">
        <f t="shared" si="96"/>
        <v>9.3138930454907793</v>
      </c>
      <c r="AX73" s="96">
        <f t="shared" si="97"/>
        <v>9.5094847994460832</v>
      </c>
      <c r="AY73" s="96">
        <f t="shared" si="98"/>
        <v>9.7091839802344513</v>
      </c>
      <c r="AZ73" s="96">
        <f t="shared" si="99"/>
        <v>9.9130768438193737</v>
      </c>
      <c r="BA73" s="96">
        <f t="shared" si="100"/>
        <v>10.121251457539579</v>
      </c>
      <c r="BB73" s="96">
        <f t="shared" si="101"/>
        <v>10.33379773814791</v>
      </c>
      <c r="BC73" s="96">
        <f t="shared" si="102"/>
        <v>10.550807490649014</v>
      </c>
      <c r="BE73" s="169">
        <f t="shared" ref="BE73:BE138" si="103">NPV($BE$1,AT73:BC73)/((1-(1+$BE$1)^-10)/$BE$1)</f>
        <v>9.4908791938881496</v>
      </c>
      <c r="BM73" s="81" t="s">
        <v>68</v>
      </c>
      <c r="BN73" s="96">
        <f t="shared" si="68"/>
        <v>1162.8</v>
      </c>
      <c r="BQ73" s="81" t="s">
        <v>68</v>
      </c>
      <c r="BR73" s="173">
        <f t="shared" si="58"/>
        <v>20.359888098555217</v>
      </c>
      <c r="BS73" s="173">
        <f t="shared" si="59"/>
        <v>20.848525412920544</v>
      </c>
      <c r="BT73" s="173">
        <f t="shared" si="60"/>
        <v>21.286344446591876</v>
      </c>
      <c r="BU73" s="173">
        <f t="shared" si="61"/>
        <v>21.7333576799703</v>
      </c>
      <c r="BV73" s="173">
        <f t="shared" si="62"/>
        <v>22.189758191249673</v>
      </c>
      <c r="BW73" s="173">
        <f t="shared" si="63"/>
        <v>22.655743113265913</v>
      </c>
      <c r="BX73" s="173">
        <f t="shared" si="64"/>
        <v>23.131513718644495</v>
      </c>
      <c r="BY73" s="173">
        <f t="shared" si="65"/>
        <v>23.617275506736028</v>
      </c>
      <c r="BZ73" s="173">
        <f t="shared" si="66"/>
        <v>24.113238292377485</v>
      </c>
      <c r="CA73" s="173">
        <f t="shared" si="67"/>
        <v>24.619616296517403</v>
      </c>
      <c r="CC73" s="81" t="s">
        <v>68</v>
      </c>
      <c r="CD73" s="170">
        <f t="shared" si="69"/>
        <v>50.159152100103199</v>
      </c>
      <c r="CE73" s="170">
        <f t="shared" si="70"/>
        <v>51.362971750505679</v>
      </c>
      <c r="CF73" s="170">
        <f t="shared" si="71"/>
        <v>52.441594157266309</v>
      </c>
      <c r="CG73" s="170">
        <f t="shared" si="72"/>
        <v>53.542867634568886</v>
      </c>
      <c r="CH73" s="170">
        <f t="shared" si="73"/>
        <v>54.667267854894817</v>
      </c>
      <c r="CI73" s="170">
        <f t="shared" si="74"/>
        <v>55.815280479847615</v>
      </c>
      <c r="CJ73" s="170">
        <f t="shared" si="75"/>
        <v>56.987401369924406</v>
      </c>
      <c r="CK73" s="170">
        <f t="shared" si="76"/>
        <v>58.184136798692805</v>
      </c>
      <c r="CL73" s="170">
        <f t="shared" si="77"/>
        <v>59.406003671465356</v>
      </c>
      <c r="CM73" s="170">
        <f t="shared" si="78"/>
        <v>60.653529748566115</v>
      </c>
      <c r="CN73" s="96">
        <f t="shared" si="79"/>
        <v>1162.8</v>
      </c>
      <c r="CO73" s="225">
        <f t="shared" si="80"/>
        <v>54.560309629071988</v>
      </c>
      <c r="CP73" s="169">
        <f t="shared" si="81"/>
        <v>1.4841079618415126E-2</v>
      </c>
    </row>
    <row r="74" spans="1:110">
      <c r="B74" s="96" t="s">
        <v>34</v>
      </c>
      <c r="C74" s="96">
        <v>192636.25999999998</v>
      </c>
      <c r="D74" s="96">
        <v>136715.80999999997</v>
      </c>
      <c r="E74" s="96">
        <v>352996.51000000007</v>
      </c>
      <c r="F74" s="96">
        <v>1347.25</v>
      </c>
      <c r="P74" s="96" t="s">
        <v>18</v>
      </c>
      <c r="Q74" s="170">
        <v>16160.019999999997</v>
      </c>
      <c r="R74" s="170">
        <v>16547.860479999996</v>
      </c>
      <c r="S74" s="170">
        <v>16895.365550079998</v>
      </c>
      <c r="T74" s="170">
        <v>17250.168226631675</v>
      </c>
      <c r="U74" s="170">
        <v>17612.421759390938</v>
      </c>
      <c r="V74" s="170">
        <v>17982.282616338147</v>
      </c>
      <c r="W74" s="170">
        <v>18359.910551281246</v>
      </c>
      <c r="X74" s="170">
        <v>18745.468672858151</v>
      </c>
      <c r="Y74" s="170">
        <v>19139.123514988169</v>
      </c>
      <c r="Z74" s="170">
        <v>19541.045108802919</v>
      </c>
      <c r="AB74" s="96" t="s">
        <v>18</v>
      </c>
      <c r="AC74" s="96">
        <v>1422.05</v>
      </c>
      <c r="AE74" s="96">
        <f t="shared" si="82"/>
        <v>11.363890158573888</v>
      </c>
      <c r="AF74" s="96">
        <f t="shared" si="83"/>
        <v>11.63662352237966</v>
      </c>
      <c r="AG74" s="96">
        <f t="shared" si="84"/>
        <v>11.880992616349635</v>
      </c>
      <c r="AH74" s="96">
        <f t="shared" si="85"/>
        <v>12.130493461292975</v>
      </c>
      <c r="AI74" s="96">
        <f t="shared" si="86"/>
        <v>12.385233823980126</v>
      </c>
      <c r="AJ74" s="96">
        <f t="shared" si="87"/>
        <v>12.645323734283709</v>
      </c>
      <c r="AK74" s="96">
        <f t="shared" si="88"/>
        <v>12.910875532703665</v>
      </c>
      <c r="AL74" s="96">
        <f t="shared" si="89"/>
        <v>13.182003918890441</v>
      </c>
      <c r="AM74" s="96">
        <f t="shared" si="90"/>
        <v>13.458826001187138</v>
      </c>
      <c r="AN74" s="96">
        <f t="shared" si="91"/>
        <v>13.741461347212066</v>
      </c>
      <c r="AS74" s="96" t="s">
        <v>18</v>
      </c>
      <c r="AT74" s="96">
        <f t="shared" si="93"/>
        <v>1.2193454140149782</v>
      </c>
      <c r="AU74" s="96">
        <f t="shared" si="94"/>
        <v>1.2486097039513375</v>
      </c>
      <c r="AV74" s="96">
        <f t="shared" si="95"/>
        <v>1.2748305077343161</v>
      </c>
      <c r="AW74" s="96">
        <f t="shared" si="96"/>
        <v>1.3016019483967363</v>
      </c>
      <c r="AX74" s="96">
        <f t="shared" si="97"/>
        <v>1.3289355893130677</v>
      </c>
      <c r="AY74" s="96">
        <f t="shared" si="98"/>
        <v>1.356843236688642</v>
      </c>
      <c r="AZ74" s="96">
        <f t="shared" si="99"/>
        <v>1.3853369446591033</v>
      </c>
      <c r="BA74" s="96">
        <f t="shared" si="100"/>
        <v>1.4144290204969443</v>
      </c>
      <c r="BB74" s="96">
        <f t="shared" si="101"/>
        <v>1.4441320299273799</v>
      </c>
      <c r="BC74" s="96">
        <f t="shared" si="102"/>
        <v>1.4744588025558547</v>
      </c>
      <c r="BE74" s="169">
        <f t="shared" si="103"/>
        <v>1.3263354851109874</v>
      </c>
      <c r="BQ74" s="163" t="s">
        <v>10</v>
      </c>
    </row>
    <row r="75" spans="1:110">
      <c r="B75" s="96" t="s">
        <v>34</v>
      </c>
      <c r="C75" s="96">
        <v>90144.719999999987</v>
      </c>
      <c r="D75" s="96">
        <v>44723.810000000005</v>
      </c>
      <c r="E75" s="96">
        <v>123370.85999999997</v>
      </c>
      <c r="F75" s="96">
        <v>814.3</v>
      </c>
      <c r="P75" s="96" t="s">
        <v>36</v>
      </c>
      <c r="Q75" s="170">
        <v>15192.9</v>
      </c>
      <c r="R75" s="170">
        <v>15557.5296</v>
      </c>
      <c r="S75" s="170">
        <v>15884.237721599999</v>
      </c>
      <c r="T75" s="170">
        <v>16217.806713753598</v>
      </c>
      <c r="U75" s="170">
        <v>16558.380654742421</v>
      </c>
      <c r="V75" s="170">
        <v>16906.106648492012</v>
      </c>
      <c r="W75" s="170">
        <v>17261.13488811034</v>
      </c>
      <c r="X75" s="170">
        <v>17623.618720760656</v>
      </c>
      <c r="Y75" s="170">
        <v>17993.714713896628</v>
      </c>
      <c r="Z75" s="170">
        <v>18371.582722888455</v>
      </c>
      <c r="AB75" s="96" t="s">
        <v>36</v>
      </c>
      <c r="AC75" s="96">
        <v>501.5</v>
      </c>
      <c r="AE75" s="96">
        <f t="shared" si="82"/>
        <v>30.294915254237289</v>
      </c>
      <c r="AF75" s="96">
        <f t="shared" si="83"/>
        <v>31.021993220338981</v>
      </c>
      <c r="AG75" s="96">
        <f t="shared" si="84"/>
        <v>31.6734550779661</v>
      </c>
      <c r="AH75" s="96">
        <f t="shared" si="85"/>
        <v>32.338597634603389</v>
      </c>
      <c r="AI75" s="96">
        <f t="shared" si="86"/>
        <v>33.017708184930051</v>
      </c>
      <c r="AJ75" s="96">
        <f t="shared" si="87"/>
        <v>33.711080056813586</v>
      </c>
      <c r="AK75" s="96">
        <f t="shared" si="88"/>
        <v>34.419012738006664</v>
      </c>
      <c r="AL75" s="96">
        <f t="shared" si="89"/>
        <v>35.141812005504796</v>
      </c>
      <c r="AM75" s="96">
        <f t="shared" si="90"/>
        <v>35.879790057620397</v>
      </c>
      <c r="AN75" s="96">
        <f t="shared" si="91"/>
        <v>36.633265648830417</v>
      </c>
      <c r="AS75" s="96" t="s">
        <v>36</v>
      </c>
      <c r="AT75" s="96">
        <f t="shared" si="93"/>
        <v>3.2506444067796614</v>
      </c>
      <c r="AU75" s="96">
        <f t="shared" si="94"/>
        <v>3.3286598725423731</v>
      </c>
      <c r="AV75" s="96">
        <f t="shared" si="95"/>
        <v>3.3985617298657629</v>
      </c>
      <c r="AW75" s="96">
        <f t="shared" si="96"/>
        <v>3.4699315261929438</v>
      </c>
      <c r="AX75" s="96">
        <f t="shared" si="97"/>
        <v>3.5428000882429949</v>
      </c>
      <c r="AY75" s="96">
        <f t="shared" si="98"/>
        <v>3.6171988900960979</v>
      </c>
      <c r="AZ75" s="96">
        <f t="shared" si="99"/>
        <v>3.6931600667881153</v>
      </c>
      <c r="BA75" s="96">
        <f t="shared" si="100"/>
        <v>3.7707164281906649</v>
      </c>
      <c r="BB75" s="96">
        <f t="shared" si="101"/>
        <v>3.8499014731826691</v>
      </c>
      <c r="BC75" s="96">
        <f t="shared" si="102"/>
        <v>3.9307494041195041</v>
      </c>
      <c r="BE75" s="169">
        <f t="shared" si="103"/>
        <v>3.5358684886450549</v>
      </c>
      <c r="BQ75" s="81" t="s">
        <v>45</v>
      </c>
      <c r="BR75" s="173">
        <f t="shared" ref="BR75:BR106" si="104">IFERROR(SUMIFS(Q$71:Q$135,$P$71:$P$135,$BQ75)/SUMIFS($AC$71:$AC$135,$P$71:$P$135,$BQ75),0)*$AQ$6</f>
        <v>0</v>
      </c>
      <c r="BS75" s="173">
        <f t="shared" ref="BS75:BS106" si="105">IFERROR(SUMIFS(R$71:R$135,$P$71:$P$135,$BQ75)/SUMIFS($AC$71:$AC$135,$P$71:$P$135,$BQ75),0)*$AQ$6</f>
        <v>0</v>
      </c>
      <c r="BT75" s="173">
        <f t="shared" ref="BT75:BT106" si="106">IFERROR(SUMIFS(S$71:S$135,$P$71:$P$135,$BQ75)/SUMIFS($AC$71:$AC$135,$P$71:$P$135,$BQ75),0)*$AQ$6</f>
        <v>0</v>
      </c>
      <c r="BU75" s="173">
        <f t="shared" ref="BU75:BU106" si="107">IFERROR(SUMIFS(T$71:T$135,$P$71:$P$135,$BQ75)/SUMIFS($AC$71:$AC$135,$P$71:$P$135,$BQ75),0)*$AQ$6</f>
        <v>0</v>
      </c>
      <c r="BV75" s="173">
        <f t="shared" ref="BV75:BV106" si="108">IFERROR(SUMIFS(U$71:U$135,$P$71:$P$135,$BQ75)/SUMIFS($AC$71:$AC$135,$P$71:$P$135,$BQ75),0)*$AQ$6</f>
        <v>0</v>
      </c>
      <c r="BW75" s="173">
        <f t="shared" ref="BW75:BW106" si="109">IFERROR(SUMIFS(V$71:V$135,$P$71:$P$135,$BQ75)/SUMIFS($AC$71:$AC$135,$P$71:$P$135,$BQ75),0)*$AQ$6</f>
        <v>0</v>
      </c>
      <c r="BX75" s="173">
        <f t="shared" ref="BX75:BX106" si="110">IFERROR(SUMIFS(W$71:W$135,$P$71:$P$135,$BQ75)/SUMIFS($AC$71:$AC$135,$P$71:$P$135,$BQ75),0)*$AQ$6</f>
        <v>0</v>
      </c>
      <c r="BY75" s="173">
        <f t="shared" ref="BY75:BY106" si="111">IFERROR(SUMIFS(X$71:X$135,$P$71:$P$135,$BQ75)/SUMIFS($AC$71:$AC$135,$P$71:$P$135,$BQ75),0)*$AQ$6</f>
        <v>0</v>
      </c>
      <c r="BZ75" s="173">
        <f t="shared" ref="BZ75:BZ106" si="112">IFERROR(SUMIFS(Y$71:Y$135,$P$71:$P$135,$BQ75)/SUMIFS($AC$71:$AC$135,$P$71:$P$135,$BQ75),0)*$AQ$6</f>
        <v>0</v>
      </c>
      <c r="CA75" s="173">
        <f t="shared" ref="CA75:CA106" si="113">IFERROR(SUMIFS(Z$71:Z$135,$P$71:$P$135,$BQ75)/SUMIFS($AC$71:$AC$135,$P$71:$P$135,$BQ75),0)*$AQ$6</f>
        <v>0</v>
      </c>
    </row>
    <row r="76" spans="1:110">
      <c r="B76" s="96" t="s">
        <v>74</v>
      </c>
      <c r="C76" s="96" t="s">
        <v>97</v>
      </c>
      <c r="D76" s="96" t="s">
        <v>97</v>
      </c>
      <c r="E76" s="96" t="s">
        <v>97</v>
      </c>
      <c r="F76" s="96">
        <v>0</v>
      </c>
      <c r="P76" s="96" t="s">
        <v>36</v>
      </c>
      <c r="Q76" s="170">
        <v>18711.370000000003</v>
      </c>
      <c r="R76" s="170">
        <v>19160.442880000002</v>
      </c>
      <c r="S76" s="170">
        <v>19562.812180480003</v>
      </c>
      <c r="T76" s="170">
        <v>19973.631236270081</v>
      </c>
      <c r="U76" s="170">
        <v>20393.077492231747</v>
      </c>
      <c r="V76" s="170">
        <v>20821.332119568615</v>
      </c>
      <c r="W76" s="170">
        <v>21258.580094079553</v>
      </c>
      <c r="X76" s="170">
        <v>21705.010276055222</v>
      </c>
      <c r="Y76" s="170">
        <v>22160.81549185238</v>
      </c>
      <c r="Z76" s="170">
        <v>22626.192617181277</v>
      </c>
      <c r="AB76" s="96" t="s">
        <v>36</v>
      </c>
      <c r="AC76" s="96">
        <v>476</v>
      </c>
      <c r="AE76" s="96">
        <f t="shared" si="82"/>
        <v>39.309600840336138</v>
      </c>
      <c r="AF76" s="96">
        <f t="shared" si="83"/>
        <v>40.253031260504208</v>
      </c>
      <c r="AG76" s="96">
        <f t="shared" si="84"/>
        <v>41.098344916974796</v>
      </c>
      <c r="AH76" s="96">
        <f t="shared" si="85"/>
        <v>41.96141016023126</v>
      </c>
      <c r="AI76" s="96">
        <f t="shared" si="86"/>
        <v>42.842599773596106</v>
      </c>
      <c r="AJ76" s="96">
        <f t="shared" si="87"/>
        <v>43.742294368841627</v>
      </c>
      <c r="AK76" s="96">
        <f t="shared" si="88"/>
        <v>44.660882550587296</v>
      </c>
      <c r="AL76" s="96">
        <f t="shared" si="89"/>
        <v>45.598761084149622</v>
      </c>
      <c r="AM76" s="96">
        <f t="shared" si="90"/>
        <v>46.556335066916766</v>
      </c>
      <c r="AN76" s="96">
        <f t="shared" si="91"/>
        <v>47.534018103322012</v>
      </c>
      <c r="AS76" s="96" t="s">
        <v>36</v>
      </c>
      <c r="AT76" s="96">
        <f t="shared" si="93"/>
        <v>4.2179201701680675</v>
      </c>
      <c r="AU76" s="96">
        <f t="shared" si="94"/>
        <v>4.3191502542521016</v>
      </c>
      <c r="AV76" s="96">
        <f t="shared" si="95"/>
        <v>4.4098524095913962</v>
      </c>
      <c r="AW76" s="96">
        <f t="shared" si="96"/>
        <v>4.5024593101928145</v>
      </c>
      <c r="AX76" s="96">
        <f t="shared" si="97"/>
        <v>4.5970109557068621</v>
      </c>
      <c r="AY76" s="96">
        <f t="shared" si="98"/>
        <v>4.6935481857767067</v>
      </c>
      <c r="AZ76" s="96">
        <f t="shared" si="99"/>
        <v>4.7921126976780171</v>
      </c>
      <c r="BA76" s="96">
        <f t="shared" si="100"/>
        <v>4.8927470643292548</v>
      </c>
      <c r="BB76" s="96">
        <f t="shared" si="101"/>
        <v>4.9954947526801696</v>
      </c>
      <c r="BC76" s="96">
        <f t="shared" si="102"/>
        <v>5.1004001424864525</v>
      </c>
      <c r="BE76" s="169">
        <f t="shared" si="103"/>
        <v>4.5880167594500518</v>
      </c>
      <c r="BQ76" s="81" t="s">
        <v>15</v>
      </c>
      <c r="BR76" s="173">
        <f t="shared" si="104"/>
        <v>0</v>
      </c>
      <c r="BS76" s="173">
        <f t="shared" si="105"/>
        <v>0</v>
      </c>
      <c r="BT76" s="173">
        <f t="shared" si="106"/>
        <v>0</v>
      </c>
      <c r="BU76" s="173">
        <f t="shared" si="107"/>
        <v>0</v>
      </c>
      <c r="BV76" s="173">
        <f t="shared" si="108"/>
        <v>0</v>
      </c>
      <c r="BW76" s="173">
        <f t="shared" si="109"/>
        <v>0</v>
      </c>
      <c r="BX76" s="173">
        <f t="shared" si="110"/>
        <v>0</v>
      </c>
      <c r="BY76" s="173">
        <f t="shared" si="111"/>
        <v>0</v>
      </c>
      <c r="BZ76" s="173">
        <f t="shared" si="112"/>
        <v>0</v>
      </c>
      <c r="CA76" s="173">
        <f t="shared" si="113"/>
        <v>0</v>
      </c>
    </row>
    <row r="77" spans="1:110">
      <c r="B77" s="96" t="s">
        <v>74</v>
      </c>
      <c r="C77" s="96" t="s">
        <v>97</v>
      </c>
      <c r="D77" s="96" t="s">
        <v>97</v>
      </c>
      <c r="E77" s="96" t="s">
        <v>97</v>
      </c>
      <c r="F77" s="96">
        <v>0</v>
      </c>
      <c r="P77" s="96" t="s">
        <v>36</v>
      </c>
      <c r="Q77" s="170">
        <v>26727.780000000002</v>
      </c>
      <c r="R77" s="170">
        <v>27369.246720000003</v>
      </c>
      <c r="S77" s="170">
        <v>27944.000901120002</v>
      </c>
      <c r="T77" s="170">
        <v>28530.82492004352</v>
      </c>
      <c r="U77" s="170">
        <v>29129.972243364427</v>
      </c>
      <c r="V77" s="170">
        <v>29741.701660475082</v>
      </c>
      <c r="W77" s="170">
        <v>30366.277395345052</v>
      </c>
      <c r="X77" s="170">
        <v>31003.969220647297</v>
      </c>
      <c r="Y77" s="170">
        <v>31655.052574280886</v>
      </c>
      <c r="Z77" s="170">
        <v>32319.808678340782</v>
      </c>
      <c r="AB77" s="96" t="s">
        <v>36</v>
      </c>
      <c r="AC77" s="96">
        <v>263.5</v>
      </c>
      <c r="AE77" s="96">
        <f t="shared" si="82"/>
        <v>101.43370018975332</v>
      </c>
      <c r="AF77" s="96">
        <f t="shared" si="83"/>
        <v>103.86810899430741</v>
      </c>
      <c r="AG77" s="96">
        <f t="shared" si="84"/>
        <v>106.04933928318786</v>
      </c>
      <c r="AH77" s="96">
        <f t="shared" si="85"/>
        <v>108.2763754081348</v>
      </c>
      <c r="AI77" s="96">
        <f t="shared" si="86"/>
        <v>110.5501792917056</v>
      </c>
      <c r="AJ77" s="96">
        <f t="shared" si="87"/>
        <v>112.87173305683143</v>
      </c>
      <c r="AK77" s="96">
        <f t="shared" si="88"/>
        <v>115.24203945102487</v>
      </c>
      <c r="AL77" s="96">
        <f t="shared" si="89"/>
        <v>117.66212227949639</v>
      </c>
      <c r="AM77" s="96">
        <f t="shared" si="90"/>
        <v>120.13302684736578</v>
      </c>
      <c r="AN77" s="96">
        <f t="shared" si="91"/>
        <v>122.65582041116046</v>
      </c>
      <c r="AS77" s="96" t="s">
        <v>36</v>
      </c>
      <c r="AT77" s="96">
        <f t="shared" si="93"/>
        <v>10.883836030360532</v>
      </c>
      <c r="AU77" s="96">
        <f t="shared" si="94"/>
        <v>11.145048095089185</v>
      </c>
      <c r="AV77" s="96">
        <f t="shared" si="95"/>
        <v>11.379094105086057</v>
      </c>
      <c r="AW77" s="96">
        <f t="shared" si="96"/>
        <v>11.618055081292864</v>
      </c>
      <c r="AX77" s="96">
        <f t="shared" si="97"/>
        <v>11.862034238000012</v>
      </c>
      <c r="AY77" s="96">
        <f t="shared" si="98"/>
        <v>12.111136956998013</v>
      </c>
      <c r="AZ77" s="96">
        <f t="shared" si="99"/>
        <v>12.365470833094969</v>
      </c>
      <c r="BA77" s="96">
        <f t="shared" si="100"/>
        <v>12.625145720589963</v>
      </c>
      <c r="BB77" s="96">
        <f t="shared" si="101"/>
        <v>12.89027378072235</v>
      </c>
      <c r="BC77" s="96">
        <f t="shared" si="102"/>
        <v>13.160969530117518</v>
      </c>
      <c r="BE77" s="169">
        <f t="shared" si="103"/>
        <v>11.838825795607869</v>
      </c>
      <c r="BQ77" s="81" t="s">
        <v>16</v>
      </c>
      <c r="BR77" s="173">
        <f t="shared" si="104"/>
        <v>10.010830852295413</v>
      </c>
      <c r="BS77" s="173">
        <f t="shared" si="105"/>
        <v>10.251090792750503</v>
      </c>
      <c r="BT77" s="173">
        <f t="shared" si="106"/>
        <v>10.466363699398263</v>
      </c>
      <c r="BU77" s="173">
        <f t="shared" si="107"/>
        <v>10.686157337085625</v>
      </c>
      <c r="BV77" s="173">
        <f t="shared" si="108"/>
        <v>10.910566641164422</v>
      </c>
      <c r="BW77" s="173">
        <f t="shared" si="109"/>
        <v>11.139688540628875</v>
      </c>
      <c r="BX77" s="173">
        <f t="shared" si="110"/>
        <v>11.373621999982079</v>
      </c>
      <c r="BY77" s="173">
        <f t="shared" si="111"/>
        <v>11.612468061981703</v>
      </c>
      <c r="BZ77" s="173">
        <f t="shared" si="112"/>
        <v>11.856329891283318</v>
      </c>
      <c r="CA77" s="173">
        <f t="shared" si="113"/>
        <v>12.105312819000265</v>
      </c>
    </row>
    <row r="78" spans="1:110">
      <c r="B78" s="96" t="s">
        <v>47</v>
      </c>
      <c r="C78" s="96">
        <v>75780.38</v>
      </c>
      <c r="D78" s="96">
        <v>25238.61</v>
      </c>
      <c r="E78" s="96">
        <v>78551.73000000001</v>
      </c>
      <c r="F78" s="96">
        <v>520.19999999999993</v>
      </c>
      <c r="P78" s="96" t="s">
        <v>36</v>
      </c>
      <c r="Q78" s="170">
        <v>746929.51000000036</v>
      </c>
      <c r="R78" s="170">
        <v>764855.8182400004</v>
      </c>
      <c r="S78" s="170">
        <v>780917.79042304039</v>
      </c>
      <c r="T78" s="170">
        <v>797317.06402192416</v>
      </c>
      <c r="U78" s="170">
        <v>814060.72236638435</v>
      </c>
      <c r="V78" s="170">
        <v>831155.99753607844</v>
      </c>
      <c r="W78" s="170">
        <v>848610.27348433598</v>
      </c>
      <c r="X78" s="170">
        <v>866431.08922750701</v>
      </c>
      <c r="Y78" s="170">
        <v>884626.14210128458</v>
      </c>
      <c r="Z78" s="170">
        <v>903203.29108541133</v>
      </c>
      <c r="AB78" s="96" t="s">
        <v>36</v>
      </c>
      <c r="AC78" s="96">
        <v>5299.75</v>
      </c>
      <c r="AE78" s="96">
        <f t="shared" si="82"/>
        <v>140.93674418604658</v>
      </c>
      <c r="AF78" s="96">
        <f t="shared" si="83"/>
        <v>144.31922604651172</v>
      </c>
      <c r="AG78" s="96">
        <f t="shared" si="84"/>
        <v>147.34992979348846</v>
      </c>
      <c r="AH78" s="96">
        <f t="shared" si="85"/>
        <v>150.44427831915169</v>
      </c>
      <c r="AI78" s="96">
        <f t="shared" si="86"/>
        <v>153.60360816385383</v>
      </c>
      <c r="AJ78" s="96">
        <f t="shared" si="87"/>
        <v>156.82928393529477</v>
      </c>
      <c r="AK78" s="96">
        <f t="shared" si="88"/>
        <v>160.12269889793595</v>
      </c>
      <c r="AL78" s="96">
        <f t="shared" si="89"/>
        <v>163.48527557479258</v>
      </c>
      <c r="AM78" s="96">
        <f t="shared" si="90"/>
        <v>166.91846636186321</v>
      </c>
      <c r="AN78" s="96">
        <f t="shared" si="91"/>
        <v>170.42375415546229</v>
      </c>
      <c r="AS78" s="96" t="s">
        <v>36</v>
      </c>
      <c r="AT78" s="96">
        <f t="shared" si="93"/>
        <v>15.122512651162799</v>
      </c>
      <c r="AU78" s="96">
        <f t="shared" si="94"/>
        <v>15.485452954790707</v>
      </c>
      <c r="AV78" s="96">
        <f t="shared" si="95"/>
        <v>15.810647466841312</v>
      </c>
      <c r="AW78" s="96">
        <f t="shared" si="96"/>
        <v>16.142671063644979</v>
      </c>
      <c r="AX78" s="96">
        <f t="shared" si="97"/>
        <v>16.481667155981519</v>
      </c>
      <c r="AY78" s="96">
        <f t="shared" si="98"/>
        <v>16.82778216625713</v>
      </c>
      <c r="AZ78" s="96">
        <f t="shared" si="99"/>
        <v>17.181165591748528</v>
      </c>
      <c r="BA78" s="96">
        <f t="shared" si="100"/>
        <v>17.541970069175246</v>
      </c>
      <c r="BB78" s="96">
        <f t="shared" si="101"/>
        <v>17.910351440627924</v>
      </c>
      <c r="BC78" s="96">
        <f t="shared" si="102"/>
        <v>18.286468820881105</v>
      </c>
      <c r="BE78" s="169">
        <f t="shared" si="103"/>
        <v>16.449420256753161</v>
      </c>
      <c r="BQ78" s="81" t="s">
        <v>17</v>
      </c>
      <c r="BR78" s="173">
        <f t="shared" si="104"/>
        <v>4.5811436827671121</v>
      </c>
      <c r="BS78" s="173">
        <f t="shared" si="105"/>
        <v>4.6910911311535237</v>
      </c>
      <c r="BT78" s="173">
        <f t="shared" si="106"/>
        <v>4.7896040449077475</v>
      </c>
      <c r="BU78" s="173">
        <f t="shared" si="107"/>
        <v>4.8901857298508098</v>
      </c>
      <c r="BV78" s="173">
        <f t="shared" si="108"/>
        <v>4.9928796301776757</v>
      </c>
      <c r="BW78" s="173">
        <f t="shared" si="109"/>
        <v>5.0977301024114068</v>
      </c>
      <c r="BX78" s="173">
        <f t="shared" si="110"/>
        <v>5.2047824345620457</v>
      </c>
      <c r="BY78" s="173">
        <f t="shared" si="111"/>
        <v>5.3140828656878485</v>
      </c>
      <c r="BZ78" s="173">
        <f t="shared" si="112"/>
        <v>5.4256786058672928</v>
      </c>
      <c r="CA78" s="173">
        <f t="shared" si="113"/>
        <v>5.5396178565905041</v>
      </c>
    </row>
    <row r="79" spans="1:110">
      <c r="B79" s="96" t="s">
        <v>47</v>
      </c>
      <c r="C79" s="96">
        <v>0</v>
      </c>
      <c r="D79" s="96">
        <v>0</v>
      </c>
      <c r="E79" s="96">
        <v>176894.9</v>
      </c>
      <c r="F79" s="96">
        <v>361.25</v>
      </c>
      <c r="P79" s="96" t="s">
        <v>52</v>
      </c>
      <c r="Q79" s="170">
        <v>24542.07</v>
      </c>
      <c r="R79" s="170">
        <v>25131.079679999999</v>
      </c>
      <c r="S79" s="170">
        <v>25658.832353279999</v>
      </c>
      <c r="T79" s="170">
        <v>26197.667832698877</v>
      </c>
      <c r="U79" s="170">
        <v>26747.81885718555</v>
      </c>
      <c r="V79" s="170">
        <v>27309.523053186444</v>
      </c>
      <c r="W79" s="170">
        <v>27883.023037303356</v>
      </c>
      <c r="X79" s="170">
        <v>28468.566521086726</v>
      </c>
      <c r="Y79" s="170">
        <v>29066.406418029543</v>
      </c>
      <c r="Z79" s="170">
        <v>29676.80095280816</v>
      </c>
      <c r="AB79" s="96" t="s">
        <v>52</v>
      </c>
      <c r="AC79" s="96">
        <v>741.19999999999993</v>
      </c>
      <c r="AE79" s="96">
        <f t="shared" si="82"/>
        <v>33.111265515380467</v>
      </c>
      <c r="AF79" s="96">
        <f t="shared" si="83"/>
        <v>33.9059358877496</v>
      </c>
      <c r="AG79" s="96">
        <f t="shared" si="84"/>
        <v>34.617960541392335</v>
      </c>
      <c r="AH79" s="96">
        <f t="shared" si="85"/>
        <v>35.344937712761578</v>
      </c>
      <c r="AI79" s="96">
        <f t="shared" si="86"/>
        <v>36.087181404729563</v>
      </c>
      <c r="AJ79" s="96">
        <f t="shared" si="87"/>
        <v>36.845012214228881</v>
      </c>
      <c r="AK79" s="96">
        <f t="shared" si="88"/>
        <v>37.61875747072768</v>
      </c>
      <c r="AL79" s="96">
        <f t="shared" si="89"/>
        <v>38.408751377612965</v>
      </c>
      <c r="AM79" s="96">
        <f t="shared" si="90"/>
        <v>39.215335156542828</v>
      </c>
      <c r="AN79" s="96">
        <f t="shared" si="91"/>
        <v>40.038857194830229</v>
      </c>
      <c r="AS79" s="96" t="s">
        <v>52</v>
      </c>
      <c r="AT79" s="96">
        <f t="shared" si="93"/>
        <v>3.5528387898003242</v>
      </c>
      <c r="AU79" s="96">
        <f t="shared" si="94"/>
        <v>3.6381069207555323</v>
      </c>
      <c r="AV79" s="96">
        <f t="shared" si="95"/>
        <v>3.7145071660913977</v>
      </c>
      <c r="AW79" s="96">
        <f t="shared" si="96"/>
        <v>3.7925118165793177</v>
      </c>
      <c r="AX79" s="96">
        <f t="shared" si="97"/>
        <v>3.8721545647274822</v>
      </c>
      <c r="AY79" s="96">
        <f t="shared" si="98"/>
        <v>3.9534698105867592</v>
      </c>
      <c r="AZ79" s="96">
        <f t="shared" si="99"/>
        <v>4.0364926766090798</v>
      </c>
      <c r="BA79" s="96">
        <f t="shared" si="100"/>
        <v>4.1212590228178714</v>
      </c>
      <c r="BB79" s="96">
        <f t="shared" si="101"/>
        <v>4.2078054622970456</v>
      </c>
      <c r="BC79" s="96">
        <f t="shared" si="102"/>
        <v>4.2961693770052838</v>
      </c>
      <c r="BE79" s="169">
        <f t="shared" si="103"/>
        <v>3.8645785727563013</v>
      </c>
      <c r="BQ79" s="81" t="s">
        <v>18</v>
      </c>
      <c r="BR79" s="173">
        <f t="shared" si="104"/>
        <v>5.5348814036346257</v>
      </c>
      <c r="BS79" s="173">
        <f t="shared" si="105"/>
        <v>5.6677185573218569</v>
      </c>
      <c r="BT79" s="173">
        <f t="shared" si="106"/>
        <v>5.7867406470256162</v>
      </c>
      <c r="BU79" s="173">
        <f t="shared" si="107"/>
        <v>5.9082622006131542</v>
      </c>
      <c r="BV79" s="173">
        <f t="shared" si="108"/>
        <v>6.0323357068260286</v>
      </c>
      <c r="BW79" s="173">
        <f t="shared" si="109"/>
        <v>6.1590147566693751</v>
      </c>
      <c r="BX79" s="173">
        <f t="shared" si="110"/>
        <v>6.2883540665594317</v>
      </c>
      <c r="BY79" s="173">
        <f t="shared" si="111"/>
        <v>6.4204095019571783</v>
      </c>
      <c r="BZ79" s="173">
        <f t="shared" si="112"/>
        <v>6.5552381014982792</v>
      </c>
      <c r="CA79" s="173">
        <f t="shared" si="113"/>
        <v>6.6928981016297415</v>
      </c>
    </row>
    <row r="80" spans="1:110">
      <c r="B80" s="96" t="s">
        <v>47</v>
      </c>
      <c r="C80" s="96">
        <v>0</v>
      </c>
      <c r="D80" s="96">
        <v>0</v>
      </c>
      <c r="E80" s="96">
        <v>153683.79999999999</v>
      </c>
      <c r="F80" s="96">
        <v>361.25</v>
      </c>
      <c r="P80" s="96" t="s">
        <v>52</v>
      </c>
      <c r="Q80" s="170">
        <v>99784.090000000011</v>
      </c>
      <c r="R80" s="170">
        <v>102178.90816000001</v>
      </c>
      <c r="S80" s="170">
        <v>104324.66523136001</v>
      </c>
      <c r="T80" s="170">
        <v>106515.48320121855</v>
      </c>
      <c r="U80" s="170">
        <v>108752.30834844413</v>
      </c>
      <c r="V80" s="170">
        <v>111036.10682376145</v>
      </c>
      <c r="W80" s="170">
        <v>113367.86506706043</v>
      </c>
      <c r="X80" s="170">
        <v>115748.5902334687</v>
      </c>
      <c r="Y80" s="170">
        <v>118179.31062837152</v>
      </c>
      <c r="Z80" s="170">
        <v>120661.07615156731</v>
      </c>
      <c r="AB80" s="96" t="s">
        <v>52</v>
      </c>
      <c r="AC80" s="96">
        <v>1949.05</v>
      </c>
      <c r="AE80" s="96">
        <f t="shared" si="82"/>
        <v>51.196269977681439</v>
      </c>
      <c r="AF80" s="96">
        <f t="shared" si="83"/>
        <v>52.424980457145793</v>
      </c>
      <c r="AG80" s="96">
        <f t="shared" si="84"/>
        <v>53.525905046745855</v>
      </c>
      <c r="AH80" s="96">
        <f t="shared" si="85"/>
        <v>54.649949052727507</v>
      </c>
      <c r="AI80" s="96">
        <f t="shared" si="86"/>
        <v>55.79759798283478</v>
      </c>
      <c r="AJ80" s="96">
        <f t="shared" si="87"/>
        <v>56.96934754047431</v>
      </c>
      <c r="AK80" s="96">
        <f t="shared" si="88"/>
        <v>58.165703838824264</v>
      </c>
      <c r="AL80" s="96">
        <f t="shared" si="89"/>
        <v>59.387183619439575</v>
      </c>
      <c r="AM80" s="96">
        <f t="shared" si="90"/>
        <v>60.634314475447795</v>
      </c>
      <c r="AN80" s="96">
        <f t="shared" si="91"/>
        <v>61.90763507943219</v>
      </c>
      <c r="AS80" s="96" t="s">
        <v>52</v>
      </c>
      <c r="AT80" s="96">
        <f t="shared" si="93"/>
        <v>5.4933597686052185</v>
      </c>
      <c r="AU80" s="96">
        <f t="shared" si="94"/>
        <v>5.6252004030517435</v>
      </c>
      <c r="AV80" s="96">
        <f t="shared" si="95"/>
        <v>5.743329611515831</v>
      </c>
      <c r="AW80" s="96">
        <f t="shared" si="96"/>
        <v>5.8639395333576623</v>
      </c>
      <c r="AX80" s="96">
        <f t="shared" si="97"/>
        <v>5.9870822635581726</v>
      </c>
      <c r="AY80" s="96">
        <f t="shared" si="98"/>
        <v>6.1128109910928936</v>
      </c>
      <c r="AZ80" s="96">
        <f t="shared" si="99"/>
        <v>6.2411800219058442</v>
      </c>
      <c r="BA80" s="96">
        <f t="shared" si="100"/>
        <v>6.3722448023658664</v>
      </c>
      <c r="BB80" s="96">
        <f t="shared" si="101"/>
        <v>6.5060619432155491</v>
      </c>
      <c r="BC80" s="96">
        <f t="shared" si="102"/>
        <v>6.6426892440230745</v>
      </c>
      <c r="BE80" s="169">
        <f t="shared" si="103"/>
        <v>5.9753683491466223</v>
      </c>
      <c r="BQ80" s="81" t="s">
        <v>19</v>
      </c>
      <c r="BR80" s="173">
        <f t="shared" si="104"/>
        <v>4.4343419668499546</v>
      </c>
      <c r="BS80" s="173">
        <f t="shared" si="105"/>
        <v>4.5407661740543546</v>
      </c>
      <c r="BT80" s="173">
        <f t="shared" si="106"/>
        <v>4.6361222637094945</v>
      </c>
      <c r="BU80" s="173">
        <f t="shared" si="107"/>
        <v>4.7334808312473928</v>
      </c>
      <c r="BV80" s="173">
        <f t="shared" si="108"/>
        <v>4.8328839287035885</v>
      </c>
      <c r="BW80" s="173">
        <f t="shared" si="109"/>
        <v>4.9343744912063627</v>
      </c>
      <c r="BX80" s="173">
        <f t="shared" si="110"/>
        <v>5.0379963555216971</v>
      </c>
      <c r="BY80" s="173">
        <f t="shared" si="111"/>
        <v>5.1437942789876523</v>
      </c>
      <c r="BZ80" s="173">
        <f t="shared" si="112"/>
        <v>5.2518139588463919</v>
      </c>
      <c r="CA80" s="173">
        <f t="shared" si="113"/>
        <v>5.3621020519821654</v>
      </c>
    </row>
    <row r="81" spans="2:79">
      <c r="B81" s="96" t="s">
        <v>48</v>
      </c>
      <c r="C81" s="96">
        <v>171908.57999999993</v>
      </c>
      <c r="D81" s="96">
        <v>965768.7</v>
      </c>
      <c r="E81" s="96">
        <v>15745.369999999999</v>
      </c>
      <c r="F81" s="96">
        <v>3388.1</v>
      </c>
      <c r="P81" s="96" t="s">
        <v>52</v>
      </c>
      <c r="Q81" s="170">
        <v>134236.10999999999</v>
      </c>
      <c r="R81" s="170">
        <v>137457.77664</v>
      </c>
      <c r="S81" s="170">
        <v>140344.38994944</v>
      </c>
      <c r="T81" s="170">
        <v>143291.62213837821</v>
      </c>
      <c r="U81" s="170">
        <v>146300.74620328413</v>
      </c>
      <c r="V81" s="170">
        <v>149373.06187355309</v>
      </c>
      <c r="W81" s="170">
        <v>152509.89617289769</v>
      </c>
      <c r="X81" s="170">
        <v>155712.60399252851</v>
      </c>
      <c r="Y81" s="170">
        <v>158982.56867637162</v>
      </c>
      <c r="Z81" s="170">
        <v>162321.20261857539</v>
      </c>
      <c r="AB81" s="96" t="s">
        <v>52</v>
      </c>
      <c r="AC81" s="96">
        <v>1725.5</v>
      </c>
      <c r="AE81" s="96">
        <f t="shared" si="82"/>
        <v>77.795485366560413</v>
      </c>
      <c r="AF81" s="96">
        <f t="shared" si="83"/>
        <v>79.662577015357869</v>
      </c>
      <c r="AG81" s="96">
        <f t="shared" si="84"/>
        <v>81.335491132680374</v>
      </c>
      <c r="AH81" s="96">
        <f t="shared" si="85"/>
        <v>83.043536446466646</v>
      </c>
      <c r="AI81" s="96">
        <f t="shared" si="86"/>
        <v>84.787450711842439</v>
      </c>
      <c r="AJ81" s="96">
        <f t="shared" si="87"/>
        <v>86.567987176791121</v>
      </c>
      <c r="AK81" s="96">
        <f t="shared" si="88"/>
        <v>88.385914907503732</v>
      </c>
      <c r="AL81" s="96">
        <f t="shared" si="89"/>
        <v>90.242019120561295</v>
      </c>
      <c r="AM81" s="96">
        <f t="shared" si="90"/>
        <v>92.13710152209309</v>
      </c>
      <c r="AN81" s="96">
        <f t="shared" si="91"/>
        <v>94.071980654057029</v>
      </c>
      <c r="AS81" s="96" t="s">
        <v>52</v>
      </c>
      <c r="AT81" s="96">
        <f t="shared" si="93"/>
        <v>8.3474555798319336</v>
      </c>
      <c r="AU81" s="96">
        <f t="shared" si="94"/>
        <v>8.547794513747899</v>
      </c>
      <c r="AV81" s="96">
        <f t="shared" si="95"/>
        <v>8.7272981985366052</v>
      </c>
      <c r="AW81" s="96">
        <f t="shared" si="96"/>
        <v>8.9105714607058708</v>
      </c>
      <c r="AX81" s="96">
        <f t="shared" si="97"/>
        <v>9.097693461380695</v>
      </c>
      <c r="AY81" s="96">
        <f t="shared" si="98"/>
        <v>9.2887450240696872</v>
      </c>
      <c r="AZ81" s="96">
        <f t="shared" si="99"/>
        <v>9.4838086695751507</v>
      </c>
      <c r="BA81" s="96">
        <f t="shared" si="100"/>
        <v>9.6829686516362283</v>
      </c>
      <c r="BB81" s="96">
        <f t="shared" si="101"/>
        <v>9.8863109933205884</v>
      </c>
      <c r="BC81" s="96">
        <f t="shared" si="102"/>
        <v>10.093923524180321</v>
      </c>
      <c r="BE81" s="169">
        <f t="shared" si="103"/>
        <v>9.079893538503768</v>
      </c>
      <c r="BQ81" s="81" t="s">
        <v>20</v>
      </c>
      <c r="BR81" s="173">
        <f t="shared" si="104"/>
        <v>0</v>
      </c>
      <c r="BS81" s="173">
        <f t="shared" si="105"/>
        <v>0</v>
      </c>
      <c r="BT81" s="173">
        <f t="shared" si="106"/>
        <v>0</v>
      </c>
      <c r="BU81" s="173">
        <f t="shared" si="107"/>
        <v>0</v>
      </c>
      <c r="BV81" s="173">
        <f t="shared" si="108"/>
        <v>0</v>
      </c>
      <c r="BW81" s="173">
        <f t="shared" si="109"/>
        <v>0</v>
      </c>
      <c r="BX81" s="173">
        <f t="shared" si="110"/>
        <v>0</v>
      </c>
      <c r="BY81" s="173">
        <f t="shared" si="111"/>
        <v>0</v>
      </c>
      <c r="BZ81" s="173">
        <f t="shared" si="112"/>
        <v>0</v>
      </c>
      <c r="CA81" s="173">
        <f t="shared" si="113"/>
        <v>0</v>
      </c>
    </row>
    <row r="82" spans="2:79">
      <c r="B82" s="96" t="s">
        <v>48</v>
      </c>
      <c r="C82" s="96">
        <v>0</v>
      </c>
      <c r="D82" s="96">
        <v>0</v>
      </c>
      <c r="E82" s="96">
        <v>242300.71000000002</v>
      </c>
      <c r="F82" s="96">
        <v>532.1</v>
      </c>
      <c r="P82" s="96" t="s">
        <v>65</v>
      </c>
      <c r="Q82" s="170">
        <v>16553.060000000001</v>
      </c>
      <c r="R82" s="170">
        <v>16950.333440000002</v>
      </c>
      <c r="S82" s="170">
        <v>17306.290442240002</v>
      </c>
      <c r="T82" s="170">
        <v>17669.72254152704</v>
      </c>
      <c r="U82" s="170">
        <v>18040.786714899103</v>
      </c>
      <c r="V82" s="170">
        <v>18419.643235911986</v>
      </c>
      <c r="W82" s="170">
        <v>18806.455743866136</v>
      </c>
      <c r="X82" s="170">
        <v>19201.391314487322</v>
      </c>
      <c r="Y82" s="170">
        <v>19604.620532091554</v>
      </c>
      <c r="Z82" s="170">
        <v>20016.317563265471</v>
      </c>
      <c r="AB82" s="96" t="s">
        <v>65</v>
      </c>
      <c r="AC82" s="96">
        <v>1167</v>
      </c>
      <c r="AE82" s="96">
        <f t="shared" si="82"/>
        <v>14.184284490145673</v>
      </c>
      <c r="AF82" s="96">
        <f t="shared" si="83"/>
        <v>14.52470731790917</v>
      </c>
      <c r="AG82" s="96">
        <f t="shared" si="84"/>
        <v>14.829726171585264</v>
      </c>
      <c r="AH82" s="96">
        <f t="shared" si="85"/>
        <v>15.141150421188552</v>
      </c>
      <c r="AI82" s="96">
        <f t="shared" si="86"/>
        <v>15.459114580033507</v>
      </c>
      <c r="AJ82" s="96">
        <f t="shared" si="87"/>
        <v>15.783755986214214</v>
      </c>
      <c r="AK82" s="96">
        <f t="shared" si="88"/>
        <v>16.115214861924709</v>
      </c>
      <c r="AL82" s="96">
        <f t="shared" si="89"/>
        <v>16.453634374025125</v>
      </c>
      <c r="AM82" s="96">
        <f t="shared" si="90"/>
        <v>16.799160695879653</v>
      </c>
      <c r="AN82" s="96">
        <f t="shared" si="91"/>
        <v>17.151943070493122</v>
      </c>
      <c r="AS82" s="96" t="s">
        <v>65</v>
      </c>
      <c r="AT82" s="96">
        <f t="shared" si="93"/>
        <v>1.5219737257926309</v>
      </c>
      <c r="AU82" s="96">
        <f t="shared" si="94"/>
        <v>1.558501095211654</v>
      </c>
      <c r="AV82" s="96">
        <f t="shared" si="95"/>
        <v>1.591229618211099</v>
      </c>
      <c r="AW82" s="96">
        <f t="shared" si="96"/>
        <v>1.6246454401935317</v>
      </c>
      <c r="AX82" s="96">
        <f t="shared" si="97"/>
        <v>1.6587629944375955</v>
      </c>
      <c r="AY82" s="96">
        <f t="shared" si="98"/>
        <v>1.6935970173207853</v>
      </c>
      <c r="AZ82" s="96">
        <f t="shared" si="99"/>
        <v>1.7291625546845215</v>
      </c>
      <c r="BA82" s="96">
        <f t="shared" si="100"/>
        <v>1.7654749683328961</v>
      </c>
      <c r="BB82" s="96">
        <f t="shared" si="101"/>
        <v>1.8025499426678868</v>
      </c>
      <c r="BC82" s="96">
        <f t="shared" si="102"/>
        <v>1.840403491463912</v>
      </c>
      <c r="BE82" s="169">
        <f t="shared" si="103"/>
        <v>1.6555175725625435</v>
      </c>
      <c r="BQ82" s="81" t="s">
        <v>21</v>
      </c>
      <c r="BR82" s="173">
        <f t="shared" si="104"/>
        <v>9.5500171542610577</v>
      </c>
      <c r="BS82" s="173">
        <f t="shared" si="105"/>
        <v>9.7792175659633251</v>
      </c>
      <c r="BT82" s="173">
        <f t="shared" si="106"/>
        <v>9.984581134848554</v>
      </c>
      <c r="BU82" s="173">
        <f t="shared" si="107"/>
        <v>10.194257338680371</v>
      </c>
      <c r="BV82" s="173">
        <f t="shared" si="108"/>
        <v>10.408336742792658</v>
      </c>
      <c r="BW82" s="173">
        <f t="shared" si="109"/>
        <v>10.626911814391304</v>
      </c>
      <c r="BX82" s="173">
        <f t="shared" si="110"/>
        <v>10.850076962493521</v>
      </c>
      <c r="BY82" s="173">
        <f t="shared" si="111"/>
        <v>11.077928578705883</v>
      </c>
      <c r="BZ82" s="173">
        <f t="shared" si="112"/>
        <v>11.310565078858703</v>
      </c>
      <c r="CA82" s="173">
        <f t="shared" si="113"/>
        <v>11.548086945514735</v>
      </c>
    </row>
    <row r="83" spans="2:79">
      <c r="B83" s="96" t="s">
        <v>48</v>
      </c>
      <c r="C83" s="96">
        <v>0</v>
      </c>
      <c r="D83" s="96">
        <v>0</v>
      </c>
      <c r="E83" s="96">
        <v>39180.85</v>
      </c>
      <c r="F83" s="96">
        <v>361.25</v>
      </c>
      <c r="P83" s="96" t="s">
        <v>16</v>
      </c>
      <c r="Q83" s="170">
        <v>140226.27000000005</v>
      </c>
      <c r="R83" s="170">
        <v>143591.70048000006</v>
      </c>
      <c r="S83" s="170">
        <v>146607.12619008005</v>
      </c>
      <c r="T83" s="170">
        <v>149685.87584007171</v>
      </c>
      <c r="U83" s="170">
        <v>152829.27923271319</v>
      </c>
      <c r="V83" s="170">
        <v>156038.69409660017</v>
      </c>
      <c r="W83" s="170">
        <v>159315.50667262875</v>
      </c>
      <c r="X83" s="170">
        <v>162661.13231275394</v>
      </c>
      <c r="Y83" s="170">
        <v>166077.01609132177</v>
      </c>
      <c r="Z83" s="170">
        <v>169564.63342923947</v>
      </c>
      <c r="AB83" s="96" t="s">
        <v>16</v>
      </c>
      <c r="AC83" s="96">
        <v>1503</v>
      </c>
      <c r="AE83" s="96">
        <f t="shared" si="82"/>
        <v>93.297584830339346</v>
      </c>
      <c r="AF83" s="96">
        <f t="shared" si="83"/>
        <v>95.5367268662675</v>
      </c>
      <c r="AG83" s="96">
        <f t="shared" si="84"/>
        <v>97.542998130459111</v>
      </c>
      <c r="AH83" s="96">
        <f t="shared" si="85"/>
        <v>99.591401091198733</v>
      </c>
      <c r="AI83" s="96">
        <f t="shared" si="86"/>
        <v>101.6828205141139</v>
      </c>
      <c r="AJ83" s="96">
        <f t="shared" si="87"/>
        <v>103.81815974491029</v>
      </c>
      <c r="AK83" s="96">
        <f t="shared" si="88"/>
        <v>105.99834109955339</v>
      </c>
      <c r="AL83" s="96">
        <f t="shared" si="89"/>
        <v>108.22430626264401</v>
      </c>
      <c r="AM83" s="96">
        <f t="shared" si="90"/>
        <v>110.49701669415953</v>
      </c>
      <c r="AN83" s="96">
        <f t="shared" si="91"/>
        <v>112.81745404473685</v>
      </c>
      <c r="AS83" s="96" t="s">
        <v>16</v>
      </c>
      <c r="AT83" s="96">
        <f t="shared" si="93"/>
        <v>10.010830852295413</v>
      </c>
      <c r="AU83" s="96">
        <f t="shared" si="94"/>
        <v>10.251090792750503</v>
      </c>
      <c r="AV83" s="96">
        <f t="shared" si="95"/>
        <v>10.466363699398263</v>
      </c>
      <c r="AW83" s="96">
        <f t="shared" si="96"/>
        <v>10.686157337085625</v>
      </c>
      <c r="AX83" s="96">
        <f t="shared" si="97"/>
        <v>10.910566641164422</v>
      </c>
      <c r="AY83" s="96">
        <f t="shared" si="98"/>
        <v>11.139688540628875</v>
      </c>
      <c r="AZ83" s="96">
        <f t="shared" si="99"/>
        <v>11.373621999982079</v>
      </c>
      <c r="BA83" s="96">
        <f t="shared" si="100"/>
        <v>11.612468061981703</v>
      </c>
      <c r="BB83" s="96">
        <f t="shared" si="101"/>
        <v>11.856329891283318</v>
      </c>
      <c r="BC83" s="96">
        <f t="shared" si="102"/>
        <v>12.105312819000265</v>
      </c>
      <c r="BE83" s="169">
        <f t="shared" si="103"/>
        <v>10.889219774996562</v>
      </c>
      <c r="BQ83" s="81" t="s">
        <v>54</v>
      </c>
      <c r="BR83" s="173">
        <f t="shared" si="104"/>
        <v>0</v>
      </c>
      <c r="BS83" s="173">
        <f t="shared" si="105"/>
        <v>0</v>
      </c>
      <c r="BT83" s="173">
        <f t="shared" si="106"/>
        <v>0</v>
      </c>
      <c r="BU83" s="173">
        <f t="shared" si="107"/>
        <v>0</v>
      </c>
      <c r="BV83" s="173">
        <f t="shared" si="108"/>
        <v>0</v>
      </c>
      <c r="BW83" s="173">
        <f t="shared" si="109"/>
        <v>0</v>
      </c>
      <c r="BX83" s="173">
        <f t="shared" si="110"/>
        <v>0</v>
      </c>
      <c r="BY83" s="173">
        <f t="shared" si="111"/>
        <v>0</v>
      </c>
      <c r="BZ83" s="173">
        <f t="shared" si="112"/>
        <v>0</v>
      </c>
      <c r="CA83" s="173">
        <f t="shared" si="113"/>
        <v>0</v>
      </c>
    </row>
    <row r="84" spans="2:79">
      <c r="B84" s="96" t="s">
        <v>48</v>
      </c>
      <c r="C84" s="96">
        <v>0</v>
      </c>
      <c r="D84" s="96">
        <v>0</v>
      </c>
      <c r="E84" s="96">
        <v>64965.48</v>
      </c>
      <c r="F84" s="96">
        <v>361.25</v>
      </c>
      <c r="P84" s="96" t="s">
        <v>29</v>
      </c>
      <c r="Q84" s="170">
        <v>67130.83</v>
      </c>
      <c r="R84" s="170">
        <v>68741.969920000003</v>
      </c>
      <c r="S84" s="170">
        <v>70185.551288319999</v>
      </c>
      <c r="T84" s="170">
        <v>71659.447865374706</v>
      </c>
      <c r="U84" s="170">
        <v>73164.296270547566</v>
      </c>
      <c r="V84" s="170">
        <v>74700.746492229067</v>
      </c>
      <c r="W84" s="170">
        <v>76269.462168565864</v>
      </c>
      <c r="X84" s="170">
        <v>77871.120874105749</v>
      </c>
      <c r="Y84" s="170">
        <v>79506.414412461963</v>
      </c>
      <c r="Z84" s="170">
        <v>81176.049115123649</v>
      </c>
      <c r="AB84" s="96" t="s">
        <v>29</v>
      </c>
      <c r="AC84" s="96">
        <v>1130</v>
      </c>
      <c r="AE84" s="96">
        <f t="shared" si="82"/>
        <v>59.407814159292037</v>
      </c>
      <c r="AF84" s="96">
        <f t="shared" si="83"/>
        <v>60.83360169911505</v>
      </c>
      <c r="AG84" s="96">
        <f t="shared" si="84"/>
        <v>62.111107334796458</v>
      </c>
      <c r="AH84" s="96">
        <f t="shared" si="85"/>
        <v>63.415440588827174</v>
      </c>
      <c r="AI84" s="96">
        <f t="shared" si="86"/>
        <v>64.747164841192543</v>
      </c>
      <c r="AJ84" s="96">
        <f t="shared" si="87"/>
        <v>66.106855302857582</v>
      </c>
      <c r="AK84" s="96">
        <f t="shared" si="88"/>
        <v>67.495099264217572</v>
      </c>
      <c r="AL84" s="96">
        <f t="shared" si="89"/>
        <v>68.912496348766155</v>
      </c>
      <c r="AM84" s="96">
        <f t="shared" si="90"/>
        <v>70.359658772090228</v>
      </c>
      <c r="AN84" s="96">
        <f t="shared" si="91"/>
        <v>71.837211606304109</v>
      </c>
      <c r="AS84" s="96" t="s">
        <v>29</v>
      </c>
      <c r="AT84" s="96">
        <f t="shared" si="93"/>
        <v>6.3744584592920361</v>
      </c>
      <c r="AU84" s="96">
        <f t="shared" si="94"/>
        <v>6.5274454623150451</v>
      </c>
      <c r="AV84" s="96">
        <f t="shared" si="95"/>
        <v>6.66452181702366</v>
      </c>
      <c r="AW84" s="96">
        <f t="shared" si="96"/>
        <v>6.8044767751811559</v>
      </c>
      <c r="AX84" s="96">
        <f t="shared" si="97"/>
        <v>6.9473707874599606</v>
      </c>
      <c r="AY84" s="96">
        <f t="shared" si="98"/>
        <v>7.0932655739966188</v>
      </c>
      <c r="AZ84" s="96">
        <f t="shared" si="99"/>
        <v>7.2422241510505456</v>
      </c>
      <c r="BA84" s="96">
        <f t="shared" si="100"/>
        <v>7.3943108582226085</v>
      </c>
      <c r="BB84" s="96">
        <f t="shared" si="101"/>
        <v>7.5495913862452815</v>
      </c>
      <c r="BC84" s="96">
        <f t="shared" si="102"/>
        <v>7.7081328053564313</v>
      </c>
      <c r="BE84" s="169">
        <f t="shared" si="103"/>
        <v>6.9337780384033838</v>
      </c>
      <c r="BQ84" s="81" t="s">
        <v>22</v>
      </c>
      <c r="BR84" s="173">
        <f t="shared" si="104"/>
        <v>0</v>
      </c>
      <c r="BS84" s="173">
        <f t="shared" si="105"/>
        <v>0</v>
      </c>
      <c r="BT84" s="173">
        <f t="shared" si="106"/>
        <v>0</v>
      </c>
      <c r="BU84" s="173">
        <f t="shared" si="107"/>
        <v>0</v>
      </c>
      <c r="BV84" s="173">
        <f t="shared" si="108"/>
        <v>0</v>
      </c>
      <c r="BW84" s="173">
        <f t="shared" si="109"/>
        <v>0</v>
      </c>
      <c r="BX84" s="173">
        <f t="shared" si="110"/>
        <v>0</v>
      </c>
      <c r="BY84" s="173">
        <f t="shared" si="111"/>
        <v>0</v>
      </c>
      <c r="BZ84" s="173">
        <f t="shared" si="112"/>
        <v>0</v>
      </c>
      <c r="CA84" s="173">
        <f t="shared" si="113"/>
        <v>0</v>
      </c>
    </row>
    <row r="85" spans="2:79">
      <c r="B85" s="96" t="s">
        <v>31</v>
      </c>
      <c r="C85" s="96">
        <v>299736.14</v>
      </c>
      <c r="D85" s="96">
        <v>199477.64</v>
      </c>
      <c r="E85" s="96">
        <v>211245.99</v>
      </c>
      <c r="F85" s="96">
        <v>117.3</v>
      </c>
      <c r="P85" s="96" t="s">
        <v>55</v>
      </c>
      <c r="Q85" s="170">
        <v>9548.7400000000016</v>
      </c>
      <c r="R85" s="170">
        <v>9777.9097600000023</v>
      </c>
      <c r="S85" s="170">
        <v>9983.2458649600012</v>
      </c>
      <c r="T85" s="170">
        <v>10192.894028124159</v>
      </c>
      <c r="U85" s="170">
        <v>10406.944802714766</v>
      </c>
      <c r="V85" s="170">
        <v>10625.490643571777</v>
      </c>
      <c r="W85" s="170">
        <v>10848.625947086783</v>
      </c>
      <c r="X85" s="170">
        <v>11076.447091975604</v>
      </c>
      <c r="Y85" s="170">
        <v>11309.05248090709</v>
      </c>
      <c r="Z85" s="170">
        <v>11546.542583006138</v>
      </c>
      <c r="AB85" s="96" t="s">
        <v>55</v>
      </c>
      <c r="AC85" s="96">
        <v>67.149999999999991</v>
      </c>
      <c r="AE85" s="96">
        <f t="shared" si="82"/>
        <v>142.20014892032768</v>
      </c>
      <c r="AF85" s="96">
        <f t="shared" si="83"/>
        <v>145.61295249441554</v>
      </c>
      <c r="AG85" s="96">
        <f t="shared" si="84"/>
        <v>148.67082449679825</v>
      </c>
      <c r="AH85" s="96">
        <f t="shared" si="85"/>
        <v>151.79291181123099</v>
      </c>
      <c r="AI85" s="96">
        <f t="shared" si="86"/>
        <v>154.98056295926682</v>
      </c>
      <c r="AJ85" s="96">
        <f t="shared" si="87"/>
        <v>158.23515478141144</v>
      </c>
      <c r="AK85" s="96">
        <f t="shared" si="88"/>
        <v>161.55809303182104</v>
      </c>
      <c r="AL85" s="96">
        <f t="shared" si="89"/>
        <v>164.95081298548928</v>
      </c>
      <c r="AM85" s="96">
        <f t="shared" si="90"/>
        <v>168.41478005818453</v>
      </c>
      <c r="AN85" s="96">
        <f t="shared" si="91"/>
        <v>171.9514904394064</v>
      </c>
      <c r="AS85" s="96" t="s">
        <v>55</v>
      </c>
      <c r="AT85" s="96">
        <f t="shared" si="93"/>
        <v>15.25807597915116</v>
      </c>
      <c r="AU85" s="96">
        <f t="shared" si="94"/>
        <v>15.624269802650788</v>
      </c>
      <c r="AV85" s="96">
        <f t="shared" si="95"/>
        <v>15.952379468506452</v>
      </c>
      <c r="AW85" s="96">
        <f t="shared" si="96"/>
        <v>16.287379437345088</v>
      </c>
      <c r="AX85" s="96">
        <f t="shared" si="97"/>
        <v>16.629414405529332</v>
      </c>
      <c r="AY85" s="96">
        <f t="shared" si="98"/>
        <v>16.978632108045449</v>
      </c>
      <c r="AZ85" s="96">
        <f t="shared" si="99"/>
        <v>17.335183382314398</v>
      </c>
      <c r="BA85" s="96">
        <f t="shared" si="100"/>
        <v>17.699222233343001</v>
      </c>
      <c r="BB85" s="96">
        <f t="shared" si="101"/>
        <v>18.070905900243201</v>
      </c>
      <c r="BC85" s="96">
        <f t="shared" si="102"/>
        <v>18.450394924148309</v>
      </c>
      <c r="BE85" s="169">
        <f t="shared" si="103"/>
        <v>16.596878434168747</v>
      </c>
      <c r="BQ85" s="81" t="s">
        <v>57</v>
      </c>
      <c r="BR85" s="173">
        <f t="shared" si="104"/>
        <v>0</v>
      </c>
      <c r="BS85" s="173">
        <f t="shared" si="105"/>
        <v>0</v>
      </c>
      <c r="BT85" s="173">
        <f t="shared" si="106"/>
        <v>0</v>
      </c>
      <c r="BU85" s="173">
        <f t="shared" si="107"/>
        <v>0</v>
      </c>
      <c r="BV85" s="173">
        <f t="shared" si="108"/>
        <v>0</v>
      </c>
      <c r="BW85" s="173">
        <f t="shared" si="109"/>
        <v>0</v>
      </c>
      <c r="BX85" s="173">
        <f t="shared" si="110"/>
        <v>0</v>
      </c>
      <c r="BY85" s="173">
        <f t="shared" si="111"/>
        <v>0</v>
      </c>
      <c r="BZ85" s="173">
        <f t="shared" si="112"/>
        <v>0</v>
      </c>
      <c r="CA85" s="173">
        <f t="shared" si="113"/>
        <v>0</v>
      </c>
    </row>
    <row r="86" spans="2:79">
      <c r="B86" s="96" t="s">
        <v>31</v>
      </c>
      <c r="C86" s="96">
        <v>220229.30000000002</v>
      </c>
      <c r="D86" s="96">
        <v>310865.92000000033</v>
      </c>
      <c r="E86" s="96">
        <v>121066.93999999999</v>
      </c>
      <c r="F86" s="96">
        <v>1348.95</v>
      </c>
      <c r="P86" s="96" t="s">
        <v>55</v>
      </c>
      <c r="Q86" s="170">
        <v>7113.4700000000012</v>
      </c>
      <c r="R86" s="170">
        <v>7284.1932800000013</v>
      </c>
      <c r="S86" s="170">
        <v>7437.1613388800015</v>
      </c>
      <c r="T86" s="170">
        <v>7593.3417269964802</v>
      </c>
      <c r="U86" s="170">
        <v>7752.8019032634047</v>
      </c>
      <c r="V86" s="170">
        <v>7915.6107432319368</v>
      </c>
      <c r="W86" s="170">
        <v>8081.8385688398057</v>
      </c>
      <c r="X86" s="170">
        <v>8251.5571787854424</v>
      </c>
      <c r="Y86" s="170">
        <v>8424.8398795399353</v>
      </c>
      <c r="Z86" s="170">
        <v>8601.7615170102727</v>
      </c>
      <c r="AB86" s="96" t="s">
        <v>55</v>
      </c>
      <c r="AC86" s="96">
        <v>229.5</v>
      </c>
      <c r="AE86" s="96">
        <f t="shared" si="82"/>
        <v>30.995511982570811</v>
      </c>
      <c r="AF86" s="96">
        <f t="shared" si="83"/>
        <v>31.739404270152512</v>
      </c>
      <c r="AG86" s="96">
        <f t="shared" si="84"/>
        <v>32.405931759825712</v>
      </c>
      <c r="AH86" s="96">
        <f t="shared" si="85"/>
        <v>33.086456326782049</v>
      </c>
      <c r="AI86" s="96">
        <f t="shared" si="86"/>
        <v>33.781271909644467</v>
      </c>
      <c r="AJ86" s="96">
        <f t="shared" si="87"/>
        <v>34.490678619747001</v>
      </c>
      <c r="AK86" s="96">
        <f t="shared" si="88"/>
        <v>35.214982870761681</v>
      </c>
      <c r="AL86" s="96">
        <f t="shared" si="89"/>
        <v>35.954497511047677</v>
      </c>
      <c r="AM86" s="96">
        <f t="shared" si="90"/>
        <v>36.709541958779674</v>
      </c>
      <c r="AN86" s="96">
        <f t="shared" si="91"/>
        <v>37.480442339914042</v>
      </c>
      <c r="AS86" s="96" t="s">
        <v>55</v>
      </c>
      <c r="AT86" s="96">
        <f t="shared" si="93"/>
        <v>3.3258184357298481</v>
      </c>
      <c r="AU86" s="96">
        <f t="shared" si="94"/>
        <v>3.4056380781873647</v>
      </c>
      <c r="AV86" s="96">
        <f t="shared" si="95"/>
        <v>3.4771564778292992</v>
      </c>
      <c r="AW86" s="96">
        <f t="shared" si="96"/>
        <v>3.5501767638637141</v>
      </c>
      <c r="AX86" s="96">
        <f t="shared" si="97"/>
        <v>3.6247304759048515</v>
      </c>
      <c r="AY86" s="96">
        <f t="shared" si="98"/>
        <v>3.7008498158988536</v>
      </c>
      <c r="AZ86" s="96">
        <f t="shared" si="99"/>
        <v>3.7785676620327284</v>
      </c>
      <c r="BA86" s="96">
        <f t="shared" si="100"/>
        <v>3.857917582935416</v>
      </c>
      <c r="BB86" s="96">
        <f t="shared" si="101"/>
        <v>3.9389338521770592</v>
      </c>
      <c r="BC86" s="96">
        <f t="shared" si="102"/>
        <v>4.0216514630727769</v>
      </c>
      <c r="BE86" s="169">
        <f t="shared" si="103"/>
        <v>3.6176385769312662</v>
      </c>
      <c r="BQ86" s="81" t="s">
        <v>59</v>
      </c>
      <c r="BR86" s="173">
        <f t="shared" si="104"/>
        <v>0</v>
      </c>
      <c r="BS86" s="173">
        <f t="shared" si="105"/>
        <v>0</v>
      </c>
      <c r="BT86" s="173">
        <f t="shared" si="106"/>
        <v>0</v>
      </c>
      <c r="BU86" s="173">
        <f t="shared" si="107"/>
        <v>0</v>
      </c>
      <c r="BV86" s="173">
        <f t="shared" si="108"/>
        <v>0</v>
      </c>
      <c r="BW86" s="173">
        <f t="shared" si="109"/>
        <v>0</v>
      </c>
      <c r="BX86" s="173">
        <f t="shared" si="110"/>
        <v>0</v>
      </c>
      <c r="BY86" s="173">
        <f t="shared" si="111"/>
        <v>0</v>
      </c>
      <c r="BZ86" s="173">
        <f t="shared" si="112"/>
        <v>0</v>
      </c>
      <c r="CA86" s="173">
        <f t="shared" si="113"/>
        <v>0</v>
      </c>
    </row>
    <row r="87" spans="2:79">
      <c r="B87" s="96" t="s">
        <v>31</v>
      </c>
      <c r="C87" s="96">
        <v>199022.03</v>
      </c>
      <c r="D87" s="96">
        <v>61170.889999999992</v>
      </c>
      <c r="E87" s="96">
        <v>0</v>
      </c>
      <c r="F87" s="96">
        <v>2520.25</v>
      </c>
      <c r="P87" s="96" t="s">
        <v>56</v>
      </c>
      <c r="Q87" s="170">
        <v>10195.369999999999</v>
      </c>
      <c r="R87" s="170">
        <v>10440.058879999999</v>
      </c>
      <c r="S87" s="170">
        <v>10659.300116479999</v>
      </c>
      <c r="T87" s="170">
        <v>10883.145418926077</v>
      </c>
      <c r="U87" s="170">
        <v>11111.691472723523</v>
      </c>
      <c r="V87" s="170">
        <v>11345.036993650718</v>
      </c>
      <c r="W87" s="170">
        <v>11583.28277051738</v>
      </c>
      <c r="X87" s="170">
        <v>11826.531708698245</v>
      </c>
      <c r="Y87" s="170">
        <v>12074.888874580907</v>
      </c>
      <c r="Z87" s="170">
        <v>12328.461540947104</v>
      </c>
      <c r="AB87" s="96" t="s">
        <v>56</v>
      </c>
      <c r="AC87" s="96">
        <v>264</v>
      </c>
      <c r="AE87" s="96">
        <f t="shared" si="82"/>
        <v>38.618825757575756</v>
      </c>
      <c r="AF87" s="96">
        <f t="shared" si="83"/>
        <v>39.545677575757573</v>
      </c>
      <c r="AG87" s="96">
        <f t="shared" si="84"/>
        <v>40.376136804848478</v>
      </c>
      <c r="AH87" s="96">
        <f t="shared" si="85"/>
        <v>41.224035677750294</v>
      </c>
      <c r="AI87" s="96">
        <f t="shared" si="86"/>
        <v>42.089740426983042</v>
      </c>
      <c r="AJ87" s="96">
        <f t="shared" si="87"/>
        <v>42.97362497594969</v>
      </c>
      <c r="AK87" s="96">
        <f t="shared" si="88"/>
        <v>43.876071100444619</v>
      </c>
      <c r="AL87" s="96">
        <f t="shared" si="89"/>
        <v>44.797468593553958</v>
      </c>
      <c r="AM87" s="96">
        <f t="shared" si="90"/>
        <v>45.738215434018585</v>
      </c>
      <c r="AN87" s="96">
        <f t="shared" si="91"/>
        <v>46.698717958132974</v>
      </c>
      <c r="AS87" s="96" t="s">
        <v>56</v>
      </c>
      <c r="AT87" s="96">
        <f t="shared" si="93"/>
        <v>4.143800003787879</v>
      </c>
      <c r="AU87" s="96">
        <f t="shared" si="94"/>
        <v>4.2432512038787875</v>
      </c>
      <c r="AV87" s="96">
        <f t="shared" si="95"/>
        <v>4.3323594791602416</v>
      </c>
      <c r="AW87" s="96">
        <f t="shared" si="96"/>
        <v>4.4233390282226068</v>
      </c>
      <c r="AX87" s="96">
        <f t="shared" si="97"/>
        <v>4.516229147815281</v>
      </c>
      <c r="AY87" s="96">
        <f t="shared" si="98"/>
        <v>4.6110699599194023</v>
      </c>
      <c r="AZ87" s="96">
        <f t="shared" si="99"/>
        <v>4.7079024290777083</v>
      </c>
      <c r="BA87" s="96">
        <f t="shared" si="100"/>
        <v>4.8067683800883403</v>
      </c>
      <c r="BB87" s="96">
        <f t="shared" si="101"/>
        <v>4.9077105160701944</v>
      </c>
      <c r="BC87" s="96">
        <f t="shared" si="102"/>
        <v>5.0107724369076685</v>
      </c>
      <c r="BE87" s="169">
        <f t="shared" si="103"/>
        <v>4.5073930037017336</v>
      </c>
      <c r="BQ87" s="81" t="s">
        <v>61</v>
      </c>
      <c r="BR87" s="173">
        <f t="shared" si="104"/>
        <v>0</v>
      </c>
      <c r="BS87" s="173">
        <f t="shared" si="105"/>
        <v>0</v>
      </c>
      <c r="BT87" s="173">
        <f t="shared" si="106"/>
        <v>0</v>
      </c>
      <c r="BU87" s="173">
        <f t="shared" si="107"/>
        <v>0</v>
      </c>
      <c r="BV87" s="173">
        <f t="shared" si="108"/>
        <v>0</v>
      </c>
      <c r="BW87" s="173">
        <f t="shared" si="109"/>
        <v>0</v>
      </c>
      <c r="BX87" s="173">
        <f t="shared" si="110"/>
        <v>0</v>
      </c>
      <c r="BY87" s="173">
        <f t="shared" si="111"/>
        <v>0</v>
      </c>
      <c r="BZ87" s="173">
        <f t="shared" si="112"/>
        <v>0</v>
      </c>
      <c r="CA87" s="173">
        <f t="shared" si="113"/>
        <v>0</v>
      </c>
    </row>
    <row r="88" spans="2:79">
      <c r="B88" s="96" t="s">
        <v>31</v>
      </c>
      <c r="C88" s="96">
        <v>124876.52</v>
      </c>
      <c r="D88" s="96">
        <v>181317.61999999994</v>
      </c>
      <c r="E88" s="96">
        <v>84639.049999999988</v>
      </c>
      <c r="F88" s="96">
        <v>739.5</v>
      </c>
      <c r="P88" s="96" t="s">
        <v>58</v>
      </c>
      <c r="Q88" s="170">
        <v>13564.9</v>
      </c>
      <c r="R88" s="170">
        <v>13890.4576</v>
      </c>
      <c r="S88" s="170">
        <v>14182.1572096</v>
      </c>
      <c r="T88" s="170">
        <v>14479.982511001597</v>
      </c>
      <c r="U88" s="170">
        <v>14784.062143732628</v>
      </c>
      <c r="V88" s="170">
        <v>15094.527448751014</v>
      </c>
      <c r="W88" s="170">
        <v>15411.512525174783</v>
      </c>
      <c r="X88" s="170">
        <v>15735.154288203452</v>
      </c>
      <c r="Y88" s="170">
        <v>16065.592528255724</v>
      </c>
      <c r="Z88" s="170">
        <v>16402.969971349092</v>
      </c>
      <c r="AB88" s="96" t="s">
        <v>58</v>
      </c>
      <c r="AC88" s="96">
        <v>494.7</v>
      </c>
      <c r="AE88" s="96">
        <f t="shared" si="82"/>
        <v>27.420456842530825</v>
      </c>
      <c r="AF88" s="96">
        <f t="shared" si="83"/>
        <v>28.078547806751565</v>
      </c>
      <c r="AG88" s="96">
        <f t="shared" si="84"/>
        <v>28.668197310693351</v>
      </c>
      <c r="AH88" s="96">
        <f t="shared" si="85"/>
        <v>29.270229454217905</v>
      </c>
      <c r="AI88" s="96">
        <f t="shared" si="86"/>
        <v>29.884904272756476</v>
      </c>
      <c r="AJ88" s="96">
        <f t="shared" si="87"/>
        <v>30.512487262484363</v>
      </c>
      <c r="AK88" s="96">
        <f t="shared" si="88"/>
        <v>31.15324949499653</v>
      </c>
      <c r="AL88" s="96">
        <f t="shared" si="89"/>
        <v>31.807467734391455</v>
      </c>
      <c r="AM88" s="96">
        <f t="shared" si="90"/>
        <v>32.475424556813671</v>
      </c>
      <c r="AN88" s="96">
        <f t="shared" si="91"/>
        <v>33.157408472506759</v>
      </c>
      <c r="AS88" s="96" t="s">
        <v>58</v>
      </c>
      <c r="AT88" s="96">
        <f t="shared" si="93"/>
        <v>2.9422150192035579</v>
      </c>
      <c r="AU88" s="96">
        <f t="shared" si="94"/>
        <v>3.0128281796644432</v>
      </c>
      <c r="AV88" s="96">
        <f t="shared" si="95"/>
        <v>3.0760975714373968</v>
      </c>
      <c r="AW88" s="96">
        <f t="shared" si="96"/>
        <v>3.1406956204375813</v>
      </c>
      <c r="AX88" s="96">
        <f t="shared" si="97"/>
        <v>3.2066502284667702</v>
      </c>
      <c r="AY88" s="96">
        <f t="shared" si="98"/>
        <v>3.2739898832645724</v>
      </c>
      <c r="AZ88" s="96">
        <f t="shared" si="99"/>
        <v>3.3427436708131277</v>
      </c>
      <c r="BA88" s="96">
        <f t="shared" si="100"/>
        <v>3.4129412879002032</v>
      </c>
      <c r="BB88" s="96">
        <f t="shared" si="101"/>
        <v>3.4846130549461072</v>
      </c>
      <c r="BC88" s="96">
        <f t="shared" si="102"/>
        <v>3.5577899290999753</v>
      </c>
      <c r="BE88" s="169">
        <f t="shared" si="103"/>
        <v>3.2003763166228199</v>
      </c>
      <c r="BQ88" s="81" t="s">
        <v>23</v>
      </c>
      <c r="BR88" s="173">
        <f t="shared" si="104"/>
        <v>7.0578180284561496</v>
      </c>
      <c r="BS88" s="173">
        <f t="shared" si="105"/>
        <v>7.2272056611390978</v>
      </c>
      <c r="BT88" s="173">
        <f t="shared" si="106"/>
        <v>7.3789769800230189</v>
      </c>
      <c r="BU88" s="173">
        <f t="shared" si="107"/>
        <v>7.533935496603501</v>
      </c>
      <c r="BV88" s="173">
        <f t="shared" si="108"/>
        <v>7.6921481420321731</v>
      </c>
      <c r="BW88" s="173">
        <f t="shared" si="109"/>
        <v>7.8536832530148493</v>
      </c>
      <c r="BX88" s="173">
        <f t="shared" si="110"/>
        <v>8.0186106013281595</v>
      </c>
      <c r="BY88" s="173">
        <f t="shared" si="111"/>
        <v>8.1870014239560511</v>
      </c>
      <c r="BZ88" s="173">
        <f t="shared" si="112"/>
        <v>8.3589284538591251</v>
      </c>
      <c r="CA88" s="173">
        <f t="shared" si="113"/>
        <v>8.5344659513901675</v>
      </c>
    </row>
    <row r="89" spans="2:79">
      <c r="B89" s="96" t="s">
        <v>31</v>
      </c>
      <c r="C89" s="96">
        <v>3800000</v>
      </c>
      <c r="D89" s="96">
        <v>0</v>
      </c>
      <c r="E89" s="96">
        <v>0</v>
      </c>
      <c r="F89" s="96">
        <v>5000</v>
      </c>
      <c r="P89" s="96" t="s">
        <v>58</v>
      </c>
      <c r="Q89" s="170">
        <v>458103.61999999994</v>
      </c>
      <c r="R89" s="170">
        <v>469098.10687999992</v>
      </c>
      <c r="S89" s="170">
        <v>478949.16712447995</v>
      </c>
      <c r="T89" s="170">
        <v>489007.09963409393</v>
      </c>
      <c r="U89" s="170">
        <v>499276.24872640986</v>
      </c>
      <c r="V89" s="170">
        <v>509761.04994966445</v>
      </c>
      <c r="W89" s="170">
        <v>520466.03199860733</v>
      </c>
      <c r="X89" s="170">
        <v>531395.81867057807</v>
      </c>
      <c r="Y89" s="170">
        <v>542555.13086266012</v>
      </c>
      <c r="Z89" s="170">
        <v>553948.78861077596</v>
      </c>
      <c r="AB89" s="96" t="s">
        <v>58</v>
      </c>
      <c r="AC89" s="96">
        <v>1866.6</v>
      </c>
      <c r="AE89" s="96">
        <f t="shared" si="82"/>
        <v>245.42141862209363</v>
      </c>
      <c r="AF89" s="96">
        <f t="shared" si="83"/>
        <v>251.31153266902388</v>
      </c>
      <c r="AG89" s="96">
        <f t="shared" si="84"/>
        <v>256.58907485507336</v>
      </c>
      <c r="AH89" s="96">
        <f t="shared" si="85"/>
        <v>261.97744542702986</v>
      </c>
      <c r="AI89" s="96">
        <f t="shared" si="86"/>
        <v>267.47897178099748</v>
      </c>
      <c r="AJ89" s="96">
        <f t="shared" si="87"/>
        <v>273.0960301883984</v>
      </c>
      <c r="AK89" s="96">
        <f t="shared" si="88"/>
        <v>278.83104682235472</v>
      </c>
      <c r="AL89" s="96">
        <f t="shared" si="89"/>
        <v>284.68649880562418</v>
      </c>
      <c r="AM89" s="96">
        <f t="shared" si="90"/>
        <v>290.66491528054223</v>
      </c>
      <c r="AN89" s="96">
        <f t="shared" si="91"/>
        <v>296.76887850143362</v>
      </c>
      <c r="AS89" s="96" t="s">
        <v>58</v>
      </c>
      <c r="AT89" s="96">
        <f t="shared" si="93"/>
        <v>26.333718218150647</v>
      </c>
      <c r="AU89" s="96">
        <f t="shared" si="94"/>
        <v>26.965727455386265</v>
      </c>
      <c r="AV89" s="96">
        <f t="shared" si="95"/>
        <v>27.532007731949374</v>
      </c>
      <c r="AW89" s="96">
        <f t="shared" si="96"/>
        <v>28.110179894320307</v>
      </c>
      <c r="AX89" s="96">
        <f t="shared" si="97"/>
        <v>28.700493672101032</v>
      </c>
      <c r="AY89" s="96">
        <f t="shared" si="98"/>
        <v>29.303204039215149</v>
      </c>
      <c r="AZ89" s="96">
        <f t="shared" si="99"/>
        <v>29.918571324038663</v>
      </c>
      <c r="BA89" s="96">
        <f t="shared" si="100"/>
        <v>30.546861321843476</v>
      </c>
      <c r="BB89" s="96">
        <f t="shared" si="101"/>
        <v>31.188345409602185</v>
      </c>
      <c r="BC89" s="96">
        <f t="shared" si="102"/>
        <v>31.843300663203831</v>
      </c>
      <c r="BE89" s="169">
        <f t="shared" si="103"/>
        <v>28.644340255186989</v>
      </c>
      <c r="BQ89" s="81" t="s">
        <v>24</v>
      </c>
      <c r="BR89" s="173">
        <f t="shared" si="104"/>
        <v>2.2119385401549123</v>
      </c>
      <c r="BS89" s="173">
        <f t="shared" si="105"/>
        <v>2.2650250651186297</v>
      </c>
      <c r="BT89" s="173">
        <f t="shared" si="106"/>
        <v>2.3125905914861216</v>
      </c>
      <c r="BU89" s="173">
        <f t="shared" si="107"/>
        <v>2.3611549939073293</v>
      </c>
      <c r="BV89" s="173">
        <f t="shared" si="108"/>
        <v>2.4107392487793828</v>
      </c>
      <c r="BW89" s="173">
        <f t="shared" si="109"/>
        <v>2.46136477300375</v>
      </c>
      <c r="BX89" s="173">
        <f t="shared" si="110"/>
        <v>2.5130534332368284</v>
      </c>
      <c r="BY89" s="173">
        <f t="shared" si="111"/>
        <v>2.5658275553348018</v>
      </c>
      <c r="BZ89" s="173">
        <f t="shared" si="112"/>
        <v>2.6197099339968322</v>
      </c>
      <c r="CA89" s="173">
        <f t="shared" si="113"/>
        <v>2.6747238426107653</v>
      </c>
    </row>
    <row r="90" spans="2:79">
      <c r="B90" s="96" t="s">
        <v>32</v>
      </c>
      <c r="C90" s="96">
        <v>46844.000000000007</v>
      </c>
      <c r="D90" s="96">
        <v>45247.45</v>
      </c>
      <c r="E90" s="96">
        <v>0</v>
      </c>
      <c r="F90" s="96">
        <v>647.69999999999993</v>
      </c>
      <c r="P90" s="96" t="s">
        <v>60</v>
      </c>
      <c r="Q90" s="170">
        <v>70451.06</v>
      </c>
      <c r="R90" s="170">
        <v>72141.885439999998</v>
      </c>
      <c r="S90" s="170">
        <v>73656.865034239992</v>
      </c>
      <c r="T90" s="170">
        <v>75203.659199959031</v>
      </c>
      <c r="U90" s="170">
        <v>76782.936043158159</v>
      </c>
      <c r="V90" s="170">
        <v>78395.377700064477</v>
      </c>
      <c r="W90" s="170">
        <v>80041.680631765819</v>
      </c>
      <c r="X90" s="170">
        <v>81722.555925032895</v>
      </c>
      <c r="Y90" s="170">
        <v>83438.729599458573</v>
      </c>
      <c r="Z90" s="170">
        <v>85190.942921047201</v>
      </c>
      <c r="AB90" s="96" t="s">
        <v>60</v>
      </c>
      <c r="AC90" s="96">
        <v>2440</v>
      </c>
      <c r="AE90" s="96">
        <f t="shared" si="82"/>
        <v>28.873385245901638</v>
      </c>
      <c r="AF90" s="96">
        <f t="shared" si="83"/>
        <v>29.566346491803277</v>
      </c>
      <c r="AG90" s="96">
        <f t="shared" si="84"/>
        <v>30.187239768131146</v>
      </c>
      <c r="AH90" s="96">
        <f t="shared" si="85"/>
        <v>30.821171803261898</v>
      </c>
      <c r="AI90" s="96">
        <f t="shared" si="86"/>
        <v>31.468416411130391</v>
      </c>
      <c r="AJ90" s="96">
        <f t="shared" si="87"/>
        <v>32.129253155764133</v>
      </c>
      <c r="AK90" s="96">
        <f t="shared" si="88"/>
        <v>32.803967472035168</v>
      </c>
      <c r="AL90" s="96">
        <f t="shared" si="89"/>
        <v>33.492850788947905</v>
      </c>
      <c r="AM90" s="96">
        <f t="shared" si="90"/>
        <v>34.19620065551581</v>
      </c>
      <c r="AN90" s="96">
        <f t="shared" si="91"/>
        <v>34.914320869281639</v>
      </c>
      <c r="AS90" s="96" t="s">
        <v>60</v>
      </c>
      <c r="AT90" s="96">
        <f t="shared" si="93"/>
        <v>3.0981142368852459</v>
      </c>
      <c r="AU90" s="96">
        <f t="shared" si="94"/>
        <v>3.1724689785704916</v>
      </c>
      <c r="AV90" s="96">
        <f t="shared" si="95"/>
        <v>3.2390908271204721</v>
      </c>
      <c r="AW90" s="96">
        <f t="shared" si="96"/>
        <v>3.3071117344900016</v>
      </c>
      <c r="AX90" s="96">
        <f t="shared" si="97"/>
        <v>3.3765610809142914</v>
      </c>
      <c r="AY90" s="96">
        <f t="shared" si="98"/>
        <v>3.4474688636134916</v>
      </c>
      <c r="AZ90" s="96">
        <f t="shared" si="99"/>
        <v>3.5198657097493737</v>
      </c>
      <c r="BA90" s="96">
        <f t="shared" si="100"/>
        <v>3.5937828896541104</v>
      </c>
      <c r="BB90" s="96">
        <f t="shared" si="101"/>
        <v>3.6692523303368465</v>
      </c>
      <c r="BC90" s="96">
        <f t="shared" si="102"/>
        <v>3.7463066292739202</v>
      </c>
      <c r="BE90" s="169">
        <f t="shared" si="103"/>
        <v>3.3699547331532207</v>
      </c>
      <c r="BQ90" s="81" t="s">
        <v>25</v>
      </c>
      <c r="BR90" s="173">
        <f t="shared" si="104"/>
        <v>0</v>
      </c>
      <c r="BS90" s="173">
        <f t="shared" si="105"/>
        <v>0</v>
      </c>
      <c r="BT90" s="173">
        <f t="shared" si="106"/>
        <v>0</v>
      </c>
      <c r="BU90" s="173">
        <f t="shared" si="107"/>
        <v>0</v>
      </c>
      <c r="BV90" s="173">
        <f t="shared" si="108"/>
        <v>0</v>
      </c>
      <c r="BW90" s="173">
        <f t="shared" si="109"/>
        <v>0</v>
      </c>
      <c r="BX90" s="173">
        <f t="shared" si="110"/>
        <v>0</v>
      </c>
      <c r="BY90" s="173">
        <f t="shared" si="111"/>
        <v>0</v>
      </c>
      <c r="BZ90" s="173">
        <f t="shared" si="112"/>
        <v>0</v>
      </c>
      <c r="CA90" s="173">
        <f t="shared" si="113"/>
        <v>0</v>
      </c>
    </row>
    <row r="91" spans="2:79">
      <c r="B91" s="96" t="s">
        <v>32</v>
      </c>
      <c r="C91" s="96">
        <v>71161.51999999999</v>
      </c>
      <c r="D91" s="96">
        <v>19848.430000000011</v>
      </c>
      <c r="E91" s="96">
        <v>4854.6800000000012</v>
      </c>
      <c r="F91" s="96">
        <v>727.6</v>
      </c>
      <c r="P91" s="96" t="s">
        <v>62</v>
      </c>
      <c r="Q91" s="170">
        <v>27915.82</v>
      </c>
      <c r="R91" s="170">
        <v>28585.79968</v>
      </c>
      <c r="S91" s="170">
        <v>29186.101473279999</v>
      </c>
      <c r="T91" s="170">
        <v>29799.009604218874</v>
      </c>
      <c r="U91" s="170">
        <v>30424.788805907468</v>
      </c>
      <c r="V91" s="170">
        <v>31063.709370831522</v>
      </c>
      <c r="W91" s="170">
        <v>31716.047267618982</v>
      </c>
      <c r="X91" s="170">
        <v>32382.084260238978</v>
      </c>
      <c r="Y91" s="170">
        <v>33062.108029703995</v>
      </c>
      <c r="Z91" s="170">
        <v>33756.41229832777</v>
      </c>
      <c r="AB91" s="96" t="s">
        <v>62</v>
      </c>
      <c r="AC91" s="96">
        <v>2752</v>
      </c>
      <c r="AE91" s="96">
        <f t="shared" si="82"/>
        <v>10.143829941860465</v>
      </c>
      <c r="AF91" s="96">
        <f t="shared" si="83"/>
        <v>10.387281860465116</v>
      </c>
      <c r="AG91" s="96">
        <f t="shared" si="84"/>
        <v>10.605414779534884</v>
      </c>
      <c r="AH91" s="96">
        <f t="shared" si="85"/>
        <v>10.828128489905113</v>
      </c>
      <c r="AI91" s="96">
        <f t="shared" si="86"/>
        <v>11.05551918819312</v>
      </c>
      <c r="AJ91" s="96">
        <f t="shared" si="87"/>
        <v>11.287685091145175</v>
      </c>
      <c r="AK91" s="96">
        <f t="shared" si="88"/>
        <v>11.524726478059224</v>
      </c>
      <c r="AL91" s="96">
        <f t="shared" si="89"/>
        <v>11.766745734098466</v>
      </c>
      <c r="AM91" s="96">
        <f t="shared" si="90"/>
        <v>12.013847394514533</v>
      </c>
      <c r="AN91" s="96">
        <f t="shared" si="91"/>
        <v>12.266138189799335</v>
      </c>
      <c r="AS91" s="96" t="s">
        <v>62</v>
      </c>
      <c r="AT91" s="96">
        <f t="shared" si="93"/>
        <v>1.0884329527616281</v>
      </c>
      <c r="AU91" s="96">
        <f t="shared" si="94"/>
        <v>1.114555343627907</v>
      </c>
      <c r="AV91" s="96">
        <f t="shared" si="95"/>
        <v>1.1379610058440932</v>
      </c>
      <c r="AW91" s="96">
        <f t="shared" si="96"/>
        <v>1.1618581869668188</v>
      </c>
      <c r="AX91" s="96">
        <f t="shared" si="97"/>
        <v>1.1862572088931218</v>
      </c>
      <c r="AY91" s="96">
        <f t="shared" si="98"/>
        <v>1.2111686102798773</v>
      </c>
      <c r="AZ91" s="96">
        <f t="shared" si="99"/>
        <v>1.2366031510957547</v>
      </c>
      <c r="BA91" s="96">
        <f t="shared" si="100"/>
        <v>1.2625718172687654</v>
      </c>
      <c r="BB91" s="96">
        <f t="shared" si="101"/>
        <v>1.2890858254314095</v>
      </c>
      <c r="BC91" s="96">
        <f t="shared" si="102"/>
        <v>1.3161566277654688</v>
      </c>
      <c r="BE91" s="169">
        <f t="shared" si="103"/>
        <v>1.1839362594216842</v>
      </c>
      <c r="BQ91" s="81" t="s">
        <v>27</v>
      </c>
      <c r="BR91" s="173">
        <f t="shared" si="104"/>
        <v>0</v>
      </c>
      <c r="BS91" s="173">
        <f t="shared" si="105"/>
        <v>0</v>
      </c>
      <c r="BT91" s="173">
        <f t="shared" si="106"/>
        <v>0</v>
      </c>
      <c r="BU91" s="173">
        <f t="shared" si="107"/>
        <v>0</v>
      </c>
      <c r="BV91" s="173">
        <f t="shared" si="108"/>
        <v>0</v>
      </c>
      <c r="BW91" s="173">
        <f t="shared" si="109"/>
        <v>0</v>
      </c>
      <c r="BX91" s="173">
        <f t="shared" si="110"/>
        <v>0</v>
      </c>
      <c r="BY91" s="173">
        <f t="shared" si="111"/>
        <v>0</v>
      </c>
      <c r="BZ91" s="173">
        <f t="shared" si="112"/>
        <v>0</v>
      </c>
      <c r="CA91" s="173">
        <f t="shared" si="113"/>
        <v>0</v>
      </c>
    </row>
    <row r="92" spans="2:79">
      <c r="B92" s="96" t="s">
        <v>32</v>
      </c>
      <c r="C92" s="96">
        <v>23991.070000000011</v>
      </c>
      <c r="D92" s="96">
        <v>11370.150000000003</v>
      </c>
      <c r="E92" s="96">
        <v>17744.020000000004</v>
      </c>
      <c r="F92" s="96">
        <v>113.05</v>
      </c>
      <c r="P92" s="96" t="s">
        <v>21</v>
      </c>
      <c r="Q92" s="170">
        <v>69249.41</v>
      </c>
      <c r="R92" s="170">
        <v>70911.395840000012</v>
      </c>
      <c r="S92" s="170">
        <v>72400.535152640005</v>
      </c>
      <c r="T92" s="170">
        <v>73920.946390845435</v>
      </c>
      <c r="U92" s="170">
        <v>75473.286265053175</v>
      </c>
      <c r="V92" s="170">
        <v>77058.225276619298</v>
      </c>
      <c r="W92" s="170">
        <v>78676.448007428291</v>
      </c>
      <c r="X92" s="170">
        <v>80328.653415584282</v>
      </c>
      <c r="Y92" s="170">
        <v>82015.55513731153</v>
      </c>
      <c r="Z92" s="170">
        <v>83737.881795195062</v>
      </c>
      <c r="AB92" s="96" t="s">
        <v>21</v>
      </c>
      <c r="AC92" s="96">
        <v>214</v>
      </c>
      <c r="AE92" s="96">
        <f t="shared" si="82"/>
        <v>323.5953738317757</v>
      </c>
      <c r="AF92" s="96">
        <f t="shared" si="83"/>
        <v>331.3616628037384</v>
      </c>
      <c r="AG92" s="96">
        <f t="shared" si="84"/>
        <v>338.32025772261682</v>
      </c>
      <c r="AH92" s="96">
        <f t="shared" si="85"/>
        <v>345.42498313479177</v>
      </c>
      <c r="AI92" s="96">
        <f t="shared" si="86"/>
        <v>352.6789077806223</v>
      </c>
      <c r="AJ92" s="96">
        <f t="shared" si="87"/>
        <v>360.08516484401542</v>
      </c>
      <c r="AK92" s="96">
        <f t="shared" si="88"/>
        <v>367.64695330573966</v>
      </c>
      <c r="AL92" s="96">
        <f t="shared" si="89"/>
        <v>375.36753932516018</v>
      </c>
      <c r="AM92" s="96">
        <f t="shared" si="90"/>
        <v>383.25025765098849</v>
      </c>
      <c r="AN92" s="96">
        <f t="shared" si="91"/>
        <v>391.29851306165915</v>
      </c>
      <c r="AS92" s="96" t="s">
        <v>21</v>
      </c>
      <c r="AT92" s="96">
        <f t="shared" si="93"/>
        <v>34.721783612149537</v>
      </c>
      <c r="AU92" s="96">
        <f t="shared" si="94"/>
        <v>35.555106418841135</v>
      </c>
      <c r="AV92" s="96">
        <f t="shared" si="95"/>
        <v>36.301763653636783</v>
      </c>
      <c r="AW92" s="96">
        <f t="shared" si="96"/>
        <v>37.064100690363162</v>
      </c>
      <c r="AX92" s="96">
        <f t="shared" si="97"/>
        <v>37.842446804860778</v>
      </c>
      <c r="AY92" s="96">
        <f t="shared" si="98"/>
        <v>38.637138187762858</v>
      </c>
      <c r="AZ92" s="96">
        <f t="shared" si="99"/>
        <v>39.448518089705871</v>
      </c>
      <c r="BA92" s="96">
        <f t="shared" si="100"/>
        <v>40.276936969589691</v>
      </c>
      <c r="BB92" s="96">
        <f t="shared" si="101"/>
        <v>41.122752645951067</v>
      </c>
      <c r="BC92" s="96">
        <f t="shared" si="102"/>
        <v>41.986330451516032</v>
      </c>
      <c r="BE92" s="169">
        <f t="shared" si="103"/>
        <v>37.768406869633232</v>
      </c>
      <c r="BQ92" s="81" t="s">
        <v>67</v>
      </c>
      <c r="BR92" s="173">
        <f t="shared" si="104"/>
        <v>0</v>
      </c>
      <c r="BS92" s="173">
        <f t="shared" si="105"/>
        <v>0</v>
      </c>
      <c r="BT92" s="173">
        <f t="shared" si="106"/>
        <v>0</v>
      </c>
      <c r="BU92" s="173">
        <f t="shared" si="107"/>
        <v>0</v>
      </c>
      <c r="BV92" s="173">
        <f t="shared" si="108"/>
        <v>0</v>
      </c>
      <c r="BW92" s="173">
        <f t="shared" si="109"/>
        <v>0</v>
      </c>
      <c r="BX92" s="173">
        <f t="shared" si="110"/>
        <v>0</v>
      </c>
      <c r="BY92" s="173">
        <f t="shared" si="111"/>
        <v>0</v>
      </c>
      <c r="BZ92" s="173">
        <f t="shared" si="112"/>
        <v>0</v>
      </c>
      <c r="CA92" s="173">
        <f t="shared" si="113"/>
        <v>0</v>
      </c>
    </row>
    <row r="93" spans="2:79">
      <c r="B93" s="96" t="s">
        <v>32</v>
      </c>
      <c r="P93" s="96" t="s">
        <v>21</v>
      </c>
      <c r="Q93" s="170">
        <v>9789.3199999999979</v>
      </c>
      <c r="R93" s="170">
        <v>10024.263679999998</v>
      </c>
      <c r="S93" s="170">
        <v>10234.773217279997</v>
      </c>
      <c r="T93" s="170">
        <v>10449.703454842876</v>
      </c>
      <c r="U93" s="170">
        <v>10669.147227394575</v>
      </c>
      <c r="V93" s="170">
        <v>10893.19931916986</v>
      </c>
      <c r="W93" s="170">
        <v>11121.956504872427</v>
      </c>
      <c r="X93" s="170">
        <v>11355.517591474747</v>
      </c>
      <c r="Y93" s="170">
        <v>11593.983460895715</v>
      </c>
      <c r="Z93" s="170">
        <v>11837.457113574523</v>
      </c>
      <c r="AB93" s="96" t="s">
        <v>21</v>
      </c>
      <c r="AC93" s="96">
        <v>313</v>
      </c>
      <c r="AE93" s="96">
        <f t="shared" si="82"/>
        <v>31.275782747603827</v>
      </c>
      <c r="AF93" s="96">
        <f t="shared" si="83"/>
        <v>32.02640153354632</v>
      </c>
      <c r="AG93" s="96">
        <f t="shared" si="84"/>
        <v>32.698955965750791</v>
      </c>
      <c r="AH93" s="96">
        <f t="shared" si="85"/>
        <v>33.385634041031551</v>
      </c>
      <c r="AI93" s="96">
        <f t="shared" si="86"/>
        <v>34.086732355893211</v>
      </c>
      <c r="AJ93" s="96">
        <f t="shared" si="87"/>
        <v>34.802553735366963</v>
      </c>
      <c r="AK93" s="96">
        <f t="shared" si="88"/>
        <v>35.533407363809673</v>
      </c>
      <c r="AL93" s="96">
        <f t="shared" si="89"/>
        <v>36.279608918449668</v>
      </c>
      <c r="AM93" s="96">
        <f t="shared" si="90"/>
        <v>37.041480705737108</v>
      </c>
      <c r="AN93" s="96">
        <f t="shared" si="91"/>
        <v>37.819351800557584</v>
      </c>
      <c r="AS93" s="96" t="s">
        <v>21</v>
      </c>
      <c r="AT93" s="96">
        <f t="shared" si="93"/>
        <v>3.3558914888178908</v>
      </c>
      <c r="AU93" s="96">
        <f t="shared" si="94"/>
        <v>3.4364328845495202</v>
      </c>
      <c r="AV93" s="96">
        <f t="shared" si="95"/>
        <v>3.5085979751250602</v>
      </c>
      <c r="AW93" s="96">
        <f t="shared" si="96"/>
        <v>3.5822785326026856</v>
      </c>
      <c r="AX93" s="96">
        <f t="shared" si="97"/>
        <v>3.6575063817873419</v>
      </c>
      <c r="AY93" s="96">
        <f t="shared" si="98"/>
        <v>3.7343140158048755</v>
      </c>
      <c r="AZ93" s="96">
        <f t="shared" si="99"/>
        <v>3.8127346101367783</v>
      </c>
      <c r="BA93" s="96">
        <f t="shared" si="100"/>
        <v>3.8928020369496497</v>
      </c>
      <c r="BB93" s="96">
        <f t="shared" si="101"/>
        <v>3.9745508797255917</v>
      </c>
      <c r="BC93" s="96">
        <f t="shared" si="102"/>
        <v>4.0580164481998287</v>
      </c>
      <c r="BE93" s="169">
        <f t="shared" si="103"/>
        <v>3.6503503557249077</v>
      </c>
      <c r="BQ93" s="81" t="s">
        <v>69</v>
      </c>
      <c r="BR93" s="173">
        <f t="shared" si="104"/>
        <v>0</v>
      </c>
      <c r="BS93" s="173">
        <f t="shared" si="105"/>
        <v>0</v>
      </c>
      <c r="BT93" s="173">
        <f t="shared" si="106"/>
        <v>0</v>
      </c>
      <c r="BU93" s="173">
        <f t="shared" si="107"/>
        <v>0</v>
      </c>
      <c r="BV93" s="173">
        <f t="shared" si="108"/>
        <v>0</v>
      </c>
      <c r="BW93" s="173">
        <f t="shared" si="109"/>
        <v>0</v>
      </c>
      <c r="BX93" s="173">
        <f t="shared" si="110"/>
        <v>0</v>
      </c>
      <c r="BY93" s="173">
        <f t="shared" si="111"/>
        <v>0</v>
      </c>
      <c r="BZ93" s="173">
        <f t="shared" si="112"/>
        <v>0</v>
      </c>
      <c r="CA93" s="173">
        <f t="shared" si="113"/>
        <v>0</v>
      </c>
    </row>
    <row r="94" spans="2:79">
      <c r="B94" s="96" t="s">
        <v>32</v>
      </c>
      <c r="C94" s="96">
        <v>366086.68000000011</v>
      </c>
      <c r="D94" s="96">
        <v>20778.410000000003</v>
      </c>
      <c r="E94" s="96">
        <v>0</v>
      </c>
      <c r="F94" s="96">
        <v>1955</v>
      </c>
      <c r="P94" s="96" t="s">
        <v>21</v>
      </c>
      <c r="Q94" s="170">
        <v>3467.0099999999998</v>
      </c>
      <c r="R94" s="170">
        <v>3550.2182399999997</v>
      </c>
      <c r="S94" s="170">
        <v>3624.7728230399998</v>
      </c>
      <c r="T94" s="170">
        <v>3700.8930523238391</v>
      </c>
      <c r="U94" s="170">
        <v>3778.6118064226393</v>
      </c>
      <c r="V94" s="170">
        <v>3857.9626543575146</v>
      </c>
      <c r="W94" s="170">
        <v>3938.9798700990218</v>
      </c>
      <c r="X94" s="170">
        <v>4021.6984473711013</v>
      </c>
      <c r="Y94" s="170">
        <v>4106.1541147658936</v>
      </c>
      <c r="Z94" s="170">
        <v>4192.3833511759767</v>
      </c>
      <c r="AB94" s="96" t="s">
        <v>21</v>
      </c>
      <c r="AC94" s="96">
        <v>400</v>
      </c>
      <c r="AE94" s="96">
        <f t="shared" si="82"/>
        <v>8.6675249999999995</v>
      </c>
      <c r="AF94" s="96">
        <f t="shared" si="83"/>
        <v>8.8755455999999988</v>
      </c>
      <c r="AG94" s="96">
        <f t="shared" si="84"/>
        <v>9.0619320576</v>
      </c>
      <c r="AH94" s="96">
        <f t="shared" si="85"/>
        <v>9.2522326308095977</v>
      </c>
      <c r="AI94" s="96">
        <f t="shared" si="86"/>
        <v>9.4465295160565983</v>
      </c>
      <c r="AJ94" s="96">
        <f t="shared" si="87"/>
        <v>9.6449066358937863</v>
      </c>
      <c r="AK94" s="96">
        <f t="shared" si="88"/>
        <v>9.8474496752475549</v>
      </c>
      <c r="AL94" s="96">
        <f t="shared" si="89"/>
        <v>10.054246118427754</v>
      </c>
      <c r="AM94" s="96">
        <f t="shared" si="90"/>
        <v>10.265385286914734</v>
      </c>
      <c r="AN94" s="96">
        <f t="shared" si="91"/>
        <v>10.480958377939942</v>
      </c>
      <c r="AS94" s="96" t="s">
        <v>21</v>
      </c>
      <c r="AT94" s="96">
        <f t="shared" si="93"/>
        <v>0.93002543250000003</v>
      </c>
      <c r="AU94" s="96">
        <f t="shared" si="94"/>
        <v>0.95234604287999991</v>
      </c>
      <c r="AV94" s="96">
        <f t="shared" si="95"/>
        <v>0.97234530978048006</v>
      </c>
      <c r="AW94" s="96">
        <f t="shared" si="96"/>
        <v>0.99276456128586987</v>
      </c>
      <c r="AX94" s="96">
        <f t="shared" si="97"/>
        <v>1.013612617072873</v>
      </c>
      <c r="AY94" s="96">
        <f t="shared" si="98"/>
        <v>1.0348984820314033</v>
      </c>
      <c r="AZ94" s="96">
        <f t="shared" si="99"/>
        <v>1.0566313501540627</v>
      </c>
      <c r="BA94" s="96">
        <f t="shared" si="100"/>
        <v>1.078820608507298</v>
      </c>
      <c r="BB94" s="96">
        <f t="shared" si="101"/>
        <v>1.1014758412859511</v>
      </c>
      <c r="BC94" s="96">
        <f t="shared" si="102"/>
        <v>1.1246068339529558</v>
      </c>
      <c r="BE94" s="169">
        <f t="shared" si="103"/>
        <v>1.0116294521654638</v>
      </c>
      <c r="BQ94" s="81" t="s">
        <v>28</v>
      </c>
      <c r="BR94" s="173">
        <f t="shared" si="104"/>
        <v>0</v>
      </c>
      <c r="BS94" s="173">
        <f t="shared" si="105"/>
        <v>0</v>
      </c>
      <c r="BT94" s="173">
        <f t="shared" si="106"/>
        <v>0</v>
      </c>
      <c r="BU94" s="173">
        <f t="shared" si="107"/>
        <v>0</v>
      </c>
      <c r="BV94" s="173">
        <f t="shared" si="108"/>
        <v>0</v>
      </c>
      <c r="BW94" s="173">
        <f t="shared" si="109"/>
        <v>0</v>
      </c>
      <c r="BX94" s="173">
        <f t="shared" si="110"/>
        <v>0</v>
      </c>
      <c r="BY94" s="173">
        <f t="shared" si="111"/>
        <v>0</v>
      </c>
      <c r="BZ94" s="173">
        <f t="shared" si="112"/>
        <v>0</v>
      </c>
      <c r="CA94" s="173">
        <f t="shared" si="113"/>
        <v>0</v>
      </c>
    </row>
    <row r="95" spans="2:79">
      <c r="B95" s="96" t="s">
        <v>32</v>
      </c>
      <c r="C95" s="96">
        <v>112185.43</v>
      </c>
      <c r="D95" s="96">
        <v>15163.670000000002</v>
      </c>
      <c r="E95" s="96">
        <v>0</v>
      </c>
      <c r="F95" s="96">
        <v>2847.5</v>
      </c>
      <c r="P95" s="96" t="s">
        <v>23</v>
      </c>
      <c r="Q95" s="170">
        <v>77435.380000000019</v>
      </c>
      <c r="R95" s="170">
        <v>79293.829120000024</v>
      </c>
      <c r="S95" s="170">
        <v>80958.999531520021</v>
      </c>
      <c r="T95" s="170">
        <v>82659.138521681933</v>
      </c>
      <c r="U95" s="170">
        <v>84394.980430637239</v>
      </c>
      <c r="V95" s="170">
        <v>86167.275019680616</v>
      </c>
      <c r="W95" s="170">
        <v>87976.7877950939</v>
      </c>
      <c r="X95" s="170">
        <v>89824.300338790868</v>
      </c>
      <c r="Y95" s="170">
        <v>91710.610645905457</v>
      </c>
      <c r="Z95" s="170">
        <v>93636.533469469461</v>
      </c>
      <c r="AB95" s="96" t="s">
        <v>23</v>
      </c>
      <c r="AC95" s="96">
        <v>1177.25</v>
      </c>
      <c r="AE95" s="96">
        <f t="shared" si="82"/>
        <v>65.776496071352739</v>
      </c>
      <c r="AF95" s="96">
        <f t="shared" si="83"/>
        <v>67.355131977065213</v>
      </c>
      <c r="AG95" s="96">
        <f t="shared" si="84"/>
        <v>68.769589748583584</v>
      </c>
      <c r="AH95" s="96">
        <f t="shared" si="85"/>
        <v>70.21375113330383</v>
      </c>
      <c r="AI95" s="96">
        <f t="shared" si="86"/>
        <v>71.688239907103195</v>
      </c>
      <c r="AJ95" s="96">
        <f t="shared" si="87"/>
        <v>73.193692945152364</v>
      </c>
      <c r="AK95" s="96">
        <f t="shared" si="88"/>
        <v>74.730760497000546</v>
      </c>
      <c r="AL95" s="96">
        <f t="shared" si="89"/>
        <v>76.300106467437558</v>
      </c>
      <c r="AM95" s="96">
        <f t="shared" si="90"/>
        <v>77.902408703253727</v>
      </c>
      <c r="AN95" s="96">
        <f t="shared" si="91"/>
        <v>79.538359286022057</v>
      </c>
      <c r="AS95" s="96" t="s">
        <v>23</v>
      </c>
      <c r="AT95" s="96">
        <f t="shared" si="93"/>
        <v>7.0578180284561496</v>
      </c>
      <c r="AU95" s="96">
        <f t="shared" si="94"/>
        <v>7.2272056611390978</v>
      </c>
      <c r="AV95" s="96">
        <f t="shared" si="95"/>
        <v>7.3789769800230189</v>
      </c>
      <c r="AW95" s="96">
        <f t="shared" si="96"/>
        <v>7.533935496603501</v>
      </c>
      <c r="AX95" s="96">
        <f t="shared" si="97"/>
        <v>7.6921481420321731</v>
      </c>
      <c r="AY95" s="96">
        <f t="shared" si="98"/>
        <v>7.8536832530148493</v>
      </c>
      <c r="AZ95" s="96">
        <f t="shared" si="99"/>
        <v>8.0186106013281595</v>
      </c>
      <c r="BA95" s="96">
        <f t="shared" si="100"/>
        <v>8.1870014239560511</v>
      </c>
      <c r="BB95" s="96">
        <f t="shared" si="101"/>
        <v>8.3589284538591251</v>
      </c>
      <c r="BC95" s="96">
        <f t="shared" si="102"/>
        <v>8.5344659513901675</v>
      </c>
      <c r="BE95" s="169">
        <f t="shared" si="103"/>
        <v>7.6770982126992848</v>
      </c>
      <c r="BQ95" s="81" t="s">
        <v>29</v>
      </c>
      <c r="BR95" s="173">
        <f t="shared" si="104"/>
        <v>6.3744584592920361</v>
      </c>
      <c r="BS95" s="173">
        <f t="shared" si="105"/>
        <v>6.5274454623150451</v>
      </c>
      <c r="BT95" s="173">
        <f t="shared" si="106"/>
        <v>6.66452181702366</v>
      </c>
      <c r="BU95" s="173">
        <f t="shared" si="107"/>
        <v>6.8044767751811559</v>
      </c>
      <c r="BV95" s="173">
        <f t="shared" si="108"/>
        <v>6.9473707874599606</v>
      </c>
      <c r="BW95" s="173">
        <f t="shared" si="109"/>
        <v>7.0932655739966188</v>
      </c>
      <c r="BX95" s="173">
        <f t="shared" si="110"/>
        <v>7.2422241510505456</v>
      </c>
      <c r="BY95" s="173">
        <f t="shared" si="111"/>
        <v>7.3943108582226085</v>
      </c>
      <c r="BZ95" s="173">
        <f t="shared" si="112"/>
        <v>7.5495913862452815</v>
      </c>
      <c r="CA95" s="173">
        <f t="shared" si="113"/>
        <v>7.7081328053564313</v>
      </c>
    </row>
    <row r="96" spans="2:79">
      <c r="B96" s="96" t="s">
        <v>32</v>
      </c>
      <c r="C96" s="96">
        <v>0</v>
      </c>
      <c r="D96" s="96">
        <v>1161.8500000000001</v>
      </c>
      <c r="E96" s="96">
        <v>0</v>
      </c>
      <c r="F96" s="96">
        <v>24.65</v>
      </c>
      <c r="P96" s="96" t="s">
        <v>34</v>
      </c>
      <c r="Q96" s="170">
        <v>215276.44999999998</v>
      </c>
      <c r="R96" s="170">
        <v>220443.08479999998</v>
      </c>
      <c r="S96" s="170">
        <v>225072.38958079997</v>
      </c>
      <c r="T96" s="170">
        <v>229798.90976199674</v>
      </c>
      <c r="U96" s="170">
        <v>234624.68686699864</v>
      </c>
      <c r="V96" s="170">
        <v>239551.80529120562</v>
      </c>
      <c r="W96" s="170">
        <v>244582.39320232091</v>
      </c>
      <c r="X96" s="170">
        <v>249718.62345956962</v>
      </c>
      <c r="Y96" s="170">
        <v>254962.71455222057</v>
      </c>
      <c r="Z96" s="170">
        <v>260316.93155781715</v>
      </c>
      <c r="AB96" s="96" t="s">
        <v>34</v>
      </c>
      <c r="AC96" s="96">
        <v>1057.3999999999999</v>
      </c>
      <c r="AE96" s="96">
        <f t="shared" si="82"/>
        <v>203.59036315490829</v>
      </c>
      <c r="AF96" s="96">
        <f t="shared" si="83"/>
        <v>208.47653187062608</v>
      </c>
      <c r="AG96" s="96">
        <f t="shared" si="84"/>
        <v>212.85453903990921</v>
      </c>
      <c r="AH96" s="96">
        <f t="shared" si="85"/>
        <v>217.32448435974726</v>
      </c>
      <c r="AI96" s="96">
        <f t="shared" si="86"/>
        <v>221.88829853130196</v>
      </c>
      <c r="AJ96" s="96">
        <f t="shared" si="87"/>
        <v>226.54795280045929</v>
      </c>
      <c r="AK96" s="96">
        <f t="shared" si="88"/>
        <v>231.30545980926891</v>
      </c>
      <c r="AL96" s="96">
        <f t="shared" si="89"/>
        <v>236.16287446526351</v>
      </c>
      <c r="AM96" s="96">
        <f t="shared" si="90"/>
        <v>241.12229482903405</v>
      </c>
      <c r="AN96" s="96">
        <f t="shared" si="91"/>
        <v>246.18586302044372</v>
      </c>
      <c r="AS96" s="96" t="s">
        <v>34</v>
      </c>
      <c r="AT96" s="96">
        <f t="shared" si="93"/>
        <v>21.845245966521659</v>
      </c>
      <c r="AU96" s="96">
        <f t="shared" si="94"/>
        <v>22.36953186971818</v>
      </c>
      <c r="AV96" s="96">
        <f t="shared" si="95"/>
        <v>22.839292038982261</v>
      </c>
      <c r="AW96" s="96">
        <f t="shared" si="96"/>
        <v>23.318917171800884</v>
      </c>
      <c r="AX96" s="96">
        <f t="shared" si="97"/>
        <v>23.808614432408703</v>
      </c>
      <c r="AY96" s="96">
        <f t="shared" si="98"/>
        <v>24.308595335489283</v>
      </c>
      <c r="AZ96" s="96">
        <f t="shared" si="99"/>
        <v>24.819075837534555</v>
      </c>
      <c r="BA96" s="96">
        <f t="shared" si="100"/>
        <v>25.340276430122778</v>
      </c>
      <c r="BB96" s="96">
        <f t="shared" si="101"/>
        <v>25.872422235155355</v>
      </c>
      <c r="BC96" s="96">
        <f t="shared" si="102"/>
        <v>26.415743102093614</v>
      </c>
      <c r="BE96" s="169">
        <f t="shared" si="103"/>
        <v>23.762032130806396</v>
      </c>
      <c r="BQ96" s="81" t="s">
        <v>30</v>
      </c>
      <c r="BR96" s="173">
        <f t="shared" si="104"/>
        <v>0</v>
      </c>
      <c r="BS96" s="173">
        <f t="shared" si="105"/>
        <v>0</v>
      </c>
      <c r="BT96" s="173">
        <f t="shared" si="106"/>
        <v>0</v>
      </c>
      <c r="BU96" s="173">
        <f t="shared" si="107"/>
        <v>0</v>
      </c>
      <c r="BV96" s="173">
        <f t="shared" si="108"/>
        <v>0</v>
      </c>
      <c r="BW96" s="173">
        <f t="shared" si="109"/>
        <v>0</v>
      </c>
      <c r="BX96" s="173">
        <f t="shared" si="110"/>
        <v>0</v>
      </c>
      <c r="BY96" s="173">
        <f t="shared" si="111"/>
        <v>0</v>
      </c>
      <c r="BZ96" s="173">
        <f t="shared" si="112"/>
        <v>0</v>
      </c>
      <c r="CA96" s="173">
        <f t="shared" si="113"/>
        <v>0</v>
      </c>
    </row>
    <row r="97" spans="2:79">
      <c r="B97" s="96" t="s">
        <v>63</v>
      </c>
      <c r="C97" s="96">
        <v>629519.54999999993</v>
      </c>
      <c r="D97" s="96">
        <v>202675.33000000007</v>
      </c>
      <c r="E97" s="96">
        <v>324683.18</v>
      </c>
      <c r="F97" s="96">
        <v>2425</v>
      </c>
      <c r="P97" s="96" t="s">
        <v>34</v>
      </c>
      <c r="Q97" s="170">
        <v>136715.80999999997</v>
      </c>
      <c r="R97" s="170">
        <v>139996.98943999998</v>
      </c>
      <c r="S97" s="170">
        <v>142936.92621823997</v>
      </c>
      <c r="T97" s="170">
        <v>145938.60166882299</v>
      </c>
      <c r="U97" s="170">
        <v>149003.31230386824</v>
      </c>
      <c r="V97" s="170">
        <v>152132.38186224949</v>
      </c>
      <c r="W97" s="170">
        <v>155327.1618813567</v>
      </c>
      <c r="X97" s="170">
        <v>158589.03228086518</v>
      </c>
      <c r="Y97" s="170">
        <v>161919.40195876334</v>
      </c>
      <c r="Z97" s="170">
        <v>165319.70939989734</v>
      </c>
      <c r="AB97" s="96" t="s">
        <v>34</v>
      </c>
      <c r="AC97" s="96">
        <v>1347.25</v>
      </c>
      <c r="AE97" s="96">
        <f t="shared" si="82"/>
        <v>101.47768417146035</v>
      </c>
      <c r="AF97" s="96">
        <f t="shared" si="83"/>
        <v>103.91314859157541</v>
      </c>
      <c r="AG97" s="96">
        <f t="shared" si="84"/>
        <v>106.09532471199849</v>
      </c>
      <c r="AH97" s="96">
        <f t="shared" si="85"/>
        <v>108.32332653095044</v>
      </c>
      <c r="AI97" s="96">
        <f t="shared" si="86"/>
        <v>110.59811638810038</v>
      </c>
      <c r="AJ97" s="96">
        <f t="shared" si="87"/>
        <v>112.92067683225051</v>
      </c>
      <c r="AK97" s="96">
        <f t="shared" si="88"/>
        <v>115.29201104572775</v>
      </c>
      <c r="AL97" s="96">
        <f t="shared" si="89"/>
        <v>117.71314327768802</v>
      </c>
      <c r="AM97" s="96">
        <f t="shared" si="90"/>
        <v>120.18511928651945</v>
      </c>
      <c r="AN97" s="96">
        <f t="shared" si="91"/>
        <v>122.70900679153635</v>
      </c>
      <c r="AS97" s="96" t="s">
        <v>34</v>
      </c>
      <c r="AT97" s="96">
        <f t="shared" si="93"/>
        <v>10.888555511597696</v>
      </c>
      <c r="AU97" s="96">
        <f t="shared" si="94"/>
        <v>11.149880843876042</v>
      </c>
      <c r="AV97" s="96">
        <f t="shared" si="95"/>
        <v>11.384028341597439</v>
      </c>
      <c r="AW97" s="96">
        <f t="shared" si="96"/>
        <v>11.623092936770982</v>
      </c>
      <c r="AX97" s="96">
        <f t="shared" si="97"/>
        <v>11.867177888443171</v>
      </c>
      <c r="AY97" s="96">
        <f t="shared" si="98"/>
        <v>12.11638862410048</v>
      </c>
      <c r="AZ97" s="96">
        <f t="shared" si="99"/>
        <v>12.370832785206588</v>
      </c>
      <c r="BA97" s="96">
        <f t="shared" si="100"/>
        <v>12.630620273695925</v>
      </c>
      <c r="BB97" s="96">
        <f t="shared" si="101"/>
        <v>12.895863299443539</v>
      </c>
      <c r="BC97" s="96">
        <f t="shared" si="102"/>
        <v>13.166676428731851</v>
      </c>
      <c r="BE97" s="169">
        <f t="shared" si="103"/>
        <v>11.843959382337452</v>
      </c>
      <c r="BQ97" s="81" t="s">
        <v>70</v>
      </c>
      <c r="BR97" s="173">
        <f t="shared" si="104"/>
        <v>0</v>
      </c>
      <c r="BS97" s="173">
        <f t="shared" si="105"/>
        <v>0</v>
      </c>
      <c r="BT97" s="173">
        <f t="shared" si="106"/>
        <v>0</v>
      </c>
      <c r="BU97" s="173">
        <f t="shared" si="107"/>
        <v>0</v>
      </c>
      <c r="BV97" s="173">
        <f t="shared" si="108"/>
        <v>0</v>
      </c>
      <c r="BW97" s="173">
        <f t="shared" si="109"/>
        <v>0</v>
      </c>
      <c r="BX97" s="173">
        <f t="shared" si="110"/>
        <v>0</v>
      </c>
      <c r="BY97" s="173">
        <f t="shared" si="111"/>
        <v>0</v>
      </c>
      <c r="BZ97" s="173">
        <f t="shared" si="112"/>
        <v>0</v>
      </c>
      <c r="CA97" s="173">
        <f t="shared" si="113"/>
        <v>0</v>
      </c>
    </row>
    <row r="98" spans="2:79">
      <c r="B98" s="96" t="s">
        <v>68</v>
      </c>
      <c r="C98" s="96">
        <v>185412.75000000003</v>
      </c>
      <c r="D98" s="96">
        <v>56425.700000000012</v>
      </c>
      <c r="E98" s="96">
        <v>181582.43999999997</v>
      </c>
      <c r="F98" s="96">
        <v>636.65</v>
      </c>
      <c r="P98" s="96" t="s">
        <v>34</v>
      </c>
      <c r="Q98" s="170">
        <v>44723.810000000005</v>
      </c>
      <c r="R98" s="170">
        <v>45797.181440000008</v>
      </c>
      <c r="S98" s="170">
        <v>46758.922250240008</v>
      </c>
      <c r="T98" s="170">
        <v>47740.859617495036</v>
      </c>
      <c r="U98" s="170">
        <v>48743.417669462426</v>
      </c>
      <c r="V98" s="170">
        <v>49767.029440521139</v>
      </c>
      <c r="W98" s="170">
        <v>50812.137058772074</v>
      </c>
      <c r="X98" s="170">
        <v>51879.191937006282</v>
      </c>
      <c r="Y98" s="170">
        <v>52968.654967683411</v>
      </c>
      <c r="Z98" s="170">
        <v>54080.996722004755</v>
      </c>
      <c r="AB98" s="96" t="s">
        <v>34</v>
      </c>
      <c r="AC98" s="96">
        <v>814.3</v>
      </c>
      <c r="AE98" s="96">
        <f t="shared" si="82"/>
        <v>54.923013631339813</v>
      </c>
      <c r="AF98" s="96">
        <f t="shared" si="83"/>
        <v>56.241165958491969</v>
      </c>
      <c r="AG98" s="96">
        <f t="shared" si="84"/>
        <v>57.4222304436203</v>
      </c>
      <c r="AH98" s="96">
        <f t="shared" si="85"/>
        <v>58.628097282936309</v>
      </c>
      <c r="AI98" s="96">
        <f t="shared" si="86"/>
        <v>59.859287325877965</v>
      </c>
      <c r="AJ98" s="96">
        <f t="shared" si="87"/>
        <v>61.116332359721405</v>
      </c>
      <c r="AK98" s="96">
        <f t="shared" si="88"/>
        <v>62.399775339275543</v>
      </c>
      <c r="AL98" s="96">
        <f t="shared" si="89"/>
        <v>63.710170621400323</v>
      </c>
      <c r="AM98" s="96">
        <f t="shared" si="90"/>
        <v>65.048084204449722</v>
      </c>
      <c r="AN98" s="96">
        <f t="shared" si="91"/>
        <v>66.41409397274316</v>
      </c>
      <c r="AS98" s="96" t="s">
        <v>34</v>
      </c>
      <c r="AT98" s="96">
        <f t="shared" si="93"/>
        <v>5.8932393626427624</v>
      </c>
      <c r="AU98" s="96">
        <f t="shared" si="94"/>
        <v>6.0346771073461882</v>
      </c>
      <c r="AV98" s="96">
        <f t="shared" si="95"/>
        <v>6.1614053266004589</v>
      </c>
      <c r="AW98" s="96">
        <f t="shared" si="96"/>
        <v>6.2907948384590666</v>
      </c>
      <c r="AX98" s="96">
        <f t="shared" si="97"/>
        <v>6.4229015300667056</v>
      </c>
      <c r="AY98" s="96">
        <f t="shared" si="98"/>
        <v>6.5577824621981069</v>
      </c>
      <c r="AZ98" s="96">
        <f t="shared" si="99"/>
        <v>6.6954958939042664</v>
      </c>
      <c r="BA98" s="96">
        <f t="shared" si="100"/>
        <v>6.8361013076762553</v>
      </c>
      <c r="BB98" s="96">
        <f t="shared" si="101"/>
        <v>6.9796594351374557</v>
      </c>
      <c r="BC98" s="96">
        <f t="shared" si="102"/>
        <v>7.1262322832753418</v>
      </c>
      <c r="BE98" s="169">
        <f t="shared" si="103"/>
        <v>6.4103349215777987</v>
      </c>
      <c r="BQ98" s="81" t="s">
        <v>31</v>
      </c>
      <c r="BR98" s="173">
        <f t="shared" si="104"/>
        <v>17.092442046339407</v>
      </c>
      <c r="BS98" s="173">
        <f t="shared" si="105"/>
        <v>17.50266065545155</v>
      </c>
      <c r="BT98" s="173">
        <f t="shared" si="106"/>
        <v>17.870216529216037</v>
      </c>
      <c r="BU98" s="173">
        <f t="shared" si="107"/>
        <v>18.245491076329568</v>
      </c>
      <c r="BV98" s="173">
        <f t="shared" si="108"/>
        <v>18.628646388932488</v>
      </c>
      <c r="BW98" s="173">
        <f t="shared" si="109"/>
        <v>19.019847963100073</v>
      </c>
      <c r="BX98" s="173">
        <f t="shared" si="110"/>
        <v>19.419264770325171</v>
      </c>
      <c r="BY98" s="173">
        <f t="shared" si="111"/>
        <v>19.827069330501999</v>
      </c>
      <c r="BZ98" s="173">
        <f t="shared" si="112"/>
        <v>20.243437786442534</v>
      </c>
      <c r="CA98" s="173">
        <f t="shared" si="113"/>
        <v>20.668549979957824</v>
      </c>
    </row>
    <row r="99" spans="2:79">
      <c r="B99" s="96" t="s">
        <v>68</v>
      </c>
      <c r="P99" s="96" t="s">
        <v>47</v>
      </c>
      <c r="Q99" s="170">
        <v>25238.61</v>
      </c>
      <c r="R99" s="170">
        <v>25844.336640000001</v>
      </c>
      <c r="S99" s="170">
        <v>26387.067709440002</v>
      </c>
      <c r="T99" s="170">
        <v>26941.196131338238</v>
      </c>
      <c r="U99" s="170">
        <v>27506.961250096334</v>
      </c>
      <c r="V99" s="170">
        <v>28084.607436348357</v>
      </c>
      <c r="W99" s="170">
        <v>28674.384192511669</v>
      </c>
      <c r="X99" s="170">
        <v>29276.546260554413</v>
      </c>
      <c r="Y99" s="170">
        <v>29891.353732026051</v>
      </c>
      <c r="Z99" s="170">
        <v>30519.072160398595</v>
      </c>
      <c r="AB99" s="96" t="s">
        <v>47</v>
      </c>
      <c r="AC99" s="96">
        <v>520.19999999999993</v>
      </c>
      <c r="AE99" s="96">
        <f t="shared" si="82"/>
        <v>48.517128027681672</v>
      </c>
      <c r="AF99" s="96">
        <f t="shared" si="83"/>
        <v>49.681539100346029</v>
      </c>
      <c r="AG99" s="96">
        <f t="shared" si="84"/>
        <v>50.724851421453295</v>
      </c>
      <c r="AH99" s="96">
        <f t="shared" si="85"/>
        <v>51.790073301303806</v>
      </c>
      <c r="AI99" s="96">
        <f t="shared" si="86"/>
        <v>52.877664840631176</v>
      </c>
      <c r="AJ99" s="96">
        <f t="shared" si="87"/>
        <v>53.988095802284427</v>
      </c>
      <c r="AK99" s="96">
        <f t="shared" si="88"/>
        <v>55.121845814132399</v>
      </c>
      <c r="AL99" s="96">
        <f t="shared" si="89"/>
        <v>56.279404576229176</v>
      </c>
      <c r="AM99" s="96">
        <f t="shared" si="90"/>
        <v>57.461272072329976</v>
      </c>
      <c r="AN99" s="96">
        <f t="shared" si="91"/>
        <v>58.667958785848903</v>
      </c>
      <c r="AS99" s="96" t="s">
        <v>47</v>
      </c>
      <c r="AT99" s="96">
        <f t="shared" si="93"/>
        <v>5.205887837370244</v>
      </c>
      <c r="AU99" s="96">
        <f t="shared" si="94"/>
        <v>5.3308291454671295</v>
      </c>
      <c r="AV99" s="96">
        <f t="shared" si="95"/>
        <v>5.4427765575219391</v>
      </c>
      <c r="AW99" s="96">
        <f t="shared" si="96"/>
        <v>5.5570748652298985</v>
      </c>
      <c r="AX99" s="96">
        <f t="shared" si="97"/>
        <v>5.6737734373997259</v>
      </c>
      <c r="AY99" s="96">
        <f t="shared" si="98"/>
        <v>5.7929226795851196</v>
      </c>
      <c r="AZ99" s="96">
        <f t="shared" si="99"/>
        <v>5.9145740558564066</v>
      </c>
      <c r="BA99" s="96">
        <f t="shared" si="100"/>
        <v>6.0387801110293911</v>
      </c>
      <c r="BB99" s="96">
        <f t="shared" si="101"/>
        <v>6.1655944933610067</v>
      </c>
      <c r="BC99" s="96">
        <f t="shared" si="102"/>
        <v>6.2950719777215873</v>
      </c>
      <c r="BE99" s="169">
        <f t="shared" si="103"/>
        <v>5.6626725215428033</v>
      </c>
      <c r="BQ99" s="81" t="s">
        <v>32</v>
      </c>
      <c r="BR99" s="173">
        <f t="shared" si="104"/>
        <v>1.9295474163565836</v>
      </c>
      <c r="BS99" s="173">
        <f t="shared" si="105"/>
        <v>1.9758565543491415</v>
      </c>
      <c r="BT99" s="173">
        <f t="shared" si="106"/>
        <v>2.0173495419904732</v>
      </c>
      <c r="BU99" s="173">
        <f t="shared" si="107"/>
        <v>2.0597138823722729</v>
      </c>
      <c r="BV99" s="173">
        <f t="shared" si="108"/>
        <v>2.1029678739020903</v>
      </c>
      <c r="BW99" s="173">
        <f t="shared" si="109"/>
        <v>2.1471301992540344</v>
      </c>
      <c r="BX99" s="173">
        <f t="shared" si="110"/>
        <v>2.192219933438369</v>
      </c>
      <c r="BY99" s="173">
        <f t="shared" si="111"/>
        <v>2.2382565520405748</v>
      </c>
      <c r="BZ99" s="173">
        <f t="shared" si="112"/>
        <v>2.2852599396334261</v>
      </c>
      <c r="CA99" s="173">
        <f t="shared" si="113"/>
        <v>2.3332503983657276</v>
      </c>
    </row>
    <row r="100" spans="2:79">
      <c r="B100" s="96" t="s">
        <v>68</v>
      </c>
      <c r="C100" s="96">
        <v>7533.279999999997</v>
      </c>
      <c r="D100" s="96">
        <v>39129.609999999986</v>
      </c>
      <c r="E100" s="96">
        <v>19385.43</v>
      </c>
      <c r="F100" s="96">
        <v>526.15</v>
      </c>
      <c r="P100" s="96" t="s">
        <v>48</v>
      </c>
      <c r="Q100" s="170">
        <v>965768.7</v>
      </c>
      <c r="R100" s="170">
        <v>988947.14879999997</v>
      </c>
      <c r="S100" s="170">
        <v>1009715.0389247999</v>
      </c>
      <c r="T100" s="170">
        <v>1030919.0547422206</v>
      </c>
      <c r="U100" s="170">
        <v>1052568.3548918071</v>
      </c>
      <c r="V100" s="170">
        <v>1074672.2903445349</v>
      </c>
      <c r="W100" s="170">
        <v>1097240.4084417701</v>
      </c>
      <c r="X100" s="170">
        <v>1120282.4570190471</v>
      </c>
      <c r="Y100" s="170">
        <v>1143808.3886164471</v>
      </c>
      <c r="Z100" s="170">
        <v>1167828.3647773922</v>
      </c>
      <c r="AB100" s="96" t="s">
        <v>48</v>
      </c>
      <c r="AC100" s="96">
        <v>3388.1</v>
      </c>
      <c r="AE100" s="96">
        <f t="shared" si="82"/>
        <v>285.04728313804196</v>
      </c>
      <c r="AF100" s="96">
        <f t="shared" si="83"/>
        <v>291.88841793335496</v>
      </c>
      <c r="AG100" s="96">
        <f t="shared" si="84"/>
        <v>298.01807470995539</v>
      </c>
      <c r="AH100" s="96">
        <f t="shared" si="85"/>
        <v>304.27645427886443</v>
      </c>
      <c r="AI100" s="96">
        <f t="shared" si="86"/>
        <v>310.66625981872056</v>
      </c>
      <c r="AJ100" s="96">
        <f t="shared" si="87"/>
        <v>317.19025127491363</v>
      </c>
      <c r="AK100" s="96">
        <f t="shared" si="88"/>
        <v>323.85124655168681</v>
      </c>
      <c r="AL100" s="96">
        <f t="shared" si="89"/>
        <v>330.65212272927221</v>
      </c>
      <c r="AM100" s="96">
        <f t="shared" si="90"/>
        <v>337.59581730658692</v>
      </c>
      <c r="AN100" s="96">
        <f t="shared" si="91"/>
        <v>344.68532947002518</v>
      </c>
      <c r="AS100" s="96" t="s">
        <v>48</v>
      </c>
      <c r="AT100" s="96">
        <f t="shared" si="93"/>
        <v>30.585573480711904</v>
      </c>
      <c r="AU100" s="96">
        <f t="shared" si="94"/>
        <v>31.319627244248988</v>
      </c>
      <c r="AV100" s="96">
        <f t="shared" si="95"/>
        <v>31.977339416378214</v>
      </c>
      <c r="AW100" s="96">
        <f t="shared" si="96"/>
        <v>32.648863544122158</v>
      </c>
      <c r="AX100" s="96">
        <f t="shared" si="97"/>
        <v>33.334489678548721</v>
      </c>
      <c r="AY100" s="96">
        <f t="shared" si="98"/>
        <v>34.034513961798233</v>
      </c>
      <c r="AZ100" s="96">
        <f t="shared" si="99"/>
        <v>34.749238754996</v>
      </c>
      <c r="BA100" s="96">
        <f t="shared" si="100"/>
        <v>35.478972768850909</v>
      </c>
      <c r="BB100" s="96">
        <f t="shared" si="101"/>
        <v>36.224031196996776</v>
      </c>
      <c r="BC100" s="96">
        <f t="shared" si="102"/>
        <v>36.984735852133703</v>
      </c>
      <c r="BE100" s="169">
        <f t="shared" si="103"/>
        <v>33.269269702964948</v>
      </c>
      <c r="BQ100" s="81" t="s">
        <v>33</v>
      </c>
      <c r="BR100" s="173">
        <f t="shared" si="104"/>
        <v>0</v>
      </c>
      <c r="BS100" s="173">
        <f t="shared" si="105"/>
        <v>0</v>
      </c>
      <c r="BT100" s="173">
        <f t="shared" si="106"/>
        <v>0</v>
      </c>
      <c r="BU100" s="173">
        <f t="shared" si="107"/>
        <v>0</v>
      </c>
      <c r="BV100" s="173">
        <f t="shared" si="108"/>
        <v>0</v>
      </c>
      <c r="BW100" s="173">
        <f t="shared" si="109"/>
        <v>0</v>
      </c>
      <c r="BX100" s="173">
        <f t="shared" si="110"/>
        <v>0</v>
      </c>
      <c r="BY100" s="173">
        <f t="shared" si="111"/>
        <v>0</v>
      </c>
      <c r="BZ100" s="173">
        <f t="shared" si="112"/>
        <v>0</v>
      </c>
      <c r="CA100" s="173">
        <f t="shared" si="113"/>
        <v>0</v>
      </c>
    </row>
    <row r="101" spans="2:79">
      <c r="B101" s="96" t="s">
        <v>64</v>
      </c>
      <c r="C101" s="96">
        <v>298101.70999999961</v>
      </c>
      <c r="D101" s="96">
        <v>36553.530000000006</v>
      </c>
      <c r="E101" s="96">
        <v>435883.68999999989</v>
      </c>
      <c r="F101" s="96">
        <v>1748</v>
      </c>
      <c r="P101" s="96" t="s">
        <v>31</v>
      </c>
      <c r="Q101" s="170">
        <v>199477.64</v>
      </c>
      <c r="R101" s="170">
        <v>204265.10336000001</v>
      </c>
      <c r="S101" s="170">
        <v>208554.67053056002</v>
      </c>
      <c r="T101" s="170">
        <v>212934.31861170175</v>
      </c>
      <c r="U101" s="170">
        <v>217405.93930254746</v>
      </c>
      <c r="V101" s="170">
        <v>221971.46402790095</v>
      </c>
      <c r="W101" s="170">
        <v>226632.86477248682</v>
      </c>
      <c r="X101" s="170">
        <v>231392.15493270903</v>
      </c>
      <c r="Y101" s="170">
        <v>236251.3901862959</v>
      </c>
      <c r="Z101" s="170">
        <v>241212.66938020807</v>
      </c>
      <c r="AB101" s="96" t="s">
        <v>31</v>
      </c>
      <c r="AC101" s="96">
        <v>117.3</v>
      </c>
      <c r="AE101" s="96">
        <f t="shared" si="82"/>
        <v>1700.5766410912192</v>
      </c>
      <c r="AF101" s="96">
        <f t="shared" si="83"/>
        <v>1741.3904804774086</v>
      </c>
      <c r="AG101" s="96">
        <f t="shared" si="84"/>
        <v>1777.9596805674341</v>
      </c>
      <c r="AH101" s="96">
        <f t="shared" si="85"/>
        <v>1815.29683385935</v>
      </c>
      <c r="AI101" s="96">
        <f t="shared" si="86"/>
        <v>1853.4180673703961</v>
      </c>
      <c r="AJ101" s="96">
        <f t="shared" si="87"/>
        <v>1892.3398467851744</v>
      </c>
      <c r="AK101" s="96">
        <f t="shared" si="88"/>
        <v>1932.0789835676626</v>
      </c>
      <c r="AL101" s="96">
        <f t="shared" si="89"/>
        <v>1972.6526422225834</v>
      </c>
      <c r="AM101" s="96">
        <f t="shared" si="90"/>
        <v>2014.0783477092575</v>
      </c>
      <c r="AN101" s="96">
        <f t="shared" si="91"/>
        <v>2056.3739930111515</v>
      </c>
      <c r="AS101" s="96" t="s">
        <v>31</v>
      </c>
      <c r="AT101" s="96">
        <f t="shared" si="93"/>
        <v>182.47187358908783</v>
      </c>
      <c r="AU101" s="96">
        <f t="shared" si="94"/>
        <v>186.85119855522595</v>
      </c>
      <c r="AV101" s="96">
        <f t="shared" si="95"/>
        <v>190.77507372488569</v>
      </c>
      <c r="AW101" s="96">
        <f t="shared" si="96"/>
        <v>194.78135027310827</v>
      </c>
      <c r="AX101" s="96">
        <f t="shared" si="97"/>
        <v>198.87175862884351</v>
      </c>
      <c r="AY101" s="96">
        <f t="shared" si="98"/>
        <v>203.04806556004922</v>
      </c>
      <c r="AZ101" s="96">
        <f t="shared" si="99"/>
        <v>207.31207493681021</v>
      </c>
      <c r="BA101" s="96">
        <f t="shared" si="100"/>
        <v>211.6656285104832</v>
      </c>
      <c r="BB101" s="96">
        <f t="shared" si="101"/>
        <v>216.11060670920335</v>
      </c>
      <c r="BC101" s="96">
        <f t="shared" si="102"/>
        <v>220.64892945009657</v>
      </c>
      <c r="BE101" s="169">
        <f t="shared" si="103"/>
        <v>198.48265978955871</v>
      </c>
      <c r="BQ101" s="81" t="s">
        <v>34</v>
      </c>
      <c r="BR101" s="173">
        <f t="shared" si="104"/>
        <v>13.224074406561146</v>
      </c>
      <c r="BS101" s="173">
        <f t="shared" si="105"/>
        <v>13.541452192318616</v>
      </c>
      <c r="BT101" s="173">
        <f t="shared" si="106"/>
        <v>13.825822688357302</v>
      </c>
      <c r="BU101" s="173">
        <f t="shared" si="107"/>
        <v>14.116164964812807</v>
      </c>
      <c r="BV101" s="173">
        <f t="shared" si="108"/>
        <v>14.412604429073872</v>
      </c>
      <c r="BW101" s="173">
        <f t="shared" si="109"/>
        <v>14.715269122084425</v>
      </c>
      <c r="BX101" s="173">
        <f t="shared" si="110"/>
        <v>15.024289773648196</v>
      </c>
      <c r="BY101" s="173">
        <f t="shared" si="111"/>
        <v>15.339799858894803</v>
      </c>
      <c r="BZ101" s="173">
        <f t="shared" si="112"/>
        <v>15.661935655931597</v>
      </c>
      <c r="CA101" s="173">
        <f t="shared" si="113"/>
        <v>15.990836304706157</v>
      </c>
    </row>
    <row r="102" spans="2:79">
      <c r="B102" s="96" t="s">
        <v>66</v>
      </c>
      <c r="C102" s="96">
        <v>77758.590000000011</v>
      </c>
      <c r="D102" s="96">
        <v>46697.069999999992</v>
      </c>
      <c r="E102" s="96">
        <v>512565.95999999985</v>
      </c>
      <c r="F102" s="96">
        <v>808</v>
      </c>
      <c r="P102" s="96" t="s">
        <v>31</v>
      </c>
      <c r="Q102" s="170">
        <v>310865.92000000033</v>
      </c>
      <c r="R102" s="170">
        <v>318326.70208000037</v>
      </c>
      <c r="S102" s="170">
        <v>325011.56282368035</v>
      </c>
      <c r="T102" s="170">
        <v>331836.80564297759</v>
      </c>
      <c r="U102" s="170">
        <v>338805.37856148009</v>
      </c>
      <c r="V102" s="170">
        <v>345920.29151127115</v>
      </c>
      <c r="W102" s="170">
        <v>353184.61763300782</v>
      </c>
      <c r="X102" s="170">
        <v>360601.49460330093</v>
      </c>
      <c r="Y102" s="170">
        <v>368174.12598997023</v>
      </c>
      <c r="Z102" s="170">
        <v>375905.7826357595</v>
      </c>
      <c r="AB102" s="96" t="s">
        <v>31</v>
      </c>
      <c r="AC102" s="96">
        <v>1348.95</v>
      </c>
      <c r="AE102" s="96">
        <f t="shared" si="82"/>
        <v>230.45029096704869</v>
      </c>
      <c r="AF102" s="96">
        <f t="shared" si="83"/>
        <v>235.98109795025786</v>
      </c>
      <c r="AG102" s="96">
        <f t="shared" si="84"/>
        <v>240.93670100721326</v>
      </c>
      <c r="AH102" s="96">
        <f t="shared" si="85"/>
        <v>245.99637172836472</v>
      </c>
      <c r="AI102" s="96">
        <f t="shared" si="86"/>
        <v>251.16229553466036</v>
      </c>
      <c r="AJ102" s="96">
        <f t="shared" si="87"/>
        <v>256.43670374088822</v>
      </c>
      <c r="AK102" s="96">
        <f t="shared" si="88"/>
        <v>261.82187451944685</v>
      </c>
      <c r="AL102" s="96">
        <f t="shared" si="89"/>
        <v>267.32013388435519</v>
      </c>
      <c r="AM102" s="96">
        <f t="shared" si="90"/>
        <v>272.93385669592664</v>
      </c>
      <c r="AN102" s="96">
        <f t="shared" si="91"/>
        <v>278.66546768654104</v>
      </c>
      <c r="AS102" s="96" t="s">
        <v>31</v>
      </c>
      <c r="AT102" s="96">
        <f t="shared" si="93"/>
        <v>24.727316220764326</v>
      </c>
      <c r="AU102" s="96">
        <f t="shared" si="94"/>
        <v>25.32077181006267</v>
      </c>
      <c r="AV102" s="96">
        <f t="shared" si="95"/>
        <v>25.852508018073983</v>
      </c>
      <c r="AW102" s="96">
        <f t="shared" si="96"/>
        <v>26.395410686453538</v>
      </c>
      <c r="AX102" s="96">
        <f t="shared" si="97"/>
        <v>26.949714310869059</v>
      </c>
      <c r="AY102" s="96">
        <f t="shared" si="98"/>
        <v>27.515658311397306</v>
      </c>
      <c r="AZ102" s="96">
        <f t="shared" si="99"/>
        <v>28.093487135936648</v>
      </c>
      <c r="BA102" s="96">
        <f t="shared" si="100"/>
        <v>28.683450365791312</v>
      </c>
      <c r="BB102" s="96">
        <f t="shared" si="101"/>
        <v>29.285802823472931</v>
      </c>
      <c r="BC102" s="96">
        <f t="shared" si="102"/>
        <v>29.900804682765855</v>
      </c>
      <c r="BE102" s="169">
        <f t="shared" si="103"/>
        <v>26.896986348740526</v>
      </c>
      <c r="BQ102" s="81" t="s">
        <v>71</v>
      </c>
      <c r="BR102" s="173">
        <f t="shared" si="104"/>
        <v>0</v>
      </c>
      <c r="BS102" s="173">
        <f t="shared" si="105"/>
        <v>0</v>
      </c>
      <c r="BT102" s="173">
        <f t="shared" si="106"/>
        <v>0</v>
      </c>
      <c r="BU102" s="173">
        <f t="shared" si="107"/>
        <v>0</v>
      </c>
      <c r="BV102" s="173">
        <f t="shared" si="108"/>
        <v>0</v>
      </c>
      <c r="BW102" s="173">
        <f t="shared" si="109"/>
        <v>0</v>
      </c>
      <c r="BX102" s="173">
        <f t="shared" si="110"/>
        <v>0</v>
      </c>
      <c r="BY102" s="173">
        <f t="shared" si="111"/>
        <v>0</v>
      </c>
      <c r="BZ102" s="173">
        <f t="shared" si="112"/>
        <v>0</v>
      </c>
      <c r="CA102" s="173">
        <f t="shared" si="113"/>
        <v>0</v>
      </c>
    </row>
    <row r="103" spans="2:79">
      <c r="B103" s="96" t="s">
        <v>19</v>
      </c>
      <c r="C103" s="96">
        <v>258161.25999999992</v>
      </c>
      <c r="D103" s="96">
        <v>13400.32</v>
      </c>
      <c r="E103" s="96">
        <v>402655.93999999989</v>
      </c>
      <c r="F103" s="96">
        <v>408</v>
      </c>
      <c r="P103" s="96" t="s">
        <v>31</v>
      </c>
      <c r="Q103" s="170">
        <v>61170.889999999992</v>
      </c>
      <c r="R103" s="170">
        <v>62638.991359999993</v>
      </c>
      <c r="S103" s="170">
        <v>63954.410178559992</v>
      </c>
      <c r="T103" s="170">
        <v>65297.452792309741</v>
      </c>
      <c r="U103" s="170">
        <v>66668.699300948239</v>
      </c>
      <c r="V103" s="170">
        <v>68068.741986268142</v>
      </c>
      <c r="W103" s="170">
        <v>69498.185567979774</v>
      </c>
      <c r="X103" s="170">
        <v>70957.647464907335</v>
      </c>
      <c r="Y103" s="170">
        <v>72447.758061670393</v>
      </c>
      <c r="Z103" s="170">
        <v>73969.160980965447</v>
      </c>
      <c r="AB103" s="96" t="s">
        <v>31</v>
      </c>
      <c r="AC103" s="96">
        <v>2520.25</v>
      </c>
      <c r="AE103" s="96">
        <f t="shared" ref="AE103:AE135" si="114">Q103/$AC103</f>
        <v>24.271754786231522</v>
      </c>
      <c r="AF103" s="96">
        <f t="shared" ref="AF103:AF135" si="115">R103/$AC103</f>
        <v>24.854276901101077</v>
      </c>
      <c r="AG103" s="96">
        <f t="shared" ref="AG103:AG135" si="116">S103/$AC103</f>
        <v>25.376216716024199</v>
      </c>
      <c r="AH103" s="96">
        <f t="shared" ref="AH103:AH135" si="117">T103/$AC103</f>
        <v>25.909117267060704</v>
      </c>
      <c r="AI103" s="96">
        <f t="shared" ref="AI103:AI135" si="118">U103/$AC103</f>
        <v>26.453208729668976</v>
      </c>
      <c r="AJ103" s="96">
        <f t="shared" ref="AJ103:AJ135" si="119">V103/$AC103</f>
        <v>27.008726112992022</v>
      </c>
      <c r="AK103" s="96">
        <f t="shared" ref="AK103:AK135" si="120">W103/$AC103</f>
        <v>27.575909361364854</v>
      </c>
      <c r="AL103" s="96">
        <f t="shared" ref="AL103:AL135" si="121">X103/$AC103</f>
        <v>28.155003457953512</v>
      </c>
      <c r="AM103" s="96">
        <f t="shared" ref="AM103:AM135" si="122">Y103/$AC103</f>
        <v>28.746258530570536</v>
      </c>
      <c r="AN103" s="96">
        <f t="shared" ref="AN103:AN135" si="123">Z103/$AC103</f>
        <v>29.349929959712508</v>
      </c>
      <c r="AS103" s="96" t="s">
        <v>31</v>
      </c>
      <c r="AT103" s="96">
        <f t="shared" si="93"/>
        <v>2.6043592885626423</v>
      </c>
      <c r="AU103" s="96">
        <f t="shared" si="94"/>
        <v>2.6668639114881456</v>
      </c>
      <c r="AV103" s="96">
        <f t="shared" si="95"/>
        <v>2.7228680536293965</v>
      </c>
      <c r="AW103" s="96">
        <f t="shared" si="96"/>
        <v>2.7800482827556139</v>
      </c>
      <c r="AX103" s="96">
        <f t="shared" si="97"/>
        <v>2.8384292966934814</v>
      </c>
      <c r="AY103" s="96">
        <f t="shared" si="98"/>
        <v>2.8980363119240442</v>
      </c>
      <c r="AZ103" s="96">
        <f t="shared" si="99"/>
        <v>2.9588950744744489</v>
      </c>
      <c r="BA103" s="96">
        <f t="shared" si="100"/>
        <v>3.0210318710384119</v>
      </c>
      <c r="BB103" s="96">
        <f t="shared" si="101"/>
        <v>3.0844735403302188</v>
      </c>
      <c r="BC103" s="96">
        <f t="shared" si="102"/>
        <v>3.1492474846771521</v>
      </c>
      <c r="BE103" s="169">
        <f t="shared" si="103"/>
        <v>2.8328758206627462</v>
      </c>
      <c r="BQ103" s="81" t="s">
        <v>35</v>
      </c>
      <c r="BR103" s="173">
        <f t="shared" si="104"/>
        <v>0</v>
      </c>
      <c r="BS103" s="173">
        <f t="shared" si="105"/>
        <v>0</v>
      </c>
      <c r="BT103" s="173">
        <f t="shared" si="106"/>
        <v>0</v>
      </c>
      <c r="BU103" s="173">
        <f t="shared" si="107"/>
        <v>0</v>
      </c>
      <c r="BV103" s="173">
        <f t="shared" si="108"/>
        <v>0</v>
      </c>
      <c r="BW103" s="173">
        <f t="shared" si="109"/>
        <v>0</v>
      </c>
      <c r="BX103" s="173">
        <f t="shared" si="110"/>
        <v>0</v>
      </c>
      <c r="BY103" s="173">
        <f t="shared" si="111"/>
        <v>0</v>
      </c>
      <c r="BZ103" s="173">
        <f t="shared" si="112"/>
        <v>0</v>
      </c>
      <c r="CA103" s="173">
        <f t="shared" si="113"/>
        <v>0</v>
      </c>
    </row>
    <row r="104" spans="2:79">
      <c r="B104" s="96" t="s">
        <v>19</v>
      </c>
      <c r="C104" s="96">
        <v>37718.19</v>
      </c>
      <c r="D104" s="96">
        <v>14841.109999999997</v>
      </c>
      <c r="E104" s="96">
        <v>49549.139999999992</v>
      </c>
      <c r="F104" s="96">
        <v>227.79999999999998</v>
      </c>
      <c r="P104" s="96" t="s">
        <v>31</v>
      </c>
      <c r="Q104" s="170">
        <v>181317.61999999994</v>
      </c>
      <c r="R104" s="170">
        <v>185669.24287999995</v>
      </c>
      <c r="S104" s="170">
        <v>189568.29698047994</v>
      </c>
      <c r="T104" s="170">
        <v>193549.23121706999</v>
      </c>
      <c r="U104" s="170">
        <v>197613.76507262842</v>
      </c>
      <c r="V104" s="170">
        <v>201763.65413915363</v>
      </c>
      <c r="W104" s="170">
        <v>206000.69087607582</v>
      </c>
      <c r="X104" s="170">
        <v>210326.7053844734</v>
      </c>
      <c r="Y104" s="170">
        <v>214743.5661975473</v>
      </c>
      <c r="Z104" s="170">
        <v>219253.18108769576</v>
      </c>
      <c r="AB104" s="96" t="s">
        <v>31</v>
      </c>
      <c r="AC104" s="96">
        <v>739.5</v>
      </c>
      <c r="AE104" s="96">
        <f t="shared" si="114"/>
        <v>245.18947937795801</v>
      </c>
      <c r="AF104" s="96">
        <f t="shared" si="115"/>
        <v>251.07402688302901</v>
      </c>
      <c r="AG104" s="96">
        <f t="shared" si="116"/>
        <v>256.34658144757259</v>
      </c>
      <c r="AH104" s="96">
        <f t="shared" si="117"/>
        <v>261.72985965797159</v>
      </c>
      <c r="AI104" s="96">
        <f t="shared" si="118"/>
        <v>267.22618671078897</v>
      </c>
      <c r="AJ104" s="96">
        <f t="shared" si="119"/>
        <v>272.83793663171554</v>
      </c>
      <c r="AK104" s="96">
        <f t="shared" si="120"/>
        <v>278.56753330098149</v>
      </c>
      <c r="AL104" s="96">
        <f t="shared" si="121"/>
        <v>284.41745150030209</v>
      </c>
      <c r="AM104" s="96">
        <f t="shared" si="122"/>
        <v>290.39021798180841</v>
      </c>
      <c r="AN104" s="96">
        <f t="shared" si="123"/>
        <v>296.48841255942631</v>
      </c>
      <c r="AS104" s="96" t="s">
        <v>31</v>
      </c>
      <c r="AT104" s="96">
        <f t="shared" si="93"/>
        <v>26.308831137254895</v>
      </c>
      <c r="AU104" s="96">
        <f t="shared" si="94"/>
        <v>26.940243084549014</v>
      </c>
      <c r="AV104" s="96">
        <f t="shared" si="95"/>
        <v>27.50598818932454</v>
      </c>
      <c r="AW104" s="96">
        <f t="shared" si="96"/>
        <v>28.083613941300353</v>
      </c>
      <c r="AX104" s="96">
        <f t="shared" si="97"/>
        <v>28.673369834067657</v>
      </c>
      <c r="AY104" s="96">
        <f t="shared" si="98"/>
        <v>29.275510600583079</v>
      </c>
      <c r="AZ104" s="96">
        <f t="shared" si="99"/>
        <v>29.890296323195315</v>
      </c>
      <c r="BA104" s="96">
        <f t="shared" si="100"/>
        <v>30.517992545982416</v>
      </c>
      <c r="BB104" s="96">
        <f t="shared" si="101"/>
        <v>31.158870389448044</v>
      </c>
      <c r="BC104" s="96">
        <f t="shared" si="102"/>
        <v>31.813206667626446</v>
      </c>
      <c r="BE104" s="169">
        <f t="shared" si="103"/>
        <v>28.617269485794271</v>
      </c>
      <c r="BQ104" s="81" t="s">
        <v>36</v>
      </c>
      <c r="BR104" s="173">
        <f t="shared" si="104"/>
        <v>13.247923462599861</v>
      </c>
      <c r="BS104" s="173">
        <f t="shared" si="105"/>
        <v>13.56587362570226</v>
      </c>
      <c r="BT104" s="173">
        <f t="shared" si="106"/>
        <v>13.850756971842006</v>
      </c>
      <c r="BU104" s="173">
        <f t="shared" si="107"/>
        <v>14.141622868250685</v>
      </c>
      <c r="BV104" s="173">
        <f t="shared" si="108"/>
        <v>14.438596948483946</v>
      </c>
      <c r="BW104" s="173">
        <f t="shared" si="109"/>
        <v>14.741807484402113</v>
      </c>
      <c r="BX104" s="173">
        <f t="shared" si="110"/>
        <v>15.051385441574554</v>
      </c>
      <c r="BY104" s="173">
        <f t="shared" si="111"/>
        <v>15.367464535847617</v>
      </c>
      <c r="BZ104" s="173">
        <f t="shared" si="112"/>
        <v>15.690181291100416</v>
      </c>
      <c r="CA104" s="173">
        <f t="shared" si="113"/>
        <v>16.019675098213522</v>
      </c>
    </row>
    <row r="105" spans="2:79">
      <c r="B105" s="96" t="s">
        <v>19</v>
      </c>
      <c r="C105" s="96">
        <v>180443.44999999995</v>
      </c>
      <c r="D105" s="96">
        <v>23993.299999999996</v>
      </c>
      <c r="E105" s="96">
        <v>373974.13999999984</v>
      </c>
      <c r="F105" s="96">
        <v>628.15</v>
      </c>
      <c r="P105" s="96" t="s">
        <v>32</v>
      </c>
      <c r="Q105" s="170">
        <v>45247.45</v>
      </c>
      <c r="R105" s="170">
        <v>46333.388800000001</v>
      </c>
      <c r="S105" s="170">
        <v>47306.389964799993</v>
      </c>
      <c r="T105" s="170">
        <v>48299.824154060792</v>
      </c>
      <c r="U105" s="170">
        <v>49314.120461296057</v>
      </c>
      <c r="V105" s="170">
        <v>50349.716990983274</v>
      </c>
      <c r="W105" s="170">
        <v>51407.061047793919</v>
      </c>
      <c r="X105" s="170">
        <v>52486.609329797589</v>
      </c>
      <c r="Y105" s="170">
        <v>53588.828125723332</v>
      </c>
      <c r="Z105" s="170">
        <v>54714.193516363513</v>
      </c>
      <c r="AB105" s="96" t="s">
        <v>32</v>
      </c>
      <c r="AC105" s="96">
        <v>647.69999999999993</v>
      </c>
      <c r="AE105" s="96">
        <f t="shared" si="114"/>
        <v>69.858653697699552</v>
      </c>
      <c r="AF105" s="96">
        <f t="shared" si="115"/>
        <v>71.535261386444347</v>
      </c>
      <c r="AG105" s="96">
        <f t="shared" si="116"/>
        <v>73.03750187555967</v>
      </c>
      <c r="AH105" s="96">
        <f t="shared" si="117"/>
        <v>74.57128941494642</v>
      </c>
      <c r="AI105" s="96">
        <f t="shared" si="118"/>
        <v>76.13728649266028</v>
      </c>
      <c r="AJ105" s="96">
        <f t="shared" si="119"/>
        <v>77.736169509006146</v>
      </c>
      <c r="AK105" s="96">
        <f t="shared" si="120"/>
        <v>79.36862906869527</v>
      </c>
      <c r="AL105" s="96">
        <f t="shared" si="121"/>
        <v>81.035370279137865</v>
      </c>
      <c r="AM105" s="96">
        <f t="shared" si="122"/>
        <v>82.737113054999753</v>
      </c>
      <c r="AN105" s="96">
        <f t="shared" si="123"/>
        <v>84.474592429154725</v>
      </c>
      <c r="AS105" s="96" t="s">
        <v>32</v>
      </c>
      <c r="AT105" s="96">
        <f t="shared" si="93"/>
        <v>7.4958335417631625</v>
      </c>
      <c r="AU105" s="96">
        <f t="shared" si="94"/>
        <v>7.6757335467654793</v>
      </c>
      <c r="AV105" s="96">
        <f t="shared" si="95"/>
        <v>7.8369239512475533</v>
      </c>
      <c r="AW105" s="96">
        <f t="shared" si="96"/>
        <v>8.0014993542237516</v>
      </c>
      <c r="AX105" s="96">
        <f t="shared" si="97"/>
        <v>8.1695308406624481</v>
      </c>
      <c r="AY105" s="96">
        <f t="shared" si="98"/>
        <v>8.3410909883163598</v>
      </c>
      <c r="AZ105" s="96">
        <f t="shared" si="99"/>
        <v>8.5162538990710033</v>
      </c>
      <c r="BA105" s="96">
        <f t="shared" si="100"/>
        <v>8.6950952309514928</v>
      </c>
      <c r="BB105" s="96">
        <f t="shared" si="101"/>
        <v>8.8776922308014736</v>
      </c>
      <c r="BC105" s="96">
        <f t="shared" si="102"/>
        <v>9.0641237676483026</v>
      </c>
      <c r="BE105" s="169">
        <f t="shared" si="103"/>
        <v>8.153546897092383</v>
      </c>
      <c r="BQ105" s="81" t="s">
        <v>72</v>
      </c>
      <c r="BR105" s="173">
        <f t="shared" si="104"/>
        <v>0</v>
      </c>
      <c r="BS105" s="173">
        <f t="shared" si="105"/>
        <v>0</v>
      </c>
      <c r="BT105" s="173">
        <f t="shared" si="106"/>
        <v>0</v>
      </c>
      <c r="BU105" s="173">
        <f t="shared" si="107"/>
        <v>0</v>
      </c>
      <c r="BV105" s="173">
        <f t="shared" si="108"/>
        <v>0</v>
      </c>
      <c r="BW105" s="173">
        <f t="shared" si="109"/>
        <v>0</v>
      </c>
      <c r="BX105" s="173">
        <f t="shared" si="110"/>
        <v>0</v>
      </c>
      <c r="BY105" s="173">
        <f t="shared" si="111"/>
        <v>0</v>
      </c>
      <c r="BZ105" s="173">
        <f t="shared" si="112"/>
        <v>0</v>
      </c>
      <c r="CA105" s="173">
        <f t="shared" si="113"/>
        <v>0</v>
      </c>
    </row>
    <row r="106" spans="2:79">
      <c r="B106" s="96" t="s">
        <v>19</v>
      </c>
      <c r="C106" s="96">
        <v>0</v>
      </c>
      <c r="D106" s="96">
        <v>0</v>
      </c>
      <c r="E106" s="96">
        <v>135115.79999999999</v>
      </c>
      <c r="F106" s="96">
        <v>361.25</v>
      </c>
      <c r="P106" s="96" t="s">
        <v>32</v>
      </c>
      <c r="Q106" s="170">
        <v>19848.430000000011</v>
      </c>
      <c r="R106" s="170">
        <v>20324.792320000011</v>
      </c>
      <c r="S106" s="170">
        <v>20751.612958720012</v>
      </c>
      <c r="T106" s="170">
        <v>21187.396830853129</v>
      </c>
      <c r="U106" s="170">
        <v>21632.332164301042</v>
      </c>
      <c r="V106" s="170">
        <v>22086.611139751363</v>
      </c>
      <c r="W106" s="170">
        <v>22550.429973686139</v>
      </c>
      <c r="X106" s="170">
        <v>23023.989003133545</v>
      </c>
      <c r="Y106" s="170">
        <v>23507.492772199348</v>
      </c>
      <c r="Z106" s="170">
        <v>24001.150120415532</v>
      </c>
      <c r="AB106" s="96" t="s">
        <v>32</v>
      </c>
      <c r="AC106" s="96">
        <v>727.6</v>
      </c>
      <c r="AE106" s="96">
        <f t="shared" si="114"/>
        <v>27.279315557998913</v>
      </c>
      <c r="AF106" s="96">
        <f t="shared" si="115"/>
        <v>27.93401913139089</v>
      </c>
      <c r="AG106" s="96">
        <f t="shared" si="116"/>
        <v>28.520633533150097</v>
      </c>
      <c r="AH106" s="96">
        <f t="shared" si="117"/>
        <v>29.119566837346245</v>
      </c>
      <c r="AI106" s="96">
        <f t="shared" si="118"/>
        <v>29.731077740930512</v>
      </c>
      <c r="AJ106" s="96">
        <f t="shared" si="119"/>
        <v>30.355430373490051</v>
      </c>
      <c r="AK106" s="96">
        <f t="shared" si="120"/>
        <v>30.992894411333342</v>
      </c>
      <c r="AL106" s="96">
        <f t="shared" si="121"/>
        <v>31.643745193971338</v>
      </c>
      <c r="AM106" s="96">
        <f t="shared" si="122"/>
        <v>32.308263843044735</v>
      </c>
      <c r="AN106" s="96">
        <f t="shared" si="123"/>
        <v>32.986737383748668</v>
      </c>
      <c r="AS106" s="96" t="s">
        <v>32</v>
      </c>
      <c r="AT106" s="96">
        <f t="shared" si="93"/>
        <v>2.9270705593732838</v>
      </c>
      <c r="AU106" s="96">
        <f t="shared" si="94"/>
        <v>2.9973202527982425</v>
      </c>
      <c r="AV106" s="96">
        <f t="shared" si="95"/>
        <v>3.0602639781070056</v>
      </c>
      <c r="AW106" s="96">
        <f t="shared" si="96"/>
        <v>3.1245295216472524</v>
      </c>
      <c r="AX106" s="96">
        <f t="shared" si="97"/>
        <v>3.1901446416018442</v>
      </c>
      <c r="AY106" s="96">
        <f t="shared" si="98"/>
        <v>3.2571376790754827</v>
      </c>
      <c r="AZ106" s="96">
        <f t="shared" si="99"/>
        <v>3.3255375703360679</v>
      </c>
      <c r="BA106" s="96">
        <f t="shared" si="100"/>
        <v>3.3953738593131249</v>
      </c>
      <c r="BB106" s="96">
        <f t="shared" si="101"/>
        <v>3.4666767103587004</v>
      </c>
      <c r="BC106" s="96">
        <f t="shared" si="102"/>
        <v>3.5394769212762323</v>
      </c>
      <c r="BE106" s="169">
        <f t="shared" si="103"/>
        <v>3.183903023456784</v>
      </c>
      <c r="BQ106" s="81" t="s">
        <v>73</v>
      </c>
      <c r="BR106" s="173">
        <f t="shared" si="104"/>
        <v>0</v>
      </c>
      <c r="BS106" s="173">
        <f t="shared" si="105"/>
        <v>0</v>
      </c>
      <c r="BT106" s="173">
        <f t="shared" si="106"/>
        <v>0</v>
      </c>
      <c r="BU106" s="173">
        <f t="shared" si="107"/>
        <v>0</v>
      </c>
      <c r="BV106" s="173">
        <f t="shared" si="108"/>
        <v>0</v>
      </c>
      <c r="BW106" s="173">
        <f t="shared" si="109"/>
        <v>0</v>
      </c>
      <c r="BX106" s="173">
        <f t="shared" si="110"/>
        <v>0</v>
      </c>
      <c r="BY106" s="173">
        <f t="shared" si="111"/>
        <v>0</v>
      </c>
      <c r="BZ106" s="173">
        <f t="shared" si="112"/>
        <v>0</v>
      </c>
      <c r="CA106" s="173">
        <f t="shared" si="113"/>
        <v>0</v>
      </c>
    </row>
    <row r="107" spans="2:79">
      <c r="B107" s="96" t="s">
        <v>19</v>
      </c>
      <c r="C107" s="96">
        <v>0</v>
      </c>
      <c r="D107" s="96">
        <v>0</v>
      </c>
      <c r="E107" s="96">
        <v>165961.4</v>
      </c>
      <c r="F107" s="96">
        <v>361.25</v>
      </c>
      <c r="P107" s="96" t="s">
        <v>32</v>
      </c>
      <c r="Q107" s="170">
        <v>11370.150000000003</v>
      </c>
      <c r="R107" s="170">
        <v>11643.033600000004</v>
      </c>
      <c r="S107" s="170">
        <v>11887.537305600003</v>
      </c>
      <c r="T107" s="170">
        <v>12137.175589017601</v>
      </c>
      <c r="U107" s="170">
        <v>12392.056276386969</v>
      </c>
      <c r="V107" s="170">
        <v>12652.289458191095</v>
      </c>
      <c r="W107" s="170">
        <v>12917.987536813107</v>
      </c>
      <c r="X107" s="170">
        <v>13189.265275086182</v>
      </c>
      <c r="Y107" s="170">
        <v>13466.23984586299</v>
      </c>
      <c r="Z107" s="170">
        <v>13749.03088262611</v>
      </c>
      <c r="AB107" s="96" t="s">
        <v>32</v>
      </c>
      <c r="AC107" s="96">
        <v>113.05</v>
      </c>
      <c r="AE107" s="96">
        <f t="shared" si="114"/>
        <v>100.57629367536491</v>
      </c>
      <c r="AF107" s="96">
        <f t="shared" si="115"/>
        <v>102.99012472357369</v>
      </c>
      <c r="AG107" s="96">
        <f t="shared" si="116"/>
        <v>105.15291734276872</v>
      </c>
      <c r="AH107" s="96">
        <f t="shared" si="117"/>
        <v>107.36112860696684</v>
      </c>
      <c r="AI107" s="96">
        <f t="shared" si="118"/>
        <v>109.61571230771314</v>
      </c>
      <c r="AJ107" s="96">
        <f t="shared" si="119"/>
        <v>111.91764226617511</v>
      </c>
      <c r="AK107" s="96">
        <f t="shared" si="120"/>
        <v>114.26791275376478</v>
      </c>
      <c r="AL107" s="96">
        <f t="shared" si="121"/>
        <v>116.66753892159383</v>
      </c>
      <c r="AM107" s="96">
        <f t="shared" si="122"/>
        <v>119.11755723894728</v>
      </c>
      <c r="AN107" s="96">
        <f t="shared" si="123"/>
        <v>121.61902594096514</v>
      </c>
      <c r="AS107" s="96" t="s">
        <v>32</v>
      </c>
      <c r="AT107" s="96">
        <f t="shared" si="93"/>
        <v>10.791836311366655</v>
      </c>
      <c r="AU107" s="96">
        <f t="shared" si="94"/>
        <v>11.050840382839457</v>
      </c>
      <c r="AV107" s="96">
        <f t="shared" si="95"/>
        <v>11.282908030879083</v>
      </c>
      <c r="AW107" s="96">
        <f t="shared" si="96"/>
        <v>11.519849099527542</v>
      </c>
      <c r="AX107" s="96">
        <f t="shared" si="97"/>
        <v>11.761765930617621</v>
      </c>
      <c r="AY107" s="96">
        <f t="shared" si="98"/>
        <v>12.008763015160589</v>
      </c>
      <c r="AZ107" s="96">
        <f t="shared" si="99"/>
        <v>12.260947038478962</v>
      </c>
      <c r="BA107" s="96">
        <f t="shared" si="100"/>
        <v>12.518426926287018</v>
      </c>
      <c r="BB107" s="96">
        <f t="shared" si="101"/>
        <v>12.781313891739044</v>
      </c>
      <c r="BC107" s="96">
        <f t="shared" si="102"/>
        <v>13.049721483465561</v>
      </c>
      <c r="BE107" s="169">
        <f t="shared" si="103"/>
        <v>11.738753666316764</v>
      </c>
      <c r="BQ107" s="81" t="s">
        <v>37</v>
      </c>
      <c r="BR107" s="173">
        <f t="shared" ref="BR107:BR143" si="124">IFERROR(SUMIFS(Q$71:Q$135,$P$71:$P$135,$BQ107)/SUMIFS($AC$71:$AC$135,$P$71:$P$135,$BQ107),0)*$AQ$6</f>
        <v>0</v>
      </c>
      <c r="BS107" s="173">
        <f t="shared" ref="BS107:BS143" si="125">IFERROR(SUMIFS(R$71:R$135,$P$71:$P$135,$BQ107)/SUMIFS($AC$71:$AC$135,$P$71:$P$135,$BQ107),0)*$AQ$6</f>
        <v>0</v>
      </c>
      <c r="BT107" s="173">
        <f t="shared" ref="BT107:BT143" si="126">IFERROR(SUMIFS(S$71:S$135,$P$71:$P$135,$BQ107)/SUMIFS($AC$71:$AC$135,$P$71:$P$135,$BQ107),0)*$AQ$6</f>
        <v>0</v>
      </c>
      <c r="BU107" s="173">
        <f t="shared" ref="BU107:BU143" si="127">IFERROR(SUMIFS(T$71:T$135,$P$71:$P$135,$BQ107)/SUMIFS($AC$71:$AC$135,$P$71:$P$135,$BQ107),0)*$AQ$6</f>
        <v>0</v>
      </c>
      <c r="BV107" s="173">
        <f t="shared" ref="BV107:BV143" si="128">IFERROR(SUMIFS(U$71:U$135,$P$71:$P$135,$BQ107)/SUMIFS($AC$71:$AC$135,$P$71:$P$135,$BQ107),0)*$AQ$6</f>
        <v>0</v>
      </c>
      <c r="BW107" s="173">
        <f t="shared" ref="BW107:BW143" si="129">IFERROR(SUMIFS(V$71:V$135,$P$71:$P$135,$BQ107)/SUMIFS($AC$71:$AC$135,$P$71:$P$135,$BQ107),0)*$AQ$6</f>
        <v>0</v>
      </c>
      <c r="BX107" s="173">
        <f t="shared" ref="BX107:BX143" si="130">IFERROR(SUMIFS(W$71:W$135,$P$71:$P$135,$BQ107)/SUMIFS($AC$71:$AC$135,$P$71:$P$135,$BQ107),0)*$AQ$6</f>
        <v>0</v>
      </c>
      <c r="BY107" s="173">
        <f t="shared" ref="BY107:BY143" si="131">IFERROR(SUMIFS(X$71:X$135,$P$71:$P$135,$BQ107)/SUMIFS($AC$71:$AC$135,$P$71:$P$135,$BQ107),0)*$AQ$6</f>
        <v>0</v>
      </c>
      <c r="BZ107" s="173">
        <f t="shared" ref="BZ107:BZ143" si="132">IFERROR(SUMIFS(Y$71:Y$135,$P$71:$P$135,$BQ107)/SUMIFS($AC$71:$AC$135,$P$71:$P$135,$BQ107),0)*$AQ$6</f>
        <v>0</v>
      </c>
      <c r="CA107" s="173">
        <f t="shared" ref="CA107:CA143" si="133">IFERROR(SUMIFS(Z$71:Z$135,$P$71:$P$135,$BQ107)/SUMIFS($AC$71:$AC$135,$P$71:$P$135,$BQ107),0)*$AQ$6</f>
        <v>0</v>
      </c>
    </row>
    <row r="108" spans="2:79">
      <c r="B108" s="96" t="s">
        <v>19</v>
      </c>
      <c r="C108" s="96">
        <v>0</v>
      </c>
      <c r="D108" s="96">
        <v>0</v>
      </c>
      <c r="E108" s="96">
        <v>98878.2</v>
      </c>
      <c r="F108" s="96">
        <v>361.25</v>
      </c>
      <c r="P108" s="96" t="s">
        <v>32</v>
      </c>
      <c r="Q108" s="170">
        <v>20778.410000000003</v>
      </c>
      <c r="R108" s="170">
        <v>21277.091840000005</v>
      </c>
      <c r="S108" s="170">
        <v>21723.910768640002</v>
      </c>
      <c r="T108" s="170">
        <v>22180.11289478144</v>
      </c>
      <c r="U108" s="170">
        <v>22645.895265571846</v>
      </c>
      <c r="V108" s="170">
        <v>23121.459066148855</v>
      </c>
      <c r="W108" s="170">
        <v>23607.009706537978</v>
      </c>
      <c r="X108" s="170">
        <v>24102.756910375276</v>
      </c>
      <c r="Y108" s="170">
        <v>24608.914805493154</v>
      </c>
      <c r="Z108" s="170">
        <v>25125.702016408504</v>
      </c>
      <c r="AB108" s="96" t="s">
        <v>32</v>
      </c>
      <c r="AC108" s="96">
        <v>1955</v>
      </c>
      <c r="AE108" s="96">
        <f t="shared" si="114"/>
        <v>10.628342710997444</v>
      </c>
      <c r="AF108" s="96">
        <f t="shared" si="115"/>
        <v>10.883422936061383</v>
      </c>
      <c r="AG108" s="96">
        <f t="shared" si="116"/>
        <v>11.111974817718671</v>
      </c>
      <c r="AH108" s="96">
        <f t="shared" si="117"/>
        <v>11.345326288890762</v>
      </c>
      <c r="AI108" s="96">
        <f t="shared" si="118"/>
        <v>11.583578140957465</v>
      </c>
      <c r="AJ108" s="96">
        <f t="shared" si="119"/>
        <v>11.826833281917573</v>
      </c>
      <c r="AK108" s="96">
        <f t="shared" si="120"/>
        <v>12.075196780837841</v>
      </c>
      <c r="AL108" s="96">
        <f t="shared" si="121"/>
        <v>12.328775913235436</v>
      </c>
      <c r="AM108" s="96">
        <f t="shared" si="122"/>
        <v>12.587680207413378</v>
      </c>
      <c r="AN108" s="96">
        <f t="shared" si="123"/>
        <v>12.852021491769056</v>
      </c>
      <c r="AS108" s="96" t="s">
        <v>32</v>
      </c>
      <c r="AT108" s="96">
        <f t="shared" si="93"/>
        <v>1.1404211728900258</v>
      </c>
      <c r="AU108" s="96">
        <f t="shared" si="94"/>
        <v>1.1677912810393865</v>
      </c>
      <c r="AV108" s="96">
        <f t="shared" si="95"/>
        <v>1.1923148979412135</v>
      </c>
      <c r="AW108" s="96">
        <f t="shared" si="96"/>
        <v>1.2173535107979789</v>
      </c>
      <c r="AX108" s="96">
        <f t="shared" si="97"/>
        <v>1.2429179345247361</v>
      </c>
      <c r="AY108" s="96">
        <f t="shared" si="98"/>
        <v>1.2690192111497556</v>
      </c>
      <c r="AZ108" s="96">
        <f t="shared" si="99"/>
        <v>1.2956686145839005</v>
      </c>
      <c r="BA108" s="96">
        <f t="shared" si="100"/>
        <v>1.3228776554901625</v>
      </c>
      <c r="BB108" s="96">
        <f t="shared" si="101"/>
        <v>1.3506580862554556</v>
      </c>
      <c r="BC108" s="96">
        <f t="shared" si="102"/>
        <v>1.3790219060668198</v>
      </c>
      <c r="BE108" s="169">
        <f t="shared" si="103"/>
        <v>1.2404861265647518</v>
      </c>
      <c r="BQ108" s="81" t="s">
        <v>38</v>
      </c>
      <c r="BR108" s="173">
        <f t="shared" si="124"/>
        <v>0</v>
      </c>
      <c r="BS108" s="173">
        <f t="shared" si="125"/>
        <v>0</v>
      </c>
      <c r="BT108" s="173">
        <f t="shared" si="126"/>
        <v>0</v>
      </c>
      <c r="BU108" s="173">
        <f t="shared" si="127"/>
        <v>0</v>
      </c>
      <c r="BV108" s="173">
        <f t="shared" si="128"/>
        <v>0</v>
      </c>
      <c r="BW108" s="173">
        <f t="shared" si="129"/>
        <v>0</v>
      </c>
      <c r="BX108" s="173">
        <f t="shared" si="130"/>
        <v>0</v>
      </c>
      <c r="BY108" s="173">
        <f t="shared" si="131"/>
        <v>0</v>
      </c>
      <c r="BZ108" s="173">
        <f t="shared" si="132"/>
        <v>0</v>
      </c>
      <c r="CA108" s="173">
        <f t="shared" si="133"/>
        <v>0</v>
      </c>
    </row>
    <row r="109" spans="2:79">
      <c r="B109" s="96" t="s">
        <v>19</v>
      </c>
      <c r="C109" s="96">
        <v>0</v>
      </c>
      <c r="D109" s="96">
        <v>0</v>
      </c>
      <c r="E109" s="96">
        <v>0</v>
      </c>
      <c r="F109" s="96">
        <v>361.25</v>
      </c>
      <c r="P109" s="96" t="s">
        <v>32</v>
      </c>
      <c r="Q109" s="170">
        <v>15163.670000000002</v>
      </c>
      <c r="R109" s="170">
        <v>15527.598080000002</v>
      </c>
      <c r="S109" s="170">
        <v>15853.677639680001</v>
      </c>
      <c r="T109" s="170">
        <v>16186.60487011328</v>
      </c>
      <c r="U109" s="170">
        <v>16526.523572385657</v>
      </c>
      <c r="V109" s="170">
        <v>16873.580567405756</v>
      </c>
      <c r="W109" s="170">
        <v>17227.925759321275</v>
      </c>
      <c r="X109" s="170">
        <v>17589.712200267018</v>
      </c>
      <c r="Y109" s="170">
        <v>17959.096156472624</v>
      </c>
      <c r="Z109" s="170">
        <v>18336.237175758546</v>
      </c>
      <c r="AB109" s="96" t="s">
        <v>32</v>
      </c>
      <c r="AC109" s="96">
        <v>2847.5</v>
      </c>
      <c r="AE109" s="96">
        <f t="shared" si="114"/>
        <v>5.3252572431957867</v>
      </c>
      <c r="AF109" s="96">
        <f t="shared" si="115"/>
        <v>5.4530634170324852</v>
      </c>
      <c r="AG109" s="96">
        <f t="shared" si="116"/>
        <v>5.5675777487901676</v>
      </c>
      <c r="AH109" s="96">
        <f t="shared" si="117"/>
        <v>5.6844968815147601</v>
      </c>
      <c r="AI109" s="96">
        <f t="shared" si="118"/>
        <v>5.8038713160265694</v>
      </c>
      <c r="AJ109" s="96">
        <f t="shared" si="119"/>
        <v>5.9257526136631276</v>
      </c>
      <c r="AK109" s="96">
        <f t="shared" si="120"/>
        <v>6.0501934185500525</v>
      </c>
      <c r="AL109" s="96">
        <f t="shared" si="121"/>
        <v>6.1772474803396022</v>
      </c>
      <c r="AM109" s="96">
        <f t="shared" si="122"/>
        <v>6.3069696774267339</v>
      </c>
      <c r="AN109" s="96">
        <f t="shared" si="123"/>
        <v>6.4394160406526941</v>
      </c>
      <c r="AS109" s="96" t="s">
        <v>32</v>
      </c>
      <c r="AT109" s="96">
        <f t="shared" si="93"/>
        <v>0.571400102194908</v>
      </c>
      <c r="AU109" s="96">
        <f t="shared" si="94"/>
        <v>0.58511370464758572</v>
      </c>
      <c r="AV109" s="96">
        <f t="shared" si="95"/>
        <v>0.59740109244518502</v>
      </c>
      <c r="AW109" s="96">
        <f t="shared" si="96"/>
        <v>0.60994651538653377</v>
      </c>
      <c r="AX109" s="96">
        <f t="shared" si="97"/>
        <v>0.62275539220965093</v>
      </c>
      <c r="AY109" s="96">
        <f t="shared" si="98"/>
        <v>0.63583325544605362</v>
      </c>
      <c r="AZ109" s="96">
        <f t="shared" si="99"/>
        <v>0.64918575381042065</v>
      </c>
      <c r="BA109" s="96">
        <f t="shared" si="100"/>
        <v>0.66281865464043932</v>
      </c>
      <c r="BB109" s="96">
        <f t="shared" si="101"/>
        <v>0.67673784638788859</v>
      </c>
      <c r="BC109" s="96">
        <f t="shared" si="102"/>
        <v>0.6909493411620341</v>
      </c>
      <c r="BE109" s="169">
        <f t="shared" si="103"/>
        <v>0.62153695173354817</v>
      </c>
      <c r="BQ109" s="81" t="s">
        <v>39</v>
      </c>
      <c r="BR109" s="173">
        <f t="shared" si="124"/>
        <v>0</v>
      </c>
      <c r="BS109" s="173">
        <f t="shared" si="125"/>
        <v>0</v>
      </c>
      <c r="BT109" s="173">
        <f t="shared" si="126"/>
        <v>0</v>
      </c>
      <c r="BU109" s="173">
        <f t="shared" si="127"/>
        <v>0</v>
      </c>
      <c r="BV109" s="173">
        <f t="shared" si="128"/>
        <v>0</v>
      </c>
      <c r="BW109" s="173">
        <f t="shared" si="129"/>
        <v>0</v>
      </c>
      <c r="BX109" s="173">
        <f t="shared" si="130"/>
        <v>0</v>
      </c>
      <c r="BY109" s="173">
        <f t="shared" si="131"/>
        <v>0</v>
      </c>
      <c r="BZ109" s="173">
        <f t="shared" si="132"/>
        <v>0</v>
      </c>
      <c r="CA109" s="173">
        <f t="shared" si="133"/>
        <v>0</v>
      </c>
    </row>
    <row r="110" spans="2:79">
      <c r="B110" s="96" t="s">
        <v>19</v>
      </c>
      <c r="C110" s="96">
        <v>0</v>
      </c>
      <c r="D110" s="96">
        <v>0</v>
      </c>
      <c r="E110" s="96">
        <v>120529.8</v>
      </c>
      <c r="F110" s="96">
        <v>361.25</v>
      </c>
      <c r="P110" s="96" t="s">
        <v>32</v>
      </c>
      <c r="Q110" s="170">
        <v>1161.8500000000001</v>
      </c>
      <c r="R110" s="170">
        <v>1189.7344000000003</v>
      </c>
      <c r="S110" s="170">
        <v>1214.7188224000001</v>
      </c>
      <c r="T110" s="170">
        <v>1240.2279176704001</v>
      </c>
      <c r="U110" s="170">
        <v>1266.2727039414781</v>
      </c>
      <c r="V110" s="170">
        <v>1292.8644307242491</v>
      </c>
      <c r="W110" s="170">
        <v>1320.0145837694583</v>
      </c>
      <c r="X110" s="170">
        <v>1347.7348900286167</v>
      </c>
      <c r="Y110" s="170">
        <v>1376.0373227192176</v>
      </c>
      <c r="Z110" s="170">
        <v>1404.934106496321</v>
      </c>
      <c r="AB110" s="96" t="s">
        <v>32</v>
      </c>
      <c r="AC110" s="96">
        <v>24.65</v>
      </c>
      <c r="AE110" s="96">
        <f t="shared" si="114"/>
        <v>47.133874239350924</v>
      </c>
      <c r="AF110" s="96">
        <f t="shared" si="115"/>
        <v>48.265087221095349</v>
      </c>
      <c r="AG110" s="96">
        <f t="shared" si="116"/>
        <v>49.278654052738347</v>
      </c>
      <c r="AH110" s="96">
        <f t="shared" si="117"/>
        <v>50.313505787845848</v>
      </c>
      <c r="AI110" s="96">
        <f t="shared" si="118"/>
        <v>51.370089409390594</v>
      </c>
      <c r="AJ110" s="96">
        <f t="shared" si="119"/>
        <v>52.4488612869878</v>
      </c>
      <c r="AK110" s="96">
        <f t="shared" si="120"/>
        <v>53.550287374014538</v>
      </c>
      <c r="AL110" s="96">
        <f t="shared" si="121"/>
        <v>54.674843408868838</v>
      </c>
      <c r="AM110" s="96">
        <f t="shared" si="122"/>
        <v>55.823015120455082</v>
      </c>
      <c r="AN110" s="96">
        <f t="shared" si="123"/>
        <v>56.99529843798463</v>
      </c>
      <c r="AS110" s="96" t="s">
        <v>32</v>
      </c>
      <c r="AT110" s="96">
        <f t="shared" si="93"/>
        <v>5.0574647058823547</v>
      </c>
      <c r="AU110" s="96">
        <f t="shared" si="94"/>
        <v>5.178843858823531</v>
      </c>
      <c r="AV110" s="96">
        <f t="shared" si="95"/>
        <v>5.2875995798588251</v>
      </c>
      <c r="AW110" s="96">
        <f t="shared" si="96"/>
        <v>5.3986391710358594</v>
      </c>
      <c r="AX110" s="96">
        <f t="shared" si="97"/>
        <v>5.5120105936276111</v>
      </c>
      <c r="AY110" s="96">
        <f t="shared" si="98"/>
        <v>5.6277628160937914</v>
      </c>
      <c r="AZ110" s="96">
        <f t="shared" si="99"/>
        <v>5.7459458352317601</v>
      </c>
      <c r="BA110" s="96">
        <f t="shared" si="100"/>
        <v>5.8666106977716268</v>
      </c>
      <c r="BB110" s="96">
        <f t="shared" si="101"/>
        <v>5.9898095224248307</v>
      </c>
      <c r="BC110" s="96">
        <f t="shared" si="102"/>
        <v>6.1155955223957514</v>
      </c>
      <c r="BE110" s="169">
        <f t="shared" si="103"/>
        <v>5.5012261718530331</v>
      </c>
      <c r="BQ110" s="81" t="s">
        <v>74</v>
      </c>
      <c r="BR110" s="173">
        <f t="shared" si="124"/>
        <v>0</v>
      </c>
      <c r="BS110" s="173">
        <f t="shared" si="125"/>
        <v>0</v>
      </c>
      <c r="BT110" s="173">
        <f t="shared" si="126"/>
        <v>0</v>
      </c>
      <c r="BU110" s="173">
        <f t="shared" si="127"/>
        <v>0</v>
      </c>
      <c r="BV110" s="173">
        <f t="shared" si="128"/>
        <v>0</v>
      </c>
      <c r="BW110" s="173">
        <f t="shared" si="129"/>
        <v>0</v>
      </c>
      <c r="BX110" s="173">
        <f t="shared" si="130"/>
        <v>0</v>
      </c>
      <c r="BY110" s="173">
        <f t="shared" si="131"/>
        <v>0</v>
      </c>
      <c r="BZ110" s="173">
        <f t="shared" si="132"/>
        <v>0</v>
      </c>
      <c r="CA110" s="173">
        <f t="shared" si="133"/>
        <v>0</v>
      </c>
    </row>
    <row r="111" spans="2:79">
      <c r="B111" s="96" t="s">
        <v>19</v>
      </c>
      <c r="C111" s="96">
        <v>0</v>
      </c>
      <c r="D111" s="96">
        <v>0</v>
      </c>
      <c r="E111" s="96">
        <v>87457.36</v>
      </c>
      <c r="F111" s="96">
        <v>361.25</v>
      </c>
      <c r="P111" s="96" t="s">
        <v>63</v>
      </c>
      <c r="Q111" s="170">
        <v>202675.33000000007</v>
      </c>
      <c r="R111" s="170">
        <v>207539.53792000009</v>
      </c>
      <c r="S111" s="170">
        <v>211897.86821632009</v>
      </c>
      <c r="T111" s="170">
        <v>216347.72344886276</v>
      </c>
      <c r="U111" s="170">
        <v>220891.02564128884</v>
      </c>
      <c r="V111" s="170">
        <v>225529.7371797559</v>
      </c>
      <c r="W111" s="170">
        <v>230265.86166053076</v>
      </c>
      <c r="X111" s="170">
        <v>235101.4447554019</v>
      </c>
      <c r="Y111" s="170">
        <v>240038.57509526532</v>
      </c>
      <c r="Z111" s="170">
        <v>245079.38517226584</v>
      </c>
      <c r="AB111" s="96" t="s">
        <v>63</v>
      </c>
      <c r="AC111" s="96">
        <v>2425</v>
      </c>
      <c r="AE111" s="96">
        <f t="shared" si="114"/>
        <v>83.57745567010312</v>
      </c>
      <c r="AF111" s="96">
        <f t="shared" si="115"/>
        <v>85.58331460618561</v>
      </c>
      <c r="AG111" s="96">
        <f t="shared" si="116"/>
        <v>87.380564212915502</v>
      </c>
      <c r="AH111" s="96">
        <f t="shared" si="117"/>
        <v>89.215556061386707</v>
      </c>
      <c r="AI111" s="96">
        <f t="shared" si="118"/>
        <v>91.089082738675813</v>
      </c>
      <c r="AJ111" s="96">
        <f t="shared" si="119"/>
        <v>93.001953476188007</v>
      </c>
      <c r="AK111" s="96">
        <f t="shared" si="120"/>
        <v>94.954994499187947</v>
      </c>
      <c r="AL111" s="96">
        <f t="shared" si="121"/>
        <v>96.949049383670882</v>
      </c>
      <c r="AM111" s="96">
        <f t="shared" si="122"/>
        <v>98.984979420727967</v>
      </c>
      <c r="AN111" s="96">
        <f t="shared" si="123"/>
        <v>101.06366398856323</v>
      </c>
      <c r="AS111" s="96" t="s">
        <v>63</v>
      </c>
      <c r="AT111" s="96">
        <f t="shared" si="93"/>
        <v>8.9678609934020646</v>
      </c>
      <c r="AU111" s="96">
        <f t="shared" si="94"/>
        <v>9.1830896572437162</v>
      </c>
      <c r="AV111" s="96">
        <f t="shared" si="95"/>
        <v>9.3759345400458347</v>
      </c>
      <c r="AW111" s="96">
        <f t="shared" si="96"/>
        <v>9.5728291653867945</v>
      </c>
      <c r="AX111" s="96">
        <f t="shared" si="97"/>
        <v>9.7738585778599152</v>
      </c>
      <c r="AY111" s="96">
        <f t="shared" si="98"/>
        <v>9.9791096079949746</v>
      </c>
      <c r="AZ111" s="96">
        <f t="shared" si="99"/>
        <v>10.188670909762868</v>
      </c>
      <c r="BA111" s="96">
        <f t="shared" si="100"/>
        <v>10.402632998867887</v>
      </c>
      <c r="BB111" s="96">
        <f t="shared" si="101"/>
        <v>10.621088291844112</v>
      </c>
      <c r="BC111" s="96">
        <f t="shared" si="102"/>
        <v>10.844131145972836</v>
      </c>
      <c r="BE111" s="169">
        <f t="shared" si="103"/>
        <v>9.7547357167045696</v>
      </c>
      <c r="BQ111" s="81" t="s">
        <v>40</v>
      </c>
      <c r="BR111" s="173">
        <f t="shared" si="124"/>
        <v>0</v>
      </c>
      <c r="BS111" s="173">
        <f t="shared" si="125"/>
        <v>0</v>
      </c>
      <c r="BT111" s="173">
        <f t="shared" si="126"/>
        <v>0</v>
      </c>
      <c r="BU111" s="173">
        <f t="shared" si="127"/>
        <v>0</v>
      </c>
      <c r="BV111" s="173">
        <f t="shared" si="128"/>
        <v>0</v>
      </c>
      <c r="BW111" s="173">
        <f t="shared" si="129"/>
        <v>0</v>
      </c>
      <c r="BX111" s="173">
        <f t="shared" si="130"/>
        <v>0</v>
      </c>
      <c r="BY111" s="173">
        <f t="shared" si="131"/>
        <v>0</v>
      </c>
      <c r="BZ111" s="173">
        <f t="shared" si="132"/>
        <v>0</v>
      </c>
      <c r="CA111" s="173">
        <f t="shared" si="133"/>
        <v>0</v>
      </c>
    </row>
    <row r="112" spans="2:79">
      <c r="B112" s="96" t="s">
        <v>19</v>
      </c>
      <c r="C112" s="96">
        <v>0</v>
      </c>
      <c r="D112" s="96">
        <v>0</v>
      </c>
      <c r="E112" s="96">
        <v>118925.1</v>
      </c>
      <c r="F112" s="96">
        <v>361.25</v>
      </c>
      <c r="P112" s="96" t="s">
        <v>68</v>
      </c>
      <c r="Q112" s="170">
        <v>56425.700000000012</v>
      </c>
      <c r="R112" s="170">
        <v>57779.916800000014</v>
      </c>
      <c r="S112" s="170">
        <v>58993.295052800015</v>
      </c>
      <c r="T112" s="170">
        <v>60232.154248908802</v>
      </c>
      <c r="U112" s="170">
        <v>61497.029488135879</v>
      </c>
      <c r="V112" s="170">
        <v>62788.467107386736</v>
      </c>
      <c r="W112" s="170">
        <v>64107.024916641843</v>
      </c>
      <c r="X112" s="170">
        <v>65453.27243989132</v>
      </c>
      <c r="Y112" s="170">
        <v>66827.791161129033</v>
      </c>
      <c r="Z112" s="170">
        <v>68231.174775512729</v>
      </c>
      <c r="AB112" s="96" t="s">
        <v>68</v>
      </c>
      <c r="AC112" s="96">
        <v>636.65</v>
      </c>
      <c r="AE112" s="96">
        <f t="shared" si="114"/>
        <v>88.629074059530382</v>
      </c>
      <c r="AF112" s="96">
        <f t="shared" si="115"/>
        <v>90.756171836959112</v>
      </c>
      <c r="AG112" s="96">
        <f t="shared" si="116"/>
        <v>92.662051445535255</v>
      </c>
      <c r="AH112" s="96">
        <f t="shared" si="117"/>
        <v>94.607954525891472</v>
      </c>
      <c r="AI112" s="96">
        <f t="shared" si="118"/>
        <v>96.594721570935178</v>
      </c>
      <c r="AJ112" s="96">
        <f t="shared" si="119"/>
        <v>98.623210723924828</v>
      </c>
      <c r="AK112" s="96">
        <f t="shared" si="120"/>
        <v>100.69429814912722</v>
      </c>
      <c r="AL112" s="96">
        <f t="shared" si="121"/>
        <v>102.80887841025888</v>
      </c>
      <c r="AM112" s="96">
        <f t="shared" si="122"/>
        <v>104.96786485687431</v>
      </c>
      <c r="AN112" s="96">
        <f t="shared" si="123"/>
        <v>107.17219001886866</v>
      </c>
      <c r="AS112" s="96" t="s">
        <v>68</v>
      </c>
      <c r="AT112" s="96">
        <f t="shared" si="93"/>
        <v>9.5098996465876109</v>
      </c>
      <c r="AU112" s="96">
        <f t="shared" si="94"/>
        <v>9.738137238105713</v>
      </c>
      <c r="AV112" s="96">
        <f t="shared" si="95"/>
        <v>9.9426381201059328</v>
      </c>
      <c r="AW112" s="96">
        <f t="shared" si="96"/>
        <v>10.151433520628155</v>
      </c>
      <c r="AX112" s="96">
        <f t="shared" si="97"/>
        <v>10.364613624561345</v>
      </c>
      <c r="AY112" s="96">
        <f t="shared" si="98"/>
        <v>10.582270510677136</v>
      </c>
      <c r="AZ112" s="96">
        <f t="shared" si="99"/>
        <v>10.804498191401352</v>
      </c>
      <c r="BA112" s="96">
        <f t="shared" si="100"/>
        <v>11.031392653420779</v>
      </c>
      <c r="BB112" s="96">
        <f t="shared" si="101"/>
        <v>11.263051899142615</v>
      </c>
      <c r="BC112" s="96">
        <f t="shared" si="102"/>
        <v>11.499575989024608</v>
      </c>
      <c r="BE112" s="169">
        <f t="shared" si="103"/>
        <v>10.344334932610527</v>
      </c>
      <c r="BQ112" s="81" t="s">
        <v>75</v>
      </c>
      <c r="BR112" s="173">
        <f t="shared" si="124"/>
        <v>0</v>
      </c>
      <c r="BS112" s="173">
        <f t="shared" si="125"/>
        <v>0</v>
      </c>
      <c r="BT112" s="173">
        <f t="shared" si="126"/>
        <v>0</v>
      </c>
      <c r="BU112" s="173">
        <f t="shared" si="127"/>
        <v>0</v>
      </c>
      <c r="BV112" s="173">
        <f t="shared" si="128"/>
        <v>0</v>
      </c>
      <c r="BW112" s="173">
        <f t="shared" si="129"/>
        <v>0</v>
      </c>
      <c r="BX112" s="173">
        <f t="shared" si="130"/>
        <v>0</v>
      </c>
      <c r="BY112" s="173">
        <f t="shared" si="131"/>
        <v>0</v>
      </c>
      <c r="BZ112" s="173">
        <f t="shared" si="132"/>
        <v>0</v>
      </c>
      <c r="CA112" s="173">
        <f t="shared" si="133"/>
        <v>0</v>
      </c>
    </row>
    <row r="113" spans="2:79">
      <c r="B113" s="96" t="s">
        <v>19</v>
      </c>
      <c r="C113" s="96">
        <v>0</v>
      </c>
      <c r="D113" s="96">
        <v>0</v>
      </c>
      <c r="E113" s="96">
        <v>0</v>
      </c>
      <c r="F113" s="96">
        <v>361.25</v>
      </c>
      <c r="P113" s="96" t="s">
        <v>68</v>
      </c>
      <c r="Q113" s="170">
        <v>39129.609999999986</v>
      </c>
      <c r="R113" s="170">
        <v>40068.720639999985</v>
      </c>
      <c r="S113" s="170">
        <v>40910.163773439985</v>
      </c>
      <c r="T113" s="170">
        <v>41769.277212682216</v>
      </c>
      <c r="U113" s="170">
        <v>42646.432034148536</v>
      </c>
      <c r="V113" s="170">
        <v>43542.007106865662</v>
      </c>
      <c r="W113" s="170">
        <v>44456.389256109833</v>
      </c>
      <c r="X113" s="170">
        <v>45389.973430488135</v>
      </c>
      <c r="Y113" s="170">
        <v>46343.162872528381</v>
      </c>
      <c r="Z113" s="170">
        <v>47316.369292851472</v>
      </c>
      <c r="AB113" s="96" t="s">
        <v>68</v>
      </c>
      <c r="AC113" s="96">
        <v>526.15</v>
      </c>
      <c r="AE113" s="96">
        <f t="shared" si="114"/>
        <v>74.369685450917018</v>
      </c>
      <c r="AF113" s="96">
        <f t="shared" si="115"/>
        <v>76.154557901739025</v>
      </c>
      <c r="AG113" s="96">
        <f t="shared" si="116"/>
        <v>77.753803617675544</v>
      </c>
      <c r="AH113" s="96">
        <f t="shared" si="117"/>
        <v>79.386633493646713</v>
      </c>
      <c r="AI113" s="96">
        <f t="shared" si="118"/>
        <v>81.053752797013289</v>
      </c>
      <c r="AJ113" s="96">
        <f t="shared" si="119"/>
        <v>82.755881605750574</v>
      </c>
      <c r="AK113" s="96">
        <f t="shared" si="120"/>
        <v>84.493755119471317</v>
      </c>
      <c r="AL113" s="96">
        <f t="shared" si="121"/>
        <v>86.268123976980206</v>
      </c>
      <c r="AM113" s="96">
        <f t="shared" si="122"/>
        <v>88.079754580496783</v>
      </c>
      <c r="AN113" s="96">
        <f t="shared" si="123"/>
        <v>89.929429426687207</v>
      </c>
      <c r="AS113" s="96" t="s">
        <v>68</v>
      </c>
      <c r="AT113" s="96">
        <f t="shared" si="93"/>
        <v>7.9798672488833962</v>
      </c>
      <c r="AU113" s="96">
        <f t="shared" si="94"/>
        <v>8.1713840628565979</v>
      </c>
      <c r="AV113" s="96">
        <f t="shared" si="95"/>
        <v>8.342983128176586</v>
      </c>
      <c r="AW113" s="96">
        <f t="shared" si="96"/>
        <v>8.5181857738682929</v>
      </c>
      <c r="AX113" s="96">
        <f t="shared" si="97"/>
        <v>8.6970676751195271</v>
      </c>
      <c r="AY113" s="96">
        <f t="shared" si="98"/>
        <v>8.8797060962970367</v>
      </c>
      <c r="AZ113" s="96">
        <f t="shared" si="99"/>
        <v>9.0661799243192736</v>
      </c>
      <c r="BA113" s="96">
        <f t="shared" si="100"/>
        <v>9.2565697027299763</v>
      </c>
      <c r="BB113" s="96">
        <f t="shared" si="101"/>
        <v>9.4509576664873052</v>
      </c>
      <c r="BC113" s="96">
        <f t="shared" si="102"/>
        <v>9.6494277774835382</v>
      </c>
      <c r="BE113" s="169">
        <f t="shared" si="103"/>
        <v>8.6800515891709651</v>
      </c>
      <c r="BQ113" s="81" t="s">
        <v>41</v>
      </c>
      <c r="BR113" s="173">
        <f t="shared" si="124"/>
        <v>0</v>
      </c>
      <c r="BS113" s="173">
        <f t="shared" si="125"/>
        <v>0</v>
      </c>
      <c r="BT113" s="173">
        <f t="shared" si="126"/>
        <v>0</v>
      </c>
      <c r="BU113" s="173">
        <f t="shared" si="127"/>
        <v>0</v>
      </c>
      <c r="BV113" s="173">
        <f t="shared" si="128"/>
        <v>0</v>
      </c>
      <c r="BW113" s="173">
        <f t="shared" si="129"/>
        <v>0</v>
      </c>
      <c r="BX113" s="173">
        <f t="shared" si="130"/>
        <v>0</v>
      </c>
      <c r="BY113" s="173">
        <f t="shared" si="131"/>
        <v>0</v>
      </c>
      <c r="BZ113" s="173">
        <f t="shared" si="132"/>
        <v>0</v>
      </c>
      <c r="CA113" s="173">
        <f t="shared" si="133"/>
        <v>0</v>
      </c>
    </row>
    <row r="114" spans="2:79">
      <c r="B114" s="96" t="s">
        <v>19</v>
      </c>
      <c r="C114" s="96">
        <v>0</v>
      </c>
      <c r="D114" s="96">
        <v>0</v>
      </c>
      <c r="E114" s="96">
        <v>29399.68</v>
      </c>
      <c r="F114" s="96">
        <v>361.25</v>
      </c>
      <c r="P114" s="96" t="s">
        <v>64</v>
      </c>
      <c r="Q114" s="170">
        <v>36553.530000000006</v>
      </c>
      <c r="R114" s="170">
        <v>37430.814720000009</v>
      </c>
      <c r="S114" s="170">
        <v>38216.861829120004</v>
      </c>
      <c r="T114" s="170">
        <v>39019.415927531518</v>
      </c>
      <c r="U114" s="170">
        <v>39838.82366200968</v>
      </c>
      <c r="V114" s="170">
        <v>40675.43895891188</v>
      </c>
      <c r="W114" s="170">
        <v>41529.623177049027</v>
      </c>
      <c r="X114" s="170">
        <v>42401.74526376705</v>
      </c>
      <c r="Y114" s="170">
        <v>43292.181914306151</v>
      </c>
      <c r="Z114" s="170">
        <v>44201.317734506578</v>
      </c>
      <c r="AB114" s="96" t="s">
        <v>64</v>
      </c>
      <c r="AC114" s="96">
        <v>1748</v>
      </c>
      <c r="AE114" s="96">
        <f t="shared" si="114"/>
        <v>20.911630434782612</v>
      </c>
      <c r="AF114" s="96">
        <f t="shared" si="115"/>
        <v>21.413509565217396</v>
      </c>
      <c r="AG114" s="96">
        <f t="shared" si="116"/>
        <v>21.863193266086959</v>
      </c>
      <c r="AH114" s="96">
        <f t="shared" si="117"/>
        <v>22.322320324674781</v>
      </c>
      <c r="AI114" s="96">
        <f t="shared" si="118"/>
        <v>22.791089051492953</v>
      </c>
      <c r="AJ114" s="96">
        <f t="shared" si="119"/>
        <v>23.269701921574303</v>
      </c>
      <c r="AK114" s="96">
        <f t="shared" si="120"/>
        <v>23.75836566192736</v>
      </c>
      <c r="AL114" s="96">
        <f t="shared" si="121"/>
        <v>24.25729134082783</v>
      </c>
      <c r="AM114" s="96">
        <f t="shared" si="122"/>
        <v>24.766694458985214</v>
      </c>
      <c r="AN114" s="96">
        <f t="shared" si="123"/>
        <v>25.286795042623901</v>
      </c>
      <c r="AS114" s="96" t="s">
        <v>64</v>
      </c>
      <c r="AT114" s="96">
        <f t="shared" si="93"/>
        <v>2.2438179456521743</v>
      </c>
      <c r="AU114" s="96">
        <f t="shared" si="94"/>
        <v>2.2976695763478268</v>
      </c>
      <c r="AV114" s="96">
        <f t="shared" si="95"/>
        <v>2.345920637451131</v>
      </c>
      <c r="AW114" s="96">
        <f t="shared" si="96"/>
        <v>2.3951849708376041</v>
      </c>
      <c r="AX114" s="96">
        <f t="shared" si="97"/>
        <v>2.4454838552251941</v>
      </c>
      <c r="AY114" s="96">
        <f t="shared" si="98"/>
        <v>2.4968390161849228</v>
      </c>
      <c r="AZ114" s="96">
        <f t="shared" si="99"/>
        <v>2.5492726355248059</v>
      </c>
      <c r="BA114" s="96">
        <f t="shared" si="100"/>
        <v>2.6028073608708264</v>
      </c>
      <c r="BB114" s="96">
        <f t="shared" si="101"/>
        <v>2.6574663154491134</v>
      </c>
      <c r="BC114" s="96">
        <f t="shared" si="102"/>
        <v>2.7132731080735448</v>
      </c>
      <c r="BE114" s="169">
        <f t="shared" si="103"/>
        <v>2.4406991892871126</v>
      </c>
      <c r="BQ114" s="81" t="s">
        <v>42</v>
      </c>
      <c r="BR114" s="173">
        <f t="shared" si="124"/>
        <v>31.880681095137426</v>
      </c>
      <c r="BS114" s="173">
        <f t="shared" si="125"/>
        <v>32.645817441420725</v>
      </c>
      <c r="BT114" s="173">
        <f t="shared" si="126"/>
        <v>33.331379607690558</v>
      </c>
      <c r="BU114" s="173">
        <f t="shared" si="127"/>
        <v>34.031338579452061</v>
      </c>
      <c r="BV114" s="173">
        <f t="shared" si="128"/>
        <v>34.745996689620547</v>
      </c>
      <c r="BW114" s="173">
        <f t="shared" si="129"/>
        <v>35.475662620102575</v>
      </c>
      <c r="BX114" s="173">
        <f t="shared" si="130"/>
        <v>36.22065153512473</v>
      </c>
      <c r="BY114" s="173">
        <f t="shared" si="131"/>
        <v>36.981285217362341</v>
      </c>
      <c r="BZ114" s="173">
        <f t="shared" si="132"/>
        <v>37.757892206926947</v>
      </c>
      <c r="CA114" s="173">
        <f t="shared" si="133"/>
        <v>38.55080794327241</v>
      </c>
    </row>
    <row r="115" spans="2:79">
      <c r="B115" s="96" t="s">
        <v>19</v>
      </c>
      <c r="C115" s="96">
        <v>0</v>
      </c>
      <c r="D115" s="96">
        <v>0</v>
      </c>
      <c r="E115" s="96">
        <v>134750.9</v>
      </c>
      <c r="F115" s="96">
        <v>361.25</v>
      </c>
      <c r="P115" s="96" t="s">
        <v>66</v>
      </c>
      <c r="Q115" s="170">
        <v>46697.069999999992</v>
      </c>
      <c r="R115" s="170">
        <v>47817.799679999996</v>
      </c>
      <c r="S115" s="170">
        <v>48821.973473279992</v>
      </c>
      <c r="T115" s="170">
        <v>49847.234916218862</v>
      </c>
      <c r="U115" s="170">
        <v>50894.026849459457</v>
      </c>
      <c r="V115" s="170">
        <v>51962.801413298104</v>
      </c>
      <c r="W115" s="170">
        <v>53054.020242977356</v>
      </c>
      <c r="X115" s="170">
        <v>54168.154668079878</v>
      </c>
      <c r="Y115" s="170">
        <v>55305.685916109549</v>
      </c>
      <c r="Z115" s="170">
        <v>56467.105320347837</v>
      </c>
      <c r="AB115" s="96" t="s">
        <v>66</v>
      </c>
      <c r="AC115" s="96">
        <v>808</v>
      </c>
      <c r="AE115" s="96">
        <f t="shared" si="114"/>
        <v>57.793403465346522</v>
      </c>
      <c r="AF115" s="96">
        <f t="shared" si="115"/>
        <v>59.180445148514849</v>
      </c>
      <c r="AG115" s="96">
        <f t="shared" si="116"/>
        <v>60.423234496633654</v>
      </c>
      <c r="AH115" s="96">
        <f t="shared" si="117"/>
        <v>61.692122421062948</v>
      </c>
      <c r="AI115" s="96">
        <f t="shared" si="118"/>
        <v>62.987656991905268</v>
      </c>
      <c r="AJ115" s="96">
        <f t="shared" si="119"/>
        <v>64.310397788735273</v>
      </c>
      <c r="AK115" s="96">
        <f t="shared" si="120"/>
        <v>65.660916142298703</v>
      </c>
      <c r="AL115" s="96">
        <f t="shared" si="121"/>
        <v>67.039795381286979</v>
      </c>
      <c r="AM115" s="96">
        <f t="shared" si="122"/>
        <v>68.447631084294002</v>
      </c>
      <c r="AN115" s="96">
        <f t="shared" si="123"/>
        <v>69.885031337064149</v>
      </c>
      <c r="AS115" s="96" t="s">
        <v>66</v>
      </c>
      <c r="AT115" s="96">
        <f t="shared" si="93"/>
        <v>6.2012321918316822</v>
      </c>
      <c r="AU115" s="96">
        <f t="shared" si="94"/>
        <v>6.3500617644356439</v>
      </c>
      <c r="AV115" s="96">
        <f t="shared" si="95"/>
        <v>6.4834130614887915</v>
      </c>
      <c r="AW115" s="96">
        <f t="shared" si="96"/>
        <v>6.6195647357800551</v>
      </c>
      <c r="AX115" s="96">
        <f t="shared" si="97"/>
        <v>6.7585755952314361</v>
      </c>
      <c r="AY115" s="96">
        <f t="shared" si="98"/>
        <v>6.9005056827312954</v>
      </c>
      <c r="AZ115" s="96">
        <f t="shared" si="99"/>
        <v>7.0454163020686513</v>
      </c>
      <c r="BA115" s="96">
        <f t="shared" si="100"/>
        <v>7.1933700444120934</v>
      </c>
      <c r="BB115" s="96">
        <f t="shared" si="101"/>
        <v>7.3444308153447473</v>
      </c>
      <c r="BC115" s="96">
        <f t="shared" si="102"/>
        <v>7.4986638624669837</v>
      </c>
      <c r="BE115" s="169">
        <f t="shared" si="103"/>
        <v>6.7453522298956319</v>
      </c>
      <c r="BQ115" s="81" t="s">
        <v>44</v>
      </c>
      <c r="BR115" s="173">
        <f t="shared" si="124"/>
        <v>0</v>
      </c>
      <c r="BS115" s="173">
        <f t="shared" si="125"/>
        <v>0</v>
      </c>
      <c r="BT115" s="173">
        <f t="shared" si="126"/>
        <v>0</v>
      </c>
      <c r="BU115" s="173">
        <f t="shared" si="127"/>
        <v>0</v>
      </c>
      <c r="BV115" s="173">
        <f t="shared" si="128"/>
        <v>0</v>
      </c>
      <c r="BW115" s="173">
        <f t="shared" si="129"/>
        <v>0</v>
      </c>
      <c r="BX115" s="173">
        <f t="shared" si="130"/>
        <v>0</v>
      </c>
      <c r="BY115" s="173">
        <f t="shared" si="131"/>
        <v>0</v>
      </c>
      <c r="BZ115" s="173">
        <f t="shared" si="132"/>
        <v>0</v>
      </c>
      <c r="CA115" s="173">
        <f t="shared" si="133"/>
        <v>0</v>
      </c>
    </row>
    <row r="116" spans="2:79">
      <c r="B116" s="96" t="s">
        <v>19</v>
      </c>
      <c r="C116" s="96">
        <v>0</v>
      </c>
      <c r="D116" s="96">
        <v>0</v>
      </c>
      <c r="E116" s="96">
        <v>111945.4</v>
      </c>
      <c r="F116" s="96">
        <v>361.25</v>
      </c>
      <c r="P116" s="96" t="s">
        <v>19</v>
      </c>
      <c r="Q116" s="170">
        <v>13400.32</v>
      </c>
      <c r="R116" s="170">
        <v>13721.927680000001</v>
      </c>
      <c r="S116" s="170">
        <v>14010.08816128</v>
      </c>
      <c r="T116" s="170">
        <v>14304.300012666878</v>
      </c>
      <c r="U116" s="170">
        <v>14604.69031293288</v>
      </c>
      <c r="V116" s="170">
        <v>14911.388809504469</v>
      </c>
      <c r="W116" s="170">
        <v>15224.527974504063</v>
      </c>
      <c r="X116" s="170">
        <v>15544.243061968646</v>
      </c>
      <c r="Y116" s="170">
        <v>15870.672166269986</v>
      </c>
      <c r="Z116" s="170">
        <v>16203.956281761653</v>
      </c>
      <c r="AB116" s="96" t="s">
        <v>19</v>
      </c>
      <c r="AC116" s="96">
        <v>408</v>
      </c>
      <c r="AE116" s="96">
        <f t="shared" si="114"/>
        <v>32.843921568627451</v>
      </c>
      <c r="AF116" s="96">
        <f t="shared" si="115"/>
        <v>33.632175686274515</v>
      </c>
      <c r="AG116" s="96">
        <f t="shared" si="116"/>
        <v>34.338451375686276</v>
      </c>
      <c r="AH116" s="96">
        <f t="shared" si="117"/>
        <v>35.059558854575677</v>
      </c>
      <c r="AI116" s="96">
        <f t="shared" si="118"/>
        <v>35.795809590521763</v>
      </c>
      <c r="AJ116" s="96">
        <f t="shared" si="119"/>
        <v>36.547521591922717</v>
      </c>
      <c r="AK116" s="96">
        <f t="shared" si="120"/>
        <v>37.315019545353096</v>
      </c>
      <c r="AL116" s="96">
        <f t="shared" si="121"/>
        <v>38.098634955805501</v>
      </c>
      <c r="AM116" s="96">
        <f t="shared" si="122"/>
        <v>38.898706289877417</v>
      </c>
      <c r="AN116" s="96">
        <f t="shared" si="123"/>
        <v>39.715579121964836</v>
      </c>
      <c r="AS116" s="96" t="s">
        <v>19</v>
      </c>
      <c r="AT116" s="96">
        <f t="shared" si="93"/>
        <v>3.5241527843137255</v>
      </c>
      <c r="AU116" s="96">
        <f t="shared" si="94"/>
        <v>3.6087324511372558</v>
      </c>
      <c r="AV116" s="96">
        <f t="shared" si="95"/>
        <v>3.6845158326111376</v>
      </c>
      <c r="AW116" s="96">
        <f t="shared" si="96"/>
        <v>3.7618906650959705</v>
      </c>
      <c r="AX116" s="96">
        <f t="shared" si="97"/>
        <v>3.8408903690629854</v>
      </c>
      <c r="AY116" s="96">
        <f t="shared" si="98"/>
        <v>3.9215490668133079</v>
      </c>
      <c r="AZ116" s="96">
        <f t="shared" si="99"/>
        <v>4.0039015972163874</v>
      </c>
      <c r="BA116" s="96">
        <f t="shared" si="100"/>
        <v>4.0879835307579304</v>
      </c>
      <c r="BB116" s="96">
        <f t="shared" si="101"/>
        <v>4.1738311849038467</v>
      </c>
      <c r="BC116" s="96">
        <f t="shared" si="102"/>
        <v>4.2614816397868269</v>
      </c>
      <c r="BE116" s="169">
        <f t="shared" si="103"/>
        <v>3.8333755464721544</v>
      </c>
      <c r="BQ116" s="81" t="s">
        <v>46</v>
      </c>
      <c r="BR116" s="173">
        <f t="shared" si="124"/>
        <v>0</v>
      </c>
      <c r="BS116" s="173">
        <f t="shared" si="125"/>
        <v>0</v>
      </c>
      <c r="BT116" s="173">
        <f t="shared" si="126"/>
        <v>0</v>
      </c>
      <c r="BU116" s="173">
        <f t="shared" si="127"/>
        <v>0</v>
      </c>
      <c r="BV116" s="173">
        <f t="shared" si="128"/>
        <v>0</v>
      </c>
      <c r="BW116" s="173">
        <f t="shared" si="129"/>
        <v>0</v>
      </c>
      <c r="BX116" s="173">
        <f t="shared" si="130"/>
        <v>0</v>
      </c>
      <c r="BY116" s="173">
        <f t="shared" si="131"/>
        <v>0</v>
      </c>
      <c r="BZ116" s="173">
        <f t="shared" si="132"/>
        <v>0</v>
      </c>
      <c r="CA116" s="173">
        <f t="shared" si="133"/>
        <v>0</v>
      </c>
    </row>
    <row r="117" spans="2:79">
      <c r="B117" s="96" t="s">
        <v>19</v>
      </c>
      <c r="C117" s="96">
        <v>0</v>
      </c>
      <c r="D117" s="96">
        <v>0</v>
      </c>
      <c r="E117" s="96">
        <v>34555.42</v>
      </c>
      <c r="F117" s="96">
        <v>361.25</v>
      </c>
      <c r="P117" s="96" t="s">
        <v>19</v>
      </c>
      <c r="Q117" s="170">
        <v>14841.109999999997</v>
      </c>
      <c r="R117" s="170">
        <v>15197.296639999997</v>
      </c>
      <c r="S117" s="170">
        <v>15516.439869439997</v>
      </c>
      <c r="T117" s="170">
        <v>15842.285106698235</v>
      </c>
      <c r="U117" s="170">
        <v>16174.973093938896</v>
      </c>
      <c r="V117" s="170">
        <v>16514.647528911613</v>
      </c>
      <c r="W117" s="170">
        <v>16861.455127018755</v>
      </c>
      <c r="X117" s="170">
        <v>17215.545684686145</v>
      </c>
      <c r="Y117" s="170">
        <v>17577.072144064554</v>
      </c>
      <c r="Z117" s="170">
        <v>17946.190659089905</v>
      </c>
      <c r="AB117" s="96" t="s">
        <v>19</v>
      </c>
      <c r="AC117" s="96">
        <v>227.79999999999998</v>
      </c>
      <c r="AE117" s="96">
        <f t="shared" si="114"/>
        <v>65.149736611062323</v>
      </c>
      <c r="AF117" s="96">
        <f t="shared" si="115"/>
        <v>66.713330289727821</v>
      </c>
      <c r="AG117" s="96">
        <f t="shared" si="116"/>
        <v>68.114310225812105</v>
      </c>
      <c r="AH117" s="96">
        <f t="shared" si="117"/>
        <v>69.544710740554152</v>
      </c>
      <c r="AI117" s="96">
        <f t="shared" si="118"/>
        <v>71.00514966610578</v>
      </c>
      <c r="AJ117" s="96">
        <f t="shared" si="119"/>
        <v>72.496257809094004</v>
      </c>
      <c r="AK117" s="96">
        <f t="shared" si="120"/>
        <v>74.018679223084973</v>
      </c>
      <c r="AL117" s="96">
        <f t="shared" si="121"/>
        <v>75.573071486769734</v>
      </c>
      <c r="AM117" s="96">
        <f t="shared" si="122"/>
        <v>77.160105987991898</v>
      </c>
      <c r="AN117" s="96">
        <f t="shared" si="123"/>
        <v>78.780468213739709</v>
      </c>
      <c r="AS117" s="96" t="s">
        <v>19</v>
      </c>
      <c r="AT117" s="96">
        <f t="shared" si="93"/>
        <v>6.9905667383669874</v>
      </c>
      <c r="AU117" s="96">
        <f t="shared" si="94"/>
        <v>7.1583403400877961</v>
      </c>
      <c r="AV117" s="96">
        <f t="shared" si="95"/>
        <v>7.3086654872296393</v>
      </c>
      <c r="AW117" s="96">
        <f t="shared" si="96"/>
        <v>7.462147462461461</v>
      </c>
      <c r="AX117" s="96">
        <f t="shared" si="97"/>
        <v>7.6188525591731509</v>
      </c>
      <c r="AY117" s="96">
        <f t="shared" si="98"/>
        <v>7.7788484629157875</v>
      </c>
      <c r="AZ117" s="96">
        <f t="shared" si="99"/>
        <v>7.9422042806370179</v>
      </c>
      <c r="BA117" s="96">
        <f t="shared" si="100"/>
        <v>8.1089905705303931</v>
      </c>
      <c r="BB117" s="96">
        <f t="shared" si="101"/>
        <v>8.2792793725115317</v>
      </c>
      <c r="BC117" s="96">
        <f t="shared" si="102"/>
        <v>8.4531442393342715</v>
      </c>
      <c r="BE117" s="169">
        <f t="shared" si="103"/>
        <v>7.6039460349492218</v>
      </c>
      <c r="BQ117" s="81" t="s">
        <v>47</v>
      </c>
      <c r="BR117" s="173">
        <f t="shared" si="124"/>
        <v>5.205887837370244</v>
      </c>
      <c r="BS117" s="173">
        <f t="shared" si="125"/>
        <v>5.3308291454671295</v>
      </c>
      <c r="BT117" s="173">
        <f t="shared" si="126"/>
        <v>5.4427765575219391</v>
      </c>
      <c r="BU117" s="173">
        <f t="shared" si="127"/>
        <v>5.5570748652298985</v>
      </c>
      <c r="BV117" s="173">
        <f t="shared" si="128"/>
        <v>5.6737734373997259</v>
      </c>
      <c r="BW117" s="173">
        <f t="shared" si="129"/>
        <v>5.7929226795851196</v>
      </c>
      <c r="BX117" s="173">
        <f t="shared" si="130"/>
        <v>5.9145740558564066</v>
      </c>
      <c r="BY117" s="173">
        <f t="shared" si="131"/>
        <v>6.0387801110293911</v>
      </c>
      <c r="BZ117" s="173">
        <f t="shared" si="132"/>
        <v>6.1655944933610067</v>
      </c>
      <c r="CA117" s="173">
        <f t="shared" si="133"/>
        <v>6.2950719777215873</v>
      </c>
    </row>
    <row r="118" spans="2:79">
      <c r="B118" s="96" t="s">
        <v>19</v>
      </c>
      <c r="C118" s="96">
        <v>0</v>
      </c>
      <c r="D118" s="96">
        <v>0</v>
      </c>
      <c r="E118" s="96">
        <v>43896.67</v>
      </c>
      <c r="F118" s="96">
        <v>361.25</v>
      </c>
      <c r="P118" s="96" t="s">
        <v>19</v>
      </c>
      <c r="Q118" s="170">
        <v>23993.299999999996</v>
      </c>
      <c r="R118" s="170">
        <v>24569.139199999998</v>
      </c>
      <c r="S118" s="170">
        <v>25085.091123199996</v>
      </c>
      <c r="T118" s="170">
        <v>25611.878036787191</v>
      </c>
      <c r="U118" s="170">
        <v>26149.727475559717</v>
      </c>
      <c r="V118" s="170">
        <v>26698.871752546471</v>
      </c>
      <c r="W118" s="170">
        <v>27259.548059349945</v>
      </c>
      <c r="X118" s="170">
        <v>27831.998568596293</v>
      </c>
      <c r="Y118" s="170">
        <v>28416.470538536811</v>
      </c>
      <c r="Z118" s="170">
        <v>29013.216419846078</v>
      </c>
      <c r="AB118" s="96" t="s">
        <v>19</v>
      </c>
      <c r="AC118" s="96">
        <v>628.15</v>
      </c>
      <c r="AE118" s="96">
        <f t="shared" si="114"/>
        <v>38.196768287829336</v>
      </c>
      <c r="AF118" s="96">
        <f t="shared" si="115"/>
        <v>39.11349072673724</v>
      </c>
      <c r="AG118" s="96">
        <f t="shared" si="116"/>
        <v>39.934874031998724</v>
      </c>
      <c r="AH118" s="96">
        <f t="shared" si="117"/>
        <v>40.773506386670689</v>
      </c>
      <c r="AI118" s="96">
        <f t="shared" si="118"/>
        <v>41.629750020790766</v>
      </c>
      <c r="AJ118" s="96">
        <f t="shared" si="119"/>
        <v>42.503974771227369</v>
      </c>
      <c r="AK118" s="96">
        <f t="shared" si="120"/>
        <v>43.396558241423143</v>
      </c>
      <c r="AL118" s="96">
        <f t="shared" si="121"/>
        <v>44.307885964493025</v>
      </c>
      <c r="AM118" s="96">
        <f t="shared" si="122"/>
        <v>45.238351569747373</v>
      </c>
      <c r="AN118" s="96">
        <f t="shared" si="123"/>
        <v>46.188356952712056</v>
      </c>
      <c r="AS118" s="96" t="s">
        <v>19</v>
      </c>
      <c r="AT118" s="96">
        <f t="shared" si="93"/>
        <v>4.098513237284088</v>
      </c>
      <c r="AU118" s="96">
        <f t="shared" si="94"/>
        <v>4.1968775549789061</v>
      </c>
      <c r="AV118" s="96">
        <f t="shared" si="95"/>
        <v>4.2850119836334635</v>
      </c>
      <c r="AW118" s="96">
        <f t="shared" si="96"/>
        <v>4.374997235289765</v>
      </c>
      <c r="AX118" s="96">
        <f t="shared" si="97"/>
        <v>4.4668721772308491</v>
      </c>
      <c r="AY118" s="96">
        <f t="shared" si="98"/>
        <v>4.5606764929526973</v>
      </c>
      <c r="AZ118" s="96">
        <f t="shared" si="99"/>
        <v>4.6564506993047035</v>
      </c>
      <c r="BA118" s="96">
        <f t="shared" si="100"/>
        <v>4.7542361639901021</v>
      </c>
      <c r="BB118" s="96">
        <f t="shared" si="101"/>
        <v>4.8540751234338932</v>
      </c>
      <c r="BC118" s="96">
        <f t="shared" si="102"/>
        <v>4.9560107010260035</v>
      </c>
      <c r="BE118" s="169">
        <f t="shared" si="103"/>
        <v>4.4581326015798002</v>
      </c>
      <c r="BQ118" s="81" t="s">
        <v>48</v>
      </c>
      <c r="BR118" s="173">
        <f t="shared" si="124"/>
        <v>30.585573480711904</v>
      </c>
      <c r="BS118" s="173">
        <f t="shared" si="125"/>
        <v>31.319627244248988</v>
      </c>
      <c r="BT118" s="173">
        <f t="shared" si="126"/>
        <v>31.977339416378214</v>
      </c>
      <c r="BU118" s="173">
        <f t="shared" si="127"/>
        <v>32.648863544122158</v>
      </c>
      <c r="BV118" s="173">
        <f t="shared" si="128"/>
        <v>33.334489678548721</v>
      </c>
      <c r="BW118" s="173">
        <f t="shared" si="129"/>
        <v>34.034513961798233</v>
      </c>
      <c r="BX118" s="173">
        <f t="shared" si="130"/>
        <v>34.749238754996</v>
      </c>
      <c r="BY118" s="173">
        <f t="shared" si="131"/>
        <v>35.478972768850909</v>
      </c>
      <c r="BZ118" s="173">
        <f t="shared" si="132"/>
        <v>36.224031196996776</v>
      </c>
      <c r="CA118" s="173">
        <f t="shared" si="133"/>
        <v>36.984735852133703</v>
      </c>
    </row>
    <row r="119" spans="2:79">
      <c r="B119" s="96" t="s">
        <v>24</v>
      </c>
      <c r="C119" s="96">
        <v>0</v>
      </c>
      <c r="D119" s="96">
        <v>0</v>
      </c>
      <c r="E119" s="96">
        <v>22555.239999999994</v>
      </c>
      <c r="F119" s="96">
        <v>124</v>
      </c>
      <c r="P119" s="96" t="s">
        <v>24</v>
      </c>
      <c r="Q119" s="170">
        <v>985.39999999999986</v>
      </c>
      <c r="R119" s="170">
        <v>1009.0495999999998</v>
      </c>
      <c r="S119" s="170">
        <v>1030.2396415999999</v>
      </c>
      <c r="T119" s="170">
        <v>1051.8746740735996</v>
      </c>
      <c r="U119" s="170">
        <v>1073.9640422291452</v>
      </c>
      <c r="V119" s="170">
        <v>1096.5172871159571</v>
      </c>
      <c r="W119" s="170">
        <v>1119.5441501453922</v>
      </c>
      <c r="X119" s="170">
        <v>1143.0545772984453</v>
      </c>
      <c r="Y119" s="170">
        <v>1167.0587234217126</v>
      </c>
      <c r="Z119" s="170">
        <v>1191.5669566135682</v>
      </c>
      <c r="AB119" s="96" t="s">
        <v>24</v>
      </c>
      <c r="AC119" s="96">
        <v>713</v>
      </c>
      <c r="AE119" s="96">
        <f t="shared" si="114"/>
        <v>1.3820476858345019</v>
      </c>
      <c r="AF119" s="96">
        <f t="shared" si="115"/>
        <v>1.4152168302945298</v>
      </c>
      <c r="AG119" s="96">
        <f t="shared" si="116"/>
        <v>1.4449363837307152</v>
      </c>
      <c r="AH119" s="96">
        <f t="shared" si="117"/>
        <v>1.4752800477890597</v>
      </c>
      <c r="AI119" s="96">
        <f t="shared" si="118"/>
        <v>1.5062609287926301</v>
      </c>
      <c r="AJ119" s="96">
        <f t="shared" si="119"/>
        <v>1.5378924082972749</v>
      </c>
      <c r="AK119" s="96">
        <f t="shared" si="120"/>
        <v>1.5701881488715179</v>
      </c>
      <c r="AL119" s="96">
        <f t="shared" si="121"/>
        <v>1.6031620999978196</v>
      </c>
      <c r="AM119" s="96">
        <f t="shared" si="122"/>
        <v>1.6368285040977735</v>
      </c>
      <c r="AN119" s="96">
        <f t="shared" si="123"/>
        <v>1.6712019026838263</v>
      </c>
      <c r="AS119" s="96" t="s">
        <v>24</v>
      </c>
      <c r="AT119" s="96">
        <f t="shared" si="93"/>
        <v>0.14829371669004207</v>
      </c>
      <c r="AU119" s="96">
        <f t="shared" si="94"/>
        <v>0.15185276589060306</v>
      </c>
      <c r="AV119" s="96">
        <f t="shared" si="95"/>
        <v>0.15504167397430574</v>
      </c>
      <c r="AW119" s="96">
        <f t="shared" si="96"/>
        <v>0.15829754912776611</v>
      </c>
      <c r="AX119" s="96">
        <f t="shared" si="97"/>
        <v>0.16162179765944923</v>
      </c>
      <c r="AY119" s="96">
        <f t="shared" si="98"/>
        <v>0.16501585541029762</v>
      </c>
      <c r="AZ119" s="96">
        <f t="shared" si="99"/>
        <v>0.16848118837391388</v>
      </c>
      <c r="BA119" s="96">
        <f t="shared" si="100"/>
        <v>0.17201929332976604</v>
      </c>
      <c r="BB119" s="96">
        <f t="shared" si="101"/>
        <v>0.1756316984896911</v>
      </c>
      <c r="BC119" s="96">
        <f t="shared" si="102"/>
        <v>0.17931996415797458</v>
      </c>
      <c r="BE119" s="169">
        <f t="shared" si="103"/>
        <v>0.16130557953825389</v>
      </c>
      <c r="BQ119" s="81" t="s">
        <v>76</v>
      </c>
      <c r="BR119" s="173">
        <f t="shared" si="124"/>
        <v>0</v>
      </c>
      <c r="BS119" s="173">
        <f t="shared" si="125"/>
        <v>0</v>
      </c>
      <c r="BT119" s="173">
        <f t="shared" si="126"/>
        <v>0</v>
      </c>
      <c r="BU119" s="173">
        <f t="shared" si="127"/>
        <v>0</v>
      </c>
      <c r="BV119" s="173">
        <f t="shared" si="128"/>
        <v>0</v>
      </c>
      <c r="BW119" s="173">
        <f t="shared" si="129"/>
        <v>0</v>
      </c>
      <c r="BX119" s="173">
        <f t="shared" si="130"/>
        <v>0</v>
      </c>
      <c r="BY119" s="173">
        <f t="shared" si="131"/>
        <v>0</v>
      </c>
      <c r="BZ119" s="173">
        <f t="shared" si="132"/>
        <v>0</v>
      </c>
      <c r="CA119" s="173">
        <f t="shared" si="133"/>
        <v>0</v>
      </c>
    </row>
    <row r="120" spans="2:79">
      <c r="B120" s="96" t="s">
        <v>24</v>
      </c>
      <c r="C120" s="96">
        <v>169000.41999999998</v>
      </c>
      <c r="D120" s="96">
        <v>985.39999999999986</v>
      </c>
      <c r="E120" s="96">
        <v>0</v>
      </c>
      <c r="F120" s="96">
        <v>713</v>
      </c>
      <c r="P120" s="96" t="s">
        <v>24</v>
      </c>
      <c r="Q120" s="170">
        <v>5158.9800000000005</v>
      </c>
      <c r="R120" s="170">
        <v>5282.7955200000006</v>
      </c>
      <c r="S120" s="170">
        <v>5393.7342259200004</v>
      </c>
      <c r="T120" s="170">
        <v>5507.0026446643196</v>
      </c>
      <c r="U120" s="170">
        <v>5622.6497002022697</v>
      </c>
      <c r="V120" s="170">
        <v>5740.7253439065171</v>
      </c>
      <c r="W120" s="170">
        <v>5861.2805761285535</v>
      </c>
      <c r="X120" s="170">
        <v>5984.3674682272522</v>
      </c>
      <c r="Y120" s="170">
        <v>6110.0391850600245</v>
      </c>
      <c r="Z120" s="170">
        <v>6238.3500079462838</v>
      </c>
      <c r="AB120" s="96" t="s">
        <v>24</v>
      </c>
      <c r="AC120" s="96">
        <v>989</v>
      </c>
      <c r="AE120" s="96">
        <f t="shared" si="114"/>
        <v>5.2163599595551062</v>
      </c>
      <c r="AF120" s="96">
        <f t="shared" si="115"/>
        <v>5.3415525985844292</v>
      </c>
      <c r="AG120" s="96">
        <f t="shared" si="116"/>
        <v>5.4537252031547023</v>
      </c>
      <c r="AH120" s="96">
        <f t="shared" si="117"/>
        <v>5.5682534324209501</v>
      </c>
      <c r="AI120" s="96">
        <f t="shared" si="118"/>
        <v>5.6851867545017898</v>
      </c>
      <c r="AJ120" s="96">
        <f t="shared" si="119"/>
        <v>5.8045756763463263</v>
      </c>
      <c r="AK120" s="96">
        <f t="shared" si="120"/>
        <v>5.9264717655495991</v>
      </c>
      <c r="AL120" s="96">
        <f t="shared" si="121"/>
        <v>6.0509276726261394</v>
      </c>
      <c r="AM120" s="96">
        <f t="shared" si="122"/>
        <v>6.1779971537512886</v>
      </c>
      <c r="AN120" s="96">
        <f t="shared" si="123"/>
        <v>6.3077350939800647</v>
      </c>
      <c r="AS120" s="96" t="s">
        <v>24</v>
      </c>
      <c r="AT120" s="96">
        <f t="shared" si="93"/>
        <v>0.55971542366026295</v>
      </c>
      <c r="AU120" s="96">
        <f t="shared" si="94"/>
        <v>0.57314859382810934</v>
      </c>
      <c r="AV120" s="96">
        <f t="shared" si="95"/>
        <v>0.58518471429849961</v>
      </c>
      <c r="AW120" s="96">
        <f t="shared" si="96"/>
        <v>0.59747359329876792</v>
      </c>
      <c r="AX120" s="96">
        <f t="shared" si="97"/>
        <v>0.61002053875804207</v>
      </c>
      <c r="AY120" s="96">
        <f t="shared" si="98"/>
        <v>0.62283097007196087</v>
      </c>
      <c r="AZ120" s="96">
        <f t="shared" si="99"/>
        <v>0.63591042044347201</v>
      </c>
      <c r="BA120" s="96">
        <f t="shared" si="100"/>
        <v>0.64926453927278482</v>
      </c>
      <c r="BB120" s="96">
        <f t="shared" si="101"/>
        <v>0.66289909459751328</v>
      </c>
      <c r="BC120" s="96">
        <f t="shared" si="102"/>
        <v>0.67681997558406104</v>
      </c>
      <c r="BE120" s="169">
        <f t="shared" si="103"/>
        <v>0.60882701442252485</v>
      </c>
      <c r="BQ120" s="81" t="s">
        <v>49</v>
      </c>
      <c r="BR120" s="173">
        <f t="shared" si="124"/>
        <v>16.835865135788261</v>
      </c>
      <c r="BS120" s="173">
        <f t="shared" si="125"/>
        <v>17.239925899047183</v>
      </c>
      <c r="BT120" s="173">
        <f t="shared" si="126"/>
        <v>17.601964342927175</v>
      </c>
      <c r="BU120" s="173">
        <f t="shared" si="127"/>
        <v>17.97160559412864</v>
      </c>
      <c r="BV120" s="173">
        <f t="shared" si="128"/>
        <v>18.349009311605339</v>
      </c>
      <c r="BW120" s="173">
        <f t="shared" si="129"/>
        <v>18.734338507149047</v>
      </c>
      <c r="BX120" s="173">
        <f t="shared" si="130"/>
        <v>19.127759615799178</v>
      </c>
      <c r="BY120" s="173">
        <f t="shared" si="131"/>
        <v>19.52944256773096</v>
      </c>
      <c r="BZ120" s="173">
        <f t="shared" si="132"/>
        <v>19.939560861653312</v>
      </c>
      <c r="CA120" s="173">
        <f t="shared" si="133"/>
        <v>20.358291639748021</v>
      </c>
    </row>
    <row r="121" spans="2:79">
      <c r="B121" s="96" t="s">
        <v>24</v>
      </c>
      <c r="C121" s="96">
        <v>64129.219999999994</v>
      </c>
      <c r="D121" s="96">
        <v>5158.9800000000005</v>
      </c>
      <c r="E121" s="96">
        <v>9329.5300000000007</v>
      </c>
      <c r="F121" s="96">
        <v>989</v>
      </c>
      <c r="P121" s="96" t="s">
        <v>24</v>
      </c>
      <c r="Q121" s="170">
        <v>901.9</v>
      </c>
      <c r="R121" s="170">
        <v>923.54560000000004</v>
      </c>
      <c r="S121" s="170">
        <v>942.94005759999993</v>
      </c>
      <c r="T121" s="170">
        <v>962.7417988095998</v>
      </c>
      <c r="U121" s="170">
        <v>982.95937658460127</v>
      </c>
      <c r="V121" s="170">
        <v>1003.6015234928778</v>
      </c>
      <c r="W121" s="170">
        <v>1024.6771554862282</v>
      </c>
      <c r="X121" s="170">
        <v>1046.1953757514389</v>
      </c>
      <c r="Y121" s="170">
        <v>1068.1654786422191</v>
      </c>
      <c r="Z121" s="170">
        <v>1090.5969536937055</v>
      </c>
      <c r="AB121" s="96" t="s">
        <v>24</v>
      </c>
      <c r="AC121" s="96">
        <v>253</v>
      </c>
      <c r="AE121" s="96">
        <f t="shared" si="114"/>
        <v>3.5648221343873518</v>
      </c>
      <c r="AF121" s="96">
        <f t="shared" si="115"/>
        <v>3.6503778656126484</v>
      </c>
      <c r="AG121" s="96">
        <f t="shared" si="116"/>
        <v>3.7270358007905138</v>
      </c>
      <c r="AH121" s="96">
        <f t="shared" si="117"/>
        <v>3.8053035526071137</v>
      </c>
      <c r="AI121" s="96">
        <f t="shared" si="118"/>
        <v>3.8852149272118628</v>
      </c>
      <c r="AJ121" s="96">
        <f t="shared" si="119"/>
        <v>3.9668044406833118</v>
      </c>
      <c r="AK121" s="96">
        <f t="shared" si="120"/>
        <v>4.0501073339376612</v>
      </c>
      <c r="AL121" s="96">
        <f t="shared" si="121"/>
        <v>4.1351595879503513</v>
      </c>
      <c r="AM121" s="96">
        <f t="shared" si="122"/>
        <v>4.2219979392973084</v>
      </c>
      <c r="AN121" s="96">
        <f t="shared" si="123"/>
        <v>4.3106598960225515</v>
      </c>
      <c r="AS121" s="96" t="s">
        <v>24</v>
      </c>
      <c r="AT121" s="96">
        <f t="shared" si="93"/>
        <v>0.38250541501976287</v>
      </c>
      <c r="AU121" s="96">
        <f t="shared" si="94"/>
        <v>0.39168554498023722</v>
      </c>
      <c r="AV121" s="96">
        <f t="shared" si="95"/>
        <v>0.39991094142482214</v>
      </c>
      <c r="AW121" s="96">
        <f t="shared" si="96"/>
        <v>0.4083090711947433</v>
      </c>
      <c r="AX121" s="96">
        <f t="shared" si="97"/>
        <v>0.41688356168983293</v>
      </c>
      <c r="AY121" s="96">
        <f t="shared" si="98"/>
        <v>0.42563811648531941</v>
      </c>
      <c r="AZ121" s="96">
        <f t="shared" si="99"/>
        <v>0.43457651693151106</v>
      </c>
      <c r="BA121" s="96">
        <f t="shared" si="100"/>
        <v>0.4437026237870727</v>
      </c>
      <c r="BB121" s="96">
        <f t="shared" si="101"/>
        <v>0.45302037888660124</v>
      </c>
      <c r="BC121" s="96">
        <f t="shared" si="102"/>
        <v>0.46253380684321982</v>
      </c>
      <c r="BE121" s="169">
        <f t="shared" si="103"/>
        <v>0.41606791591343517</v>
      </c>
      <c r="BQ121" s="81" t="s">
        <v>50</v>
      </c>
      <c r="BR121" s="173">
        <f t="shared" si="124"/>
        <v>0.61889473695652197</v>
      </c>
      <c r="BS121" s="173">
        <f t="shared" si="125"/>
        <v>0.63374821064347842</v>
      </c>
      <c r="BT121" s="173">
        <f t="shared" si="126"/>
        <v>0.64705692306699147</v>
      </c>
      <c r="BU121" s="173">
        <f t="shared" si="127"/>
        <v>0.66064511845139817</v>
      </c>
      <c r="BV121" s="173">
        <f t="shared" si="128"/>
        <v>0.67451866593887744</v>
      </c>
      <c r="BW121" s="173">
        <f t="shared" si="129"/>
        <v>0.68868355792359393</v>
      </c>
      <c r="BX121" s="173">
        <f t="shared" si="130"/>
        <v>0.70314591263998927</v>
      </c>
      <c r="BY121" s="173">
        <f t="shared" si="131"/>
        <v>0.71791197680542895</v>
      </c>
      <c r="BZ121" s="173">
        <f t="shared" si="132"/>
        <v>0.73298812831834281</v>
      </c>
      <c r="CA121" s="173">
        <f t="shared" si="133"/>
        <v>0.74838087901302797</v>
      </c>
    </row>
    <row r="122" spans="2:79">
      <c r="B122" s="96" t="s">
        <v>24</v>
      </c>
      <c r="C122" s="96">
        <v>16786.36</v>
      </c>
      <c r="D122" s="96">
        <v>901.9</v>
      </c>
      <c r="E122" s="96">
        <v>0</v>
      </c>
      <c r="F122" s="96">
        <v>253</v>
      </c>
      <c r="P122" s="96" t="s">
        <v>24</v>
      </c>
      <c r="Q122" s="170">
        <v>17241.159999999996</v>
      </c>
      <c r="R122" s="170">
        <v>17654.947839999997</v>
      </c>
      <c r="S122" s="170">
        <v>18025.701744639995</v>
      </c>
      <c r="T122" s="170">
        <v>18404.241481277433</v>
      </c>
      <c r="U122" s="170">
        <v>18790.730552384255</v>
      </c>
      <c r="V122" s="170">
        <v>19185.335893984327</v>
      </c>
      <c r="W122" s="170">
        <v>19588.227947757994</v>
      </c>
      <c r="X122" s="170">
        <v>19999.580734660911</v>
      </c>
      <c r="Y122" s="170">
        <v>20419.571930088787</v>
      </c>
      <c r="Z122" s="170">
        <v>20848.38294062065</v>
      </c>
      <c r="AB122" s="96" t="s">
        <v>24</v>
      </c>
      <c r="AC122" s="96">
        <v>379</v>
      </c>
      <c r="AE122" s="96">
        <f t="shared" si="114"/>
        <v>45.491187335092341</v>
      </c>
      <c r="AF122" s="96">
        <f t="shared" si="115"/>
        <v>46.582975831134554</v>
      </c>
      <c r="AG122" s="96">
        <f t="shared" si="116"/>
        <v>47.561218323588378</v>
      </c>
      <c r="AH122" s="96">
        <f t="shared" si="117"/>
        <v>48.560003908383727</v>
      </c>
      <c r="AI122" s="96">
        <f t="shared" si="118"/>
        <v>49.579763990459774</v>
      </c>
      <c r="AJ122" s="96">
        <f t="shared" si="119"/>
        <v>50.620939034259436</v>
      </c>
      <c r="AK122" s="96">
        <f t="shared" si="120"/>
        <v>51.683978753978877</v>
      </c>
      <c r="AL122" s="96">
        <f t="shared" si="121"/>
        <v>52.76934230781243</v>
      </c>
      <c r="AM122" s="96">
        <f t="shared" si="122"/>
        <v>53.87749849627648</v>
      </c>
      <c r="AN122" s="96">
        <f t="shared" si="123"/>
        <v>55.008925964698285</v>
      </c>
      <c r="AS122" s="96" t="s">
        <v>24</v>
      </c>
      <c r="AT122" s="96">
        <f t="shared" si="93"/>
        <v>4.8812044010554088</v>
      </c>
      <c r="AU122" s="96">
        <f t="shared" si="94"/>
        <v>4.9983533066807384</v>
      </c>
      <c r="AV122" s="96">
        <f t="shared" si="95"/>
        <v>5.1033187261210333</v>
      </c>
      <c r="AW122" s="96">
        <f t="shared" si="96"/>
        <v>5.2104884193695744</v>
      </c>
      <c r="AX122" s="96">
        <f t="shared" si="97"/>
        <v>5.3199086761763343</v>
      </c>
      <c r="AY122" s="96">
        <f t="shared" si="98"/>
        <v>5.431626758376038</v>
      </c>
      <c r="AZ122" s="96">
        <f t="shared" si="99"/>
        <v>5.5456909203019338</v>
      </c>
      <c r="BA122" s="96">
        <f t="shared" si="100"/>
        <v>5.6621504296282739</v>
      </c>
      <c r="BB122" s="96">
        <f t="shared" si="101"/>
        <v>5.7810555886504664</v>
      </c>
      <c r="BC122" s="96">
        <f t="shared" si="102"/>
        <v>5.9024577560121267</v>
      </c>
      <c r="BE122" s="169">
        <f t="shared" si="103"/>
        <v>5.3095001078342383</v>
      </c>
      <c r="BQ122" s="81" t="s">
        <v>51</v>
      </c>
      <c r="BR122" s="173">
        <f t="shared" si="124"/>
        <v>0</v>
      </c>
      <c r="BS122" s="173">
        <f t="shared" si="125"/>
        <v>0</v>
      </c>
      <c r="BT122" s="173">
        <f t="shared" si="126"/>
        <v>0</v>
      </c>
      <c r="BU122" s="173">
        <f t="shared" si="127"/>
        <v>0</v>
      </c>
      <c r="BV122" s="173">
        <f t="shared" si="128"/>
        <v>0</v>
      </c>
      <c r="BW122" s="173">
        <f t="shared" si="129"/>
        <v>0</v>
      </c>
      <c r="BX122" s="173">
        <f t="shared" si="130"/>
        <v>0</v>
      </c>
      <c r="BY122" s="173">
        <f t="shared" si="131"/>
        <v>0</v>
      </c>
      <c r="BZ122" s="173">
        <f t="shared" si="132"/>
        <v>0</v>
      </c>
      <c r="CA122" s="173">
        <f t="shared" si="133"/>
        <v>0</v>
      </c>
    </row>
    <row r="123" spans="2:79">
      <c r="B123" s="96" t="s">
        <v>24</v>
      </c>
      <c r="C123" s="96" t="s">
        <v>97</v>
      </c>
      <c r="D123" s="96" t="s">
        <v>97</v>
      </c>
      <c r="E123" s="96" t="s">
        <v>97</v>
      </c>
      <c r="F123" s="96">
        <v>379</v>
      </c>
      <c r="P123" s="96" t="s">
        <v>24</v>
      </c>
      <c r="Q123" s="170">
        <v>26279.989999999994</v>
      </c>
      <c r="R123" s="170">
        <v>26910.709759999994</v>
      </c>
      <c r="S123" s="170">
        <v>27475.834664959995</v>
      </c>
      <c r="T123" s="170">
        <v>28052.827192924149</v>
      </c>
      <c r="U123" s="170">
        <v>28641.936563975552</v>
      </c>
      <c r="V123" s="170">
        <v>29243.417231819039</v>
      </c>
      <c r="W123" s="170">
        <v>29857.528993687236</v>
      </c>
      <c r="X123" s="170">
        <v>30484.537102554666</v>
      </c>
      <c r="Y123" s="170">
        <v>31124.712381708308</v>
      </c>
      <c r="Z123" s="170">
        <v>31778.331341724181</v>
      </c>
      <c r="AB123" s="96" t="s">
        <v>24</v>
      </c>
      <c r="AC123" s="96">
        <v>119</v>
      </c>
      <c r="AE123" s="96">
        <f t="shared" si="114"/>
        <v>220.84025210084027</v>
      </c>
      <c r="AF123" s="96">
        <f t="shared" si="115"/>
        <v>226.14041815126046</v>
      </c>
      <c r="AG123" s="96">
        <f t="shared" si="116"/>
        <v>230.88936693243693</v>
      </c>
      <c r="AH123" s="96">
        <f t="shared" si="117"/>
        <v>235.73804363801807</v>
      </c>
      <c r="AI123" s="96">
        <f t="shared" si="118"/>
        <v>240.68854255441641</v>
      </c>
      <c r="AJ123" s="96">
        <f t="shared" si="119"/>
        <v>245.74300194805915</v>
      </c>
      <c r="AK123" s="96">
        <f t="shared" si="120"/>
        <v>250.90360498896837</v>
      </c>
      <c r="AL123" s="96">
        <f t="shared" si="121"/>
        <v>256.17258069373668</v>
      </c>
      <c r="AM123" s="96">
        <f t="shared" si="122"/>
        <v>261.55220488830508</v>
      </c>
      <c r="AN123" s="96">
        <f t="shared" si="123"/>
        <v>267.0448011909595</v>
      </c>
      <c r="AS123" s="96" t="s">
        <v>24</v>
      </c>
      <c r="AT123" s="96">
        <f t="shared" si="93"/>
        <v>23.696159050420164</v>
      </c>
      <c r="AU123" s="96">
        <f t="shared" si="94"/>
        <v>24.26486686763025</v>
      </c>
      <c r="AV123" s="96">
        <f t="shared" si="95"/>
        <v>24.774429071850484</v>
      </c>
      <c r="AW123" s="96">
        <f t="shared" si="96"/>
        <v>25.29469208235934</v>
      </c>
      <c r="AX123" s="96">
        <f t="shared" si="97"/>
        <v>25.825880616088885</v>
      </c>
      <c r="AY123" s="96">
        <f t="shared" si="98"/>
        <v>26.368224109026748</v>
      </c>
      <c r="AZ123" s="96">
        <f t="shared" si="99"/>
        <v>26.921956815316307</v>
      </c>
      <c r="BA123" s="96">
        <f t="shared" si="100"/>
        <v>27.487317908437948</v>
      </c>
      <c r="BB123" s="96">
        <f t="shared" si="101"/>
        <v>28.064551584515137</v>
      </c>
      <c r="BC123" s="96">
        <f t="shared" si="102"/>
        <v>28.653907167789956</v>
      </c>
      <c r="BE123" s="169">
        <f t="shared" si="103"/>
        <v>25.775351469866653</v>
      </c>
      <c r="BQ123" s="81" t="s">
        <v>77</v>
      </c>
      <c r="BR123" s="173">
        <f t="shared" si="124"/>
        <v>0</v>
      </c>
      <c r="BS123" s="173">
        <f t="shared" si="125"/>
        <v>0</v>
      </c>
      <c r="BT123" s="173">
        <f t="shared" si="126"/>
        <v>0</v>
      </c>
      <c r="BU123" s="173">
        <f t="shared" si="127"/>
        <v>0</v>
      </c>
      <c r="BV123" s="173">
        <f t="shared" si="128"/>
        <v>0</v>
      </c>
      <c r="BW123" s="173">
        <f t="shared" si="129"/>
        <v>0</v>
      </c>
      <c r="BX123" s="173">
        <f t="shared" si="130"/>
        <v>0</v>
      </c>
      <c r="BY123" s="173">
        <f t="shared" si="131"/>
        <v>0</v>
      </c>
      <c r="BZ123" s="173">
        <f t="shared" si="132"/>
        <v>0</v>
      </c>
      <c r="CA123" s="173">
        <f t="shared" si="133"/>
        <v>0</v>
      </c>
    </row>
    <row r="124" spans="2:79">
      <c r="B124" s="96" t="s">
        <v>24</v>
      </c>
      <c r="C124" s="96" t="s">
        <v>97</v>
      </c>
      <c r="D124" s="96" t="s">
        <v>97</v>
      </c>
      <c r="E124" s="96" t="s">
        <v>97</v>
      </c>
      <c r="F124" s="96">
        <v>379</v>
      </c>
      <c r="P124" s="96" t="s">
        <v>42</v>
      </c>
      <c r="Q124" s="170">
        <v>420828.44000000006</v>
      </c>
      <c r="R124" s="170">
        <v>430928.32256000006</v>
      </c>
      <c r="S124" s="170">
        <v>439977.81733376003</v>
      </c>
      <c r="T124" s="170">
        <v>449217.35149776895</v>
      </c>
      <c r="U124" s="170">
        <v>458650.91587922204</v>
      </c>
      <c r="V124" s="170">
        <v>468282.58511268569</v>
      </c>
      <c r="W124" s="170">
        <v>478116.51940005203</v>
      </c>
      <c r="X124" s="170">
        <v>488156.96630745311</v>
      </c>
      <c r="Y124" s="170">
        <v>498408.26259990956</v>
      </c>
      <c r="Z124" s="170">
        <v>508874.83611450758</v>
      </c>
      <c r="AB124" s="96" t="s">
        <v>42</v>
      </c>
      <c r="AC124" s="96">
        <v>450</v>
      </c>
      <c r="AE124" s="96">
        <f t="shared" si="114"/>
        <v>935.17431111111125</v>
      </c>
      <c r="AF124" s="96">
        <f t="shared" si="115"/>
        <v>957.61849457777794</v>
      </c>
      <c r="AG124" s="96">
        <f t="shared" si="116"/>
        <v>977.72848296391123</v>
      </c>
      <c r="AH124" s="96">
        <f t="shared" si="117"/>
        <v>998.26078110615322</v>
      </c>
      <c r="AI124" s="96">
        <f t="shared" si="118"/>
        <v>1019.2242575093824</v>
      </c>
      <c r="AJ124" s="96">
        <f t="shared" si="119"/>
        <v>1040.6279669170792</v>
      </c>
      <c r="AK124" s="96">
        <f t="shared" si="120"/>
        <v>1062.4811542223379</v>
      </c>
      <c r="AL124" s="96">
        <f t="shared" si="121"/>
        <v>1084.7932584610069</v>
      </c>
      <c r="AM124" s="96">
        <f t="shared" si="122"/>
        <v>1107.573916888688</v>
      </c>
      <c r="AN124" s="96">
        <f t="shared" si="123"/>
        <v>1130.8329691433501</v>
      </c>
      <c r="AS124" s="96" t="s">
        <v>42</v>
      </c>
      <c r="AT124" s="96">
        <f t="shared" si="93"/>
        <v>100.34420358222225</v>
      </c>
      <c r="AU124" s="96">
        <f t="shared" si="94"/>
        <v>102.75246446819558</v>
      </c>
      <c r="AV124" s="96">
        <f t="shared" si="95"/>
        <v>104.91026622202769</v>
      </c>
      <c r="AW124" s="96">
        <f t="shared" si="96"/>
        <v>107.11338181269025</v>
      </c>
      <c r="AX124" s="96">
        <f t="shared" si="97"/>
        <v>109.36276283075674</v>
      </c>
      <c r="AY124" s="96">
        <f t="shared" si="98"/>
        <v>111.65938085020261</v>
      </c>
      <c r="AZ124" s="96">
        <f t="shared" si="99"/>
        <v>114.00422784805686</v>
      </c>
      <c r="BA124" s="96">
        <f t="shared" si="100"/>
        <v>116.39831663286604</v>
      </c>
      <c r="BB124" s="96">
        <f t="shared" si="101"/>
        <v>118.84268128215624</v>
      </c>
      <c r="BC124" s="96">
        <f t="shared" si="102"/>
        <v>121.33837758908147</v>
      </c>
      <c r="BE124" s="169">
        <f t="shared" si="103"/>
        <v>109.14879115186267</v>
      </c>
      <c r="BQ124" s="81" t="s">
        <v>52</v>
      </c>
      <c r="BR124" s="173">
        <f t="shared" si="124"/>
        <v>6.2829035998414771</v>
      </c>
      <c r="BS124" s="173">
        <f t="shared" si="125"/>
        <v>6.4336932862376726</v>
      </c>
      <c r="BT124" s="173">
        <f t="shared" si="126"/>
        <v>6.5688008452486635</v>
      </c>
      <c r="BU124" s="173">
        <f t="shared" si="127"/>
        <v>6.7067456629988849</v>
      </c>
      <c r="BV124" s="173">
        <f t="shared" si="128"/>
        <v>6.8475873219218606</v>
      </c>
      <c r="BW124" s="173">
        <f t="shared" si="129"/>
        <v>6.9913866556822191</v>
      </c>
      <c r="BX124" s="173">
        <f t="shared" si="130"/>
        <v>7.1382057754515449</v>
      </c>
      <c r="BY124" s="173">
        <f t="shared" si="131"/>
        <v>7.2881080967360257</v>
      </c>
      <c r="BZ124" s="173">
        <f t="shared" si="132"/>
        <v>7.4411583667674828</v>
      </c>
      <c r="CA124" s="173">
        <f t="shared" si="133"/>
        <v>7.5974226924695971</v>
      </c>
    </row>
    <row r="125" spans="2:79">
      <c r="B125" s="96" t="s">
        <v>24</v>
      </c>
      <c r="C125" s="96">
        <v>72849.539999999994</v>
      </c>
      <c r="D125" s="96">
        <v>17241.159999999996</v>
      </c>
      <c r="E125" s="96">
        <v>48848.310000000012</v>
      </c>
      <c r="F125" s="96">
        <v>379</v>
      </c>
      <c r="P125" s="96" t="s">
        <v>42</v>
      </c>
      <c r="Q125" s="170">
        <v>3249.6900000000005</v>
      </c>
      <c r="R125" s="170">
        <v>3327.6825600000006</v>
      </c>
      <c r="S125" s="170">
        <v>3397.5638937600006</v>
      </c>
      <c r="T125" s="170">
        <v>3468.9127355289602</v>
      </c>
      <c r="U125" s="170">
        <v>3541.7599029750677</v>
      </c>
      <c r="V125" s="170">
        <v>3616.136860937544</v>
      </c>
      <c r="W125" s="170">
        <v>3692.0757350172321</v>
      </c>
      <c r="X125" s="170">
        <v>3769.6093254525936</v>
      </c>
      <c r="Y125" s="170">
        <v>3848.7711212870977</v>
      </c>
      <c r="Z125" s="170">
        <v>3929.5953148341259</v>
      </c>
      <c r="AB125" s="96" t="s">
        <v>42</v>
      </c>
      <c r="AC125" s="96">
        <v>472.5</v>
      </c>
      <c r="AE125" s="96">
        <f t="shared" si="114"/>
        <v>6.8776507936507949</v>
      </c>
      <c r="AF125" s="96">
        <f t="shared" si="115"/>
        <v>7.0427144126984143</v>
      </c>
      <c r="AG125" s="96">
        <f t="shared" si="116"/>
        <v>7.1906114153650806</v>
      </c>
      <c r="AH125" s="96">
        <f t="shared" si="117"/>
        <v>7.3416142550877463</v>
      </c>
      <c r="AI125" s="96">
        <f t="shared" si="118"/>
        <v>7.4957881544445879</v>
      </c>
      <c r="AJ125" s="96">
        <f t="shared" si="119"/>
        <v>7.653199705687924</v>
      </c>
      <c r="AK125" s="96">
        <f t="shared" si="120"/>
        <v>7.8139168995073698</v>
      </c>
      <c r="AL125" s="96">
        <f t="shared" si="121"/>
        <v>7.9780091543970233</v>
      </c>
      <c r="AM125" s="96">
        <f t="shared" si="122"/>
        <v>8.1455473466393595</v>
      </c>
      <c r="AN125" s="96">
        <f t="shared" si="123"/>
        <v>8.3166038409187859</v>
      </c>
      <c r="AS125" s="96" t="s">
        <v>42</v>
      </c>
      <c r="AT125" s="96">
        <f t="shared" si="93"/>
        <v>0.7379719301587303</v>
      </c>
      <c r="AU125" s="96">
        <f t="shared" si="94"/>
        <v>0.75568325648253987</v>
      </c>
      <c r="AV125" s="96">
        <f t="shared" si="95"/>
        <v>0.77155260486867316</v>
      </c>
      <c r="AW125" s="96">
        <f t="shared" si="96"/>
        <v>0.78775520957091527</v>
      </c>
      <c r="AX125" s="96">
        <f t="shared" si="97"/>
        <v>0.80429806897190437</v>
      </c>
      <c r="AY125" s="96">
        <f t="shared" si="98"/>
        <v>0.82118832842031431</v>
      </c>
      <c r="AZ125" s="96">
        <f t="shared" si="99"/>
        <v>0.83843328331714084</v>
      </c>
      <c r="BA125" s="96">
        <f t="shared" si="100"/>
        <v>0.85604038226680068</v>
      </c>
      <c r="BB125" s="96">
        <f t="shared" si="101"/>
        <v>0.87401723029440337</v>
      </c>
      <c r="BC125" s="96">
        <f t="shared" si="102"/>
        <v>0.89237159213058581</v>
      </c>
      <c r="BE125" s="169">
        <f t="shared" si="103"/>
        <v>0.80272443454923093</v>
      </c>
      <c r="BQ125" s="81" t="s">
        <v>78</v>
      </c>
      <c r="BR125" s="173">
        <f t="shared" si="124"/>
        <v>0</v>
      </c>
      <c r="BS125" s="173">
        <f t="shared" si="125"/>
        <v>0</v>
      </c>
      <c r="BT125" s="173">
        <f t="shared" si="126"/>
        <v>0</v>
      </c>
      <c r="BU125" s="173">
        <f t="shared" si="127"/>
        <v>0</v>
      </c>
      <c r="BV125" s="173">
        <f t="shared" si="128"/>
        <v>0</v>
      </c>
      <c r="BW125" s="173">
        <f t="shared" si="129"/>
        <v>0</v>
      </c>
      <c r="BX125" s="173">
        <f t="shared" si="130"/>
        <v>0</v>
      </c>
      <c r="BY125" s="173">
        <f t="shared" si="131"/>
        <v>0</v>
      </c>
      <c r="BZ125" s="173">
        <f t="shared" si="132"/>
        <v>0</v>
      </c>
      <c r="CA125" s="173">
        <f t="shared" si="133"/>
        <v>0</v>
      </c>
    </row>
    <row r="126" spans="2:79">
      <c r="B126" s="96" t="s">
        <v>24</v>
      </c>
      <c r="C126" s="96">
        <v>28820.73</v>
      </c>
      <c r="D126" s="96">
        <v>26279.989999999994</v>
      </c>
      <c r="E126" s="96">
        <v>67908.539999999994</v>
      </c>
      <c r="F126" s="96">
        <v>119</v>
      </c>
      <c r="P126" s="96" t="s">
        <v>42</v>
      </c>
      <c r="Q126" s="170">
        <v>16385.939999999999</v>
      </c>
      <c r="R126" s="170">
        <v>16779.202559999998</v>
      </c>
      <c r="S126" s="170">
        <v>17131.565813759997</v>
      </c>
      <c r="T126" s="170">
        <v>17491.328695848955</v>
      </c>
      <c r="U126" s="170">
        <v>17858.646598461783</v>
      </c>
      <c r="V126" s="170">
        <v>18233.67817702948</v>
      </c>
      <c r="W126" s="170">
        <v>18616.585418747094</v>
      </c>
      <c r="X126" s="170">
        <v>19007.533712540782</v>
      </c>
      <c r="Y126" s="170">
        <v>19406.691920504138</v>
      </c>
      <c r="Z126" s="170">
        <v>19814.232450834723</v>
      </c>
      <c r="AB126" s="96" t="s">
        <v>42</v>
      </c>
      <c r="AC126" s="96">
        <v>328</v>
      </c>
      <c r="AE126" s="96">
        <f t="shared" si="114"/>
        <v>49.95713414634146</v>
      </c>
      <c r="AF126" s="96">
        <f t="shared" si="115"/>
        <v>51.156105365853655</v>
      </c>
      <c r="AG126" s="96">
        <f t="shared" si="116"/>
        <v>52.230383578536575</v>
      </c>
      <c r="AH126" s="96">
        <f t="shared" si="117"/>
        <v>53.327221633685838</v>
      </c>
      <c r="AI126" s="96">
        <f t="shared" si="118"/>
        <v>54.447093287993241</v>
      </c>
      <c r="AJ126" s="96">
        <f t="shared" si="119"/>
        <v>55.590482247041095</v>
      </c>
      <c r="AK126" s="96">
        <f t="shared" si="120"/>
        <v>56.757882374228949</v>
      </c>
      <c r="AL126" s="96">
        <f t="shared" si="121"/>
        <v>57.949797904087752</v>
      </c>
      <c r="AM126" s="96">
        <f t="shared" si="122"/>
        <v>59.166743660073593</v>
      </c>
      <c r="AN126" s="96">
        <f t="shared" si="123"/>
        <v>60.409245276935131</v>
      </c>
      <c r="AS126" s="96" t="s">
        <v>42</v>
      </c>
      <c r="AT126" s="96">
        <f t="shared" si="93"/>
        <v>5.3604004939024392</v>
      </c>
      <c r="AU126" s="96">
        <f t="shared" si="94"/>
        <v>5.4890501057560979</v>
      </c>
      <c r="AV126" s="96">
        <f t="shared" si="95"/>
        <v>5.604320157976975</v>
      </c>
      <c r="AW126" s="96">
        <f t="shared" si="96"/>
        <v>5.7220108812944908</v>
      </c>
      <c r="AX126" s="96">
        <f t="shared" si="97"/>
        <v>5.8421731098016751</v>
      </c>
      <c r="AY126" s="96">
        <f t="shared" si="98"/>
        <v>5.9648587451075095</v>
      </c>
      <c r="AZ126" s="96">
        <f t="shared" si="99"/>
        <v>6.0901207787547662</v>
      </c>
      <c r="BA126" s="96">
        <f t="shared" si="100"/>
        <v>6.2180133151086165</v>
      </c>
      <c r="BB126" s="96">
        <f t="shared" si="101"/>
        <v>6.3485915947258968</v>
      </c>
      <c r="BC126" s="96">
        <f t="shared" si="102"/>
        <v>6.48191201821514</v>
      </c>
      <c r="BE126" s="169">
        <f t="shared" si="103"/>
        <v>5.8307427146988342</v>
      </c>
      <c r="BQ126" s="81" t="s">
        <v>79</v>
      </c>
      <c r="BR126" s="173">
        <f t="shared" si="124"/>
        <v>0</v>
      </c>
      <c r="BS126" s="173">
        <f t="shared" si="125"/>
        <v>0</v>
      </c>
      <c r="BT126" s="173">
        <f t="shared" si="126"/>
        <v>0</v>
      </c>
      <c r="BU126" s="173">
        <f t="shared" si="127"/>
        <v>0</v>
      </c>
      <c r="BV126" s="173">
        <f t="shared" si="128"/>
        <v>0</v>
      </c>
      <c r="BW126" s="173">
        <f t="shared" si="129"/>
        <v>0</v>
      </c>
      <c r="BX126" s="173">
        <f t="shared" si="130"/>
        <v>0</v>
      </c>
      <c r="BY126" s="173">
        <f t="shared" si="131"/>
        <v>0</v>
      </c>
      <c r="BZ126" s="173">
        <f t="shared" si="132"/>
        <v>0</v>
      </c>
      <c r="CA126" s="173">
        <f t="shared" si="133"/>
        <v>0</v>
      </c>
    </row>
    <row r="127" spans="2:79">
      <c r="B127" s="96" t="s">
        <v>42</v>
      </c>
      <c r="C127" s="96">
        <v>92113.18</v>
      </c>
      <c r="D127" s="96">
        <v>420828.44000000006</v>
      </c>
      <c r="E127" s="96">
        <v>0</v>
      </c>
      <c r="F127" s="96">
        <v>450</v>
      </c>
      <c r="P127" s="96" t="s">
        <v>42</v>
      </c>
      <c r="Q127" s="170">
        <v>164752.65000000002</v>
      </c>
      <c r="R127" s="170">
        <v>168706.71360000002</v>
      </c>
      <c r="S127" s="170">
        <v>172249.55458560001</v>
      </c>
      <c r="T127" s="170">
        <v>175866.79523189759</v>
      </c>
      <c r="U127" s="170">
        <v>179559.99793176743</v>
      </c>
      <c r="V127" s="170">
        <v>183330.75788833454</v>
      </c>
      <c r="W127" s="170">
        <v>187180.70380398954</v>
      </c>
      <c r="X127" s="170">
        <v>191111.4985838733</v>
      </c>
      <c r="Y127" s="170">
        <v>195124.84005413463</v>
      </c>
      <c r="Z127" s="170">
        <v>199222.46169527143</v>
      </c>
      <c r="AB127" s="96" t="s">
        <v>42</v>
      </c>
      <c r="AC127" s="96">
        <v>314</v>
      </c>
      <c r="AE127" s="96">
        <f t="shared" si="114"/>
        <v>524.6899681528663</v>
      </c>
      <c r="AF127" s="96">
        <f t="shared" si="115"/>
        <v>537.28252738853507</v>
      </c>
      <c r="AG127" s="96">
        <f t="shared" si="116"/>
        <v>548.56546046369431</v>
      </c>
      <c r="AH127" s="96">
        <f t="shared" si="117"/>
        <v>560.08533513343184</v>
      </c>
      <c r="AI127" s="96">
        <f t="shared" si="118"/>
        <v>571.84712717123386</v>
      </c>
      <c r="AJ127" s="96">
        <f t="shared" si="119"/>
        <v>583.85591684182975</v>
      </c>
      <c r="AK127" s="96">
        <f t="shared" si="120"/>
        <v>596.11689109550809</v>
      </c>
      <c r="AL127" s="96">
        <f t="shared" si="121"/>
        <v>608.63534580851365</v>
      </c>
      <c r="AM127" s="96">
        <f t="shared" si="122"/>
        <v>621.41668807049246</v>
      </c>
      <c r="AN127" s="96">
        <f t="shared" si="123"/>
        <v>634.46643851997271</v>
      </c>
      <c r="AS127" s="96" t="s">
        <v>42</v>
      </c>
      <c r="AT127" s="96">
        <f t="shared" si="93"/>
        <v>56.299233582802557</v>
      </c>
      <c r="AU127" s="96">
        <f t="shared" si="94"/>
        <v>57.650415188789815</v>
      </c>
      <c r="AV127" s="96">
        <f t="shared" si="95"/>
        <v>58.861073907754403</v>
      </c>
      <c r="AW127" s="96">
        <f t="shared" si="96"/>
        <v>60.097156459817242</v>
      </c>
      <c r="AX127" s="96">
        <f t="shared" si="97"/>
        <v>61.359196745473398</v>
      </c>
      <c r="AY127" s="96">
        <f t="shared" si="98"/>
        <v>62.647739877128338</v>
      </c>
      <c r="AZ127" s="96">
        <f t="shared" si="99"/>
        <v>63.963342414548023</v>
      </c>
      <c r="BA127" s="96">
        <f t="shared" si="100"/>
        <v>65.306572605253521</v>
      </c>
      <c r="BB127" s="96">
        <f t="shared" si="101"/>
        <v>66.67801062996385</v>
      </c>
      <c r="BC127" s="96">
        <f t="shared" si="102"/>
        <v>68.078248853193074</v>
      </c>
      <c r="BE127" s="169">
        <f t="shared" si="103"/>
        <v>61.239145550684754</v>
      </c>
      <c r="BQ127" s="81" t="s">
        <v>80</v>
      </c>
      <c r="BR127" s="173">
        <f t="shared" si="124"/>
        <v>0</v>
      </c>
      <c r="BS127" s="173">
        <f t="shared" si="125"/>
        <v>0</v>
      </c>
      <c r="BT127" s="173">
        <f t="shared" si="126"/>
        <v>0</v>
      </c>
      <c r="BU127" s="173">
        <f t="shared" si="127"/>
        <v>0</v>
      </c>
      <c r="BV127" s="173">
        <f t="shared" si="128"/>
        <v>0</v>
      </c>
      <c r="BW127" s="173">
        <f t="shared" si="129"/>
        <v>0</v>
      </c>
      <c r="BX127" s="173">
        <f t="shared" si="130"/>
        <v>0</v>
      </c>
      <c r="BY127" s="173">
        <f t="shared" si="131"/>
        <v>0</v>
      </c>
      <c r="BZ127" s="173">
        <f t="shared" si="132"/>
        <v>0</v>
      </c>
      <c r="CA127" s="173">
        <f t="shared" si="133"/>
        <v>0</v>
      </c>
    </row>
    <row r="128" spans="2:79">
      <c r="B128" s="96" t="s">
        <v>42</v>
      </c>
      <c r="C128" s="96">
        <v>126940.7</v>
      </c>
      <c r="D128" s="96">
        <v>3249.6900000000005</v>
      </c>
      <c r="E128" s="96">
        <v>0</v>
      </c>
      <c r="F128" s="96">
        <v>472.5</v>
      </c>
      <c r="P128" s="96" t="s">
        <v>42</v>
      </c>
      <c r="Q128" s="170">
        <v>27197.350000000002</v>
      </c>
      <c r="R128" s="170">
        <v>27850.086400000004</v>
      </c>
      <c r="S128" s="170">
        <v>28434.938214400001</v>
      </c>
      <c r="T128" s="170">
        <v>29032.071916902398</v>
      </c>
      <c r="U128" s="170">
        <v>29641.745427157344</v>
      </c>
      <c r="V128" s="170">
        <v>30264.222081127649</v>
      </c>
      <c r="W128" s="170">
        <v>30899.770744831323</v>
      </c>
      <c r="X128" s="170">
        <v>31548.66593047278</v>
      </c>
      <c r="Y128" s="170">
        <v>32211.187915012706</v>
      </c>
      <c r="Z128" s="170">
        <v>32887.622861227966</v>
      </c>
      <c r="AB128" s="96" t="s">
        <v>42</v>
      </c>
      <c r="AC128" s="96">
        <v>564</v>
      </c>
      <c r="AE128" s="96">
        <f t="shared" si="114"/>
        <v>48.222251773049649</v>
      </c>
      <c r="AF128" s="96">
        <f t="shared" si="115"/>
        <v>49.379585815602844</v>
      </c>
      <c r="AG128" s="96">
        <f t="shared" si="116"/>
        <v>50.416557117730498</v>
      </c>
      <c r="AH128" s="96">
        <f t="shared" si="117"/>
        <v>51.475304817202833</v>
      </c>
      <c r="AI128" s="96">
        <f t="shared" si="118"/>
        <v>52.556286218364086</v>
      </c>
      <c r="AJ128" s="96">
        <f t="shared" si="119"/>
        <v>53.65996822894973</v>
      </c>
      <c r="AK128" s="96">
        <f t="shared" si="120"/>
        <v>54.786827561757669</v>
      </c>
      <c r="AL128" s="96">
        <f t="shared" si="121"/>
        <v>55.937350940554573</v>
      </c>
      <c r="AM128" s="96">
        <f t="shared" si="122"/>
        <v>57.112035310306219</v>
      </c>
      <c r="AN128" s="96">
        <f t="shared" si="123"/>
        <v>58.311388051822632</v>
      </c>
      <c r="AS128" s="96" t="s">
        <v>42</v>
      </c>
      <c r="AT128" s="96">
        <f t="shared" si="93"/>
        <v>5.1742476152482277</v>
      </c>
      <c r="AU128" s="96">
        <f t="shared" si="94"/>
        <v>5.2984295580141856</v>
      </c>
      <c r="AV128" s="96">
        <f t="shared" si="95"/>
        <v>5.4096965787324827</v>
      </c>
      <c r="AW128" s="96">
        <f t="shared" si="96"/>
        <v>5.5233002068858639</v>
      </c>
      <c r="AX128" s="96">
        <f t="shared" si="97"/>
        <v>5.6392895112304666</v>
      </c>
      <c r="AY128" s="96">
        <f t="shared" si="98"/>
        <v>5.7577145909663061</v>
      </c>
      <c r="AZ128" s="96">
        <f t="shared" si="99"/>
        <v>5.8786265973765985</v>
      </c>
      <c r="BA128" s="96">
        <f t="shared" si="100"/>
        <v>6.0020777559215057</v>
      </c>
      <c r="BB128" s="96">
        <f t="shared" si="101"/>
        <v>6.1281213887958579</v>
      </c>
      <c r="BC128" s="96">
        <f t="shared" si="102"/>
        <v>6.2568119379605687</v>
      </c>
      <c r="BE128" s="169">
        <f t="shared" si="103"/>
        <v>5.628256064257708</v>
      </c>
      <c r="BQ128" s="81" t="s">
        <v>53</v>
      </c>
      <c r="BR128" s="173">
        <f t="shared" si="124"/>
        <v>4.2472390176289112</v>
      </c>
      <c r="BS128" s="173">
        <f t="shared" si="125"/>
        <v>4.3491727540520051</v>
      </c>
      <c r="BT128" s="173">
        <f t="shared" si="126"/>
        <v>4.4405053818870979</v>
      </c>
      <c r="BU128" s="173">
        <f t="shared" si="127"/>
        <v>4.5337559949067252</v>
      </c>
      <c r="BV128" s="173">
        <f t="shared" si="128"/>
        <v>4.6289648707997664</v>
      </c>
      <c r="BW128" s="173">
        <f t="shared" si="129"/>
        <v>4.7261731330865606</v>
      </c>
      <c r="BX128" s="173">
        <f t="shared" si="130"/>
        <v>4.8254227688813787</v>
      </c>
      <c r="BY128" s="173">
        <f t="shared" si="131"/>
        <v>4.9267566470278874</v>
      </c>
      <c r="BZ128" s="173">
        <f t="shared" si="132"/>
        <v>5.0302185366154726</v>
      </c>
      <c r="CA128" s="173">
        <f t="shared" si="133"/>
        <v>5.1358531258843971</v>
      </c>
    </row>
    <row r="129" spans="1:110">
      <c r="B129" s="96" t="s">
        <v>42</v>
      </c>
      <c r="P129" s="96" t="s">
        <v>49</v>
      </c>
      <c r="Q129" s="170">
        <v>2638.86</v>
      </c>
      <c r="R129" s="170">
        <v>2702.1926400000002</v>
      </c>
      <c r="S129" s="170">
        <v>2758.93868544</v>
      </c>
      <c r="T129" s="170">
        <v>2816.8763978342399</v>
      </c>
      <c r="U129" s="170">
        <v>2876.0308021887581</v>
      </c>
      <c r="V129" s="170">
        <v>2936.427449034722</v>
      </c>
      <c r="W129" s="170">
        <v>2998.092425464451</v>
      </c>
      <c r="X129" s="170">
        <v>3061.0523663992044</v>
      </c>
      <c r="Y129" s="170">
        <v>3125.3344660935873</v>
      </c>
      <c r="Z129" s="170">
        <v>3190.9664898815522</v>
      </c>
      <c r="AB129" s="96" t="s">
        <v>49</v>
      </c>
      <c r="AC129" s="96">
        <v>17</v>
      </c>
      <c r="AE129" s="96">
        <f t="shared" si="114"/>
        <v>155.22705882352943</v>
      </c>
      <c r="AF129" s="96">
        <f t="shared" si="115"/>
        <v>158.95250823529412</v>
      </c>
      <c r="AG129" s="96">
        <f t="shared" si="116"/>
        <v>162.29051090823529</v>
      </c>
      <c r="AH129" s="96">
        <f t="shared" si="117"/>
        <v>165.69861163730823</v>
      </c>
      <c r="AI129" s="96">
        <f t="shared" si="118"/>
        <v>169.17828248169167</v>
      </c>
      <c r="AJ129" s="96">
        <f t="shared" si="119"/>
        <v>172.73102641380717</v>
      </c>
      <c r="AK129" s="96">
        <f t="shared" si="120"/>
        <v>176.35837796849711</v>
      </c>
      <c r="AL129" s="96">
        <f t="shared" si="121"/>
        <v>180.06190390583555</v>
      </c>
      <c r="AM129" s="96">
        <f t="shared" si="122"/>
        <v>183.84320388785807</v>
      </c>
      <c r="AN129" s="96">
        <f t="shared" si="123"/>
        <v>187.70391116950307</v>
      </c>
      <c r="AS129" s="96" t="s">
        <v>49</v>
      </c>
      <c r="AT129" s="96">
        <f t="shared" si="93"/>
        <v>16.65586341176471</v>
      </c>
      <c r="AU129" s="96">
        <f t="shared" si="94"/>
        <v>17.055604133647059</v>
      </c>
      <c r="AV129" s="96">
        <f t="shared" si="95"/>
        <v>17.413771820453647</v>
      </c>
      <c r="AW129" s="96">
        <f t="shared" si="96"/>
        <v>17.779461028683173</v>
      </c>
      <c r="AX129" s="96">
        <f t="shared" si="97"/>
        <v>18.152829710285516</v>
      </c>
      <c r="AY129" s="96">
        <f t="shared" si="98"/>
        <v>18.53403913420151</v>
      </c>
      <c r="AZ129" s="96">
        <f t="shared" si="99"/>
        <v>18.923253956019742</v>
      </c>
      <c r="BA129" s="96">
        <f t="shared" si="100"/>
        <v>19.320642289096156</v>
      </c>
      <c r="BB129" s="96">
        <f t="shared" si="101"/>
        <v>19.726375777167171</v>
      </c>
      <c r="BC129" s="96">
        <f t="shared" si="102"/>
        <v>20.14062966848768</v>
      </c>
      <c r="BE129" s="169">
        <f t="shared" si="103"/>
        <v>18.117313129053947</v>
      </c>
      <c r="BQ129" s="81" t="s">
        <v>81</v>
      </c>
      <c r="BR129" s="173">
        <f t="shared" si="124"/>
        <v>0</v>
      </c>
      <c r="BS129" s="173">
        <f t="shared" si="125"/>
        <v>0</v>
      </c>
      <c r="BT129" s="173">
        <f t="shared" si="126"/>
        <v>0</v>
      </c>
      <c r="BU129" s="173">
        <f t="shared" si="127"/>
        <v>0</v>
      </c>
      <c r="BV129" s="173">
        <f t="shared" si="128"/>
        <v>0</v>
      </c>
      <c r="BW129" s="173">
        <f t="shared" si="129"/>
        <v>0</v>
      </c>
      <c r="BX129" s="173">
        <f t="shared" si="130"/>
        <v>0</v>
      </c>
      <c r="BY129" s="173">
        <f t="shared" si="131"/>
        <v>0</v>
      </c>
      <c r="BZ129" s="173">
        <f t="shared" si="132"/>
        <v>0</v>
      </c>
      <c r="CA129" s="173">
        <f t="shared" si="133"/>
        <v>0</v>
      </c>
    </row>
    <row r="130" spans="1:110">
      <c r="B130" s="96" t="s">
        <v>42</v>
      </c>
      <c r="C130" s="96">
        <v>5999.04</v>
      </c>
      <c r="D130" s="96">
        <v>16385.939999999999</v>
      </c>
      <c r="E130" s="96">
        <v>21803.040000000001</v>
      </c>
      <c r="F130" s="96">
        <v>328</v>
      </c>
      <c r="P130" s="96" t="s">
        <v>49</v>
      </c>
      <c r="Q130" s="170">
        <v>9424.5</v>
      </c>
      <c r="R130" s="170">
        <v>9650.6880000000001</v>
      </c>
      <c r="S130" s="170">
        <v>9853.3524479999996</v>
      </c>
      <c r="T130" s="170">
        <v>10060.272849407998</v>
      </c>
      <c r="U130" s="170">
        <v>10271.538579245565</v>
      </c>
      <c r="V130" s="170">
        <v>10487.240889409723</v>
      </c>
      <c r="W130" s="170">
        <v>10707.472948087325</v>
      </c>
      <c r="X130" s="170">
        <v>10932.329879997158</v>
      </c>
      <c r="Y130" s="170">
        <v>11161.908807477097</v>
      </c>
      <c r="Z130" s="170">
        <v>11396.308892434114</v>
      </c>
      <c r="AB130" s="96" t="s">
        <v>49</v>
      </c>
      <c r="AC130" s="96">
        <v>444</v>
      </c>
      <c r="AE130" s="96">
        <f t="shared" si="114"/>
        <v>21.226351351351351</v>
      </c>
      <c r="AF130" s="96">
        <f t="shared" si="115"/>
        <v>21.735783783783784</v>
      </c>
      <c r="AG130" s="96">
        <f t="shared" si="116"/>
        <v>22.192235243243243</v>
      </c>
      <c r="AH130" s="96">
        <f t="shared" si="117"/>
        <v>22.658272183351347</v>
      </c>
      <c r="AI130" s="96">
        <f t="shared" si="118"/>
        <v>23.134095899201725</v>
      </c>
      <c r="AJ130" s="96">
        <f t="shared" si="119"/>
        <v>23.619911913084959</v>
      </c>
      <c r="AK130" s="96">
        <f t="shared" si="120"/>
        <v>24.115930063259739</v>
      </c>
      <c r="AL130" s="96">
        <f t="shared" si="121"/>
        <v>24.622364594588195</v>
      </c>
      <c r="AM130" s="96">
        <f t="shared" si="122"/>
        <v>25.139434251074544</v>
      </c>
      <c r="AN130" s="96">
        <f t="shared" si="123"/>
        <v>25.667362370347103</v>
      </c>
      <c r="AS130" s="96" t="s">
        <v>49</v>
      </c>
      <c r="AT130" s="96">
        <f t="shared" si="93"/>
        <v>2.2775875000000001</v>
      </c>
      <c r="AU130" s="96">
        <f t="shared" si="94"/>
        <v>2.3322496000000004</v>
      </c>
      <c r="AV130" s="96">
        <f t="shared" si="95"/>
        <v>2.3812268416000002</v>
      </c>
      <c r="AW130" s="96">
        <f t="shared" si="96"/>
        <v>2.4312326052735997</v>
      </c>
      <c r="AX130" s="96">
        <f t="shared" si="97"/>
        <v>2.4822884899843451</v>
      </c>
      <c r="AY130" s="96">
        <f t="shared" si="98"/>
        <v>2.5344165482740162</v>
      </c>
      <c r="AZ130" s="96">
        <f t="shared" si="99"/>
        <v>2.5876392957877701</v>
      </c>
      <c r="BA130" s="96">
        <f t="shared" si="100"/>
        <v>2.6419797209993137</v>
      </c>
      <c r="BB130" s="96">
        <f t="shared" si="101"/>
        <v>2.6974612951402985</v>
      </c>
      <c r="BC130" s="96">
        <f t="shared" si="102"/>
        <v>2.7541079823382444</v>
      </c>
      <c r="BE130" s="169">
        <f t="shared" si="103"/>
        <v>2.4774318146228853</v>
      </c>
      <c r="BQ130" s="81" t="s">
        <v>55</v>
      </c>
      <c r="BR130" s="173">
        <f t="shared" si="124"/>
        <v>6.0268165616045861</v>
      </c>
      <c r="BS130" s="173">
        <f t="shared" si="125"/>
        <v>6.1714601590830958</v>
      </c>
      <c r="BT130" s="173">
        <f t="shared" si="126"/>
        <v>6.3010608224238425</v>
      </c>
      <c r="BU130" s="173">
        <f t="shared" si="127"/>
        <v>6.4333830996947414</v>
      </c>
      <c r="BV130" s="173">
        <f t="shared" si="128"/>
        <v>6.5684841447883295</v>
      </c>
      <c r="BW130" s="173">
        <f t="shared" si="129"/>
        <v>6.7064223118288844</v>
      </c>
      <c r="BX130" s="173">
        <f t="shared" si="130"/>
        <v>6.8472571803772908</v>
      </c>
      <c r="BY130" s="173">
        <f t="shared" si="131"/>
        <v>6.991049581165214</v>
      </c>
      <c r="BZ130" s="173">
        <f t="shared" si="132"/>
        <v>7.137861622369682</v>
      </c>
      <c r="CA130" s="173">
        <f t="shared" si="133"/>
        <v>7.2877567164394428</v>
      </c>
    </row>
    <row r="131" spans="1:110">
      <c r="B131" s="96" t="s">
        <v>42</v>
      </c>
      <c r="C131" s="96">
        <v>21210.369999999992</v>
      </c>
      <c r="D131" s="96">
        <v>164752.65000000002</v>
      </c>
      <c r="E131" s="96">
        <v>121234.73999999998</v>
      </c>
      <c r="F131" s="96">
        <v>314</v>
      </c>
      <c r="P131" s="96" t="s">
        <v>49</v>
      </c>
      <c r="Q131" s="170">
        <v>124286.75</v>
      </c>
      <c r="R131" s="170">
        <v>127269.632</v>
      </c>
      <c r="S131" s="170">
        <v>129942.294272</v>
      </c>
      <c r="T131" s="170">
        <v>132671.08245171199</v>
      </c>
      <c r="U131" s="170">
        <v>135457.17518319792</v>
      </c>
      <c r="V131" s="170">
        <v>138301.77586204506</v>
      </c>
      <c r="W131" s="170">
        <v>141206.11315514799</v>
      </c>
      <c r="X131" s="170">
        <v>144171.4415314061</v>
      </c>
      <c r="Y131" s="170">
        <v>147199.0418035656</v>
      </c>
      <c r="Z131" s="170">
        <v>150290.22168144045</v>
      </c>
      <c r="AB131" s="96" t="s">
        <v>49</v>
      </c>
      <c r="AC131" s="96">
        <v>408</v>
      </c>
      <c r="AE131" s="96">
        <f t="shared" si="114"/>
        <v>304.62438725490193</v>
      </c>
      <c r="AF131" s="96">
        <f t="shared" si="115"/>
        <v>311.93537254901958</v>
      </c>
      <c r="AG131" s="96">
        <f t="shared" si="116"/>
        <v>318.48601537254899</v>
      </c>
      <c r="AH131" s="96">
        <f t="shared" si="117"/>
        <v>325.17422169537252</v>
      </c>
      <c r="AI131" s="96">
        <f t="shared" si="118"/>
        <v>332.00288035097532</v>
      </c>
      <c r="AJ131" s="96">
        <f t="shared" si="119"/>
        <v>338.97494083834573</v>
      </c>
      <c r="AK131" s="96">
        <f t="shared" si="120"/>
        <v>346.09341459595095</v>
      </c>
      <c r="AL131" s="96">
        <f t="shared" si="121"/>
        <v>353.36137630246594</v>
      </c>
      <c r="AM131" s="96">
        <f t="shared" si="122"/>
        <v>360.78196520481765</v>
      </c>
      <c r="AN131" s="96">
        <f t="shared" si="123"/>
        <v>368.35838647411873</v>
      </c>
      <c r="AS131" s="96" t="s">
        <v>49</v>
      </c>
      <c r="AT131" s="96">
        <f t="shared" si="93"/>
        <v>32.686196752450982</v>
      </c>
      <c r="AU131" s="96">
        <f t="shared" si="94"/>
        <v>33.470665474509801</v>
      </c>
      <c r="AV131" s="96">
        <f t="shared" si="95"/>
        <v>34.173549449474507</v>
      </c>
      <c r="AW131" s="96">
        <f t="shared" si="96"/>
        <v>34.891193987913475</v>
      </c>
      <c r="AX131" s="96">
        <f t="shared" si="97"/>
        <v>35.623909061659653</v>
      </c>
      <c r="AY131" s="96">
        <f t="shared" si="98"/>
        <v>36.372011151954496</v>
      </c>
      <c r="AZ131" s="96">
        <f t="shared" si="99"/>
        <v>37.135823386145539</v>
      </c>
      <c r="BA131" s="96">
        <f t="shared" si="100"/>
        <v>37.915675677254598</v>
      </c>
      <c r="BB131" s="96">
        <f t="shared" si="101"/>
        <v>38.711904866476935</v>
      </c>
      <c r="BC131" s="96">
        <f t="shared" si="102"/>
        <v>39.524854868672939</v>
      </c>
      <c r="BE131" s="169">
        <f t="shared" si="103"/>
        <v>35.554209765177092</v>
      </c>
      <c r="BQ131" s="81" t="s">
        <v>56</v>
      </c>
      <c r="BR131" s="173">
        <f t="shared" si="124"/>
        <v>4.143800003787879</v>
      </c>
      <c r="BS131" s="173">
        <f t="shared" si="125"/>
        <v>4.2432512038787875</v>
      </c>
      <c r="BT131" s="173">
        <f t="shared" si="126"/>
        <v>4.3323594791602416</v>
      </c>
      <c r="BU131" s="173">
        <f t="shared" si="127"/>
        <v>4.4233390282226068</v>
      </c>
      <c r="BV131" s="173">
        <f t="shared" si="128"/>
        <v>4.516229147815281</v>
      </c>
      <c r="BW131" s="173">
        <f t="shared" si="129"/>
        <v>4.6110699599194023</v>
      </c>
      <c r="BX131" s="173">
        <f t="shared" si="130"/>
        <v>4.7079024290777083</v>
      </c>
      <c r="BY131" s="173">
        <f t="shared" si="131"/>
        <v>4.8067683800883403</v>
      </c>
      <c r="BZ131" s="173">
        <f t="shared" si="132"/>
        <v>4.9077105160701944</v>
      </c>
      <c r="CA131" s="173">
        <f t="shared" si="133"/>
        <v>5.0107724369076685</v>
      </c>
    </row>
    <row r="132" spans="1:110">
      <c r="B132" s="96" t="s">
        <v>42</v>
      </c>
      <c r="C132" s="96">
        <v>14863.620000000003</v>
      </c>
      <c r="D132" s="96">
        <v>27197.350000000002</v>
      </c>
      <c r="E132" s="96">
        <v>71949.740000000005</v>
      </c>
      <c r="F132" s="96">
        <v>564</v>
      </c>
      <c r="P132" s="96" t="s">
        <v>50</v>
      </c>
      <c r="Q132" s="170">
        <v>5306.4600000000009</v>
      </c>
      <c r="R132" s="170">
        <v>5433.8150400000013</v>
      </c>
      <c r="S132" s="170">
        <v>5547.925155840001</v>
      </c>
      <c r="T132" s="170">
        <v>5664.4315841126399</v>
      </c>
      <c r="U132" s="170">
        <v>5783.3846473790045</v>
      </c>
      <c r="V132" s="170">
        <v>5904.8357249739638</v>
      </c>
      <c r="W132" s="170">
        <v>6028.8372751984161</v>
      </c>
      <c r="X132" s="170">
        <v>6155.4428579775822</v>
      </c>
      <c r="Y132" s="170">
        <v>6284.7071579951107</v>
      </c>
      <c r="Z132" s="170">
        <v>6416.6860083130077</v>
      </c>
      <c r="AB132" s="96" t="s">
        <v>50</v>
      </c>
      <c r="AC132" s="96">
        <v>920</v>
      </c>
      <c r="AE132" s="96">
        <f t="shared" si="114"/>
        <v>5.7678913043478275</v>
      </c>
      <c r="AF132" s="96">
        <f t="shared" si="115"/>
        <v>5.906320695652175</v>
      </c>
      <c r="AG132" s="96">
        <f t="shared" si="116"/>
        <v>6.0303534302608703</v>
      </c>
      <c r="AH132" s="96">
        <f t="shared" si="117"/>
        <v>6.1569908522963477</v>
      </c>
      <c r="AI132" s="96">
        <f t="shared" si="118"/>
        <v>6.2862876601945699</v>
      </c>
      <c r="AJ132" s="96">
        <f t="shared" si="119"/>
        <v>6.4182997010586567</v>
      </c>
      <c r="AK132" s="96">
        <f t="shared" si="120"/>
        <v>6.553083994780887</v>
      </c>
      <c r="AL132" s="96">
        <f t="shared" si="121"/>
        <v>6.6906987586712852</v>
      </c>
      <c r="AM132" s="96">
        <f t="shared" si="122"/>
        <v>6.831203432603381</v>
      </c>
      <c r="AN132" s="96">
        <f t="shared" si="123"/>
        <v>6.9746587046880517</v>
      </c>
      <c r="AS132" s="96" t="s">
        <v>50</v>
      </c>
      <c r="AT132" s="96">
        <f t="shared" si="93"/>
        <v>0.61889473695652197</v>
      </c>
      <c r="AU132" s="96">
        <f t="shared" si="94"/>
        <v>0.63374821064347842</v>
      </c>
      <c r="AV132" s="96">
        <f t="shared" si="95"/>
        <v>0.64705692306699147</v>
      </c>
      <c r="AW132" s="96">
        <f t="shared" si="96"/>
        <v>0.66064511845139817</v>
      </c>
      <c r="AX132" s="96">
        <f t="shared" si="97"/>
        <v>0.67451866593887744</v>
      </c>
      <c r="AY132" s="96">
        <f t="shared" si="98"/>
        <v>0.68868355792359393</v>
      </c>
      <c r="AZ132" s="96">
        <f t="shared" si="99"/>
        <v>0.70314591263998927</v>
      </c>
      <c r="BA132" s="96">
        <f t="shared" si="100"/>
        <v>0.71791197680542895</v>
      </c>
      <c r="BB132" s="96">
        <f t="shared" si="101"/>
        <v>0.73298812831834281</v>
      </c>
      <c r="BC132" s="96">
        <f t="shared" si="102"/>
        <v>0.74838087901302797</v>
      </c>
      <c r="BE132" s="169">
        <f t="shared" si="103"/>
        <v>0.67319894899262889</v>
      </c>
      <c r="BQ132" s="81" t="s">
        <v>58</v>
      </c>
      <c r="BR132" s="173">
        <f t="shared" si="124"/>
        <v>21.433122515563461</v>
      </c>
      <c r="BS132" s="173">
        <f t="shared" si="125"/>
        <v>21.947517455936985</v>
      </c>
      <c r="BT132" s="173">
        <f t="shared" si="126"/>
        <v>22.408415322511662</v>
      </c>
      <c r="BU132" s="173">
        <f t="shared" si="127"/>
        <v>22.878992044284402</v>
      </c>
      <c r="BV132" s="173">
        <f t="shared" si="128"/>
        <v>23.359450877214371</v>
      </c>
      <c r="BW132" s="173">
        <f t="shared" si="129"/>
        <v>23.849999345635872</v>
      </c>
      <c r="BX132" s="173">
        <f t="shared" si="130"/>
        <v>24.350849331894221</v>
      </c>
      <c r="BY132" s="173">
        <f t="shared" si="131"/>
        <v>24.862217167864003</v>
      </c>
      <c r="BZ132" s="173">
        <f t="shared" si="132"/>
        <v>25.384323728389145</v>
      </c>
      <c r="CA132" s="173">
        <f t="shared" si="133"/>
        <v>25.917394526685314</v>
      </c>
    </row>
    <row r="133" spans="1:110">
      <c r="B133" s="96" t="s">
        <v>42</v>
      </c>
      <c r="P133" s="96" t="s">
        <v>53</v>
      </c>
      <c r="Q133" s="170">
        <v>65621.23</v>
      </c>
      <c r="R133" s="170">
        <v>67196.139519999997</v>
      </c>
      <c r="S133" s="170">
        <v>68607.258449920002</v>
      </c>
      <c r="T133" s="170">
        <v>70048.010877368302</v>
      </c>
      <c r="U133" s="170">
        <v>71519.019105793035</v>
      </c>
      <c r="V133" s="170">
        <v>73020.918507014678</v>
      </c>
      <c r="W133" s="170">
        <v>74554.357795661985</v>
      </c>
      <c r="X133" s="170">
        <v>76119.999309370876</v>
      </c>
      <c r="Y133" s="170">
        <v>77718.519294867656</v>
      </c>
      <c r="Z133" s="170">
        <v>79350.608200059869</v>
      </c>
      <c r="AB133" s="96" t="s">
        <v>53</v>
      </c>
      <c r="AC133" s="96">
        <v>1216</v>
      </c>
      <c r="AE133" s="96">
        <f t="shared" si="114"/>
        <v>53.964827302631576</v>
      </c>
      <c r="AF133" s="96">
        <f t="shared" si="115"/>
        <v>55.259983157894737</v>
      </c>
      <c r="AG133" s="96">
        <f t="shared" si="116"/>
        <v>56.420442804210531</v>
      </c>
      <c r="AH133" s="96">
        <f t="shared" si="117"/>
        <v>57.605272103098933</v>
      </c>
      <c r="AI133" s="96">
        <f t="shared" si="118"/>
        <v>58.81498281726401</v>
      </c>
      <c r="AJ133" s="96">
        <f t="shared" si="119"/>
        <v>60.050097456426542</v>
      </c>
      <c r="AK133" s="96">
        <f t="shared" si="120"/>
        <v>61.311149503011499</v>
      </c>
      <c r="AL133" s="96">
        <f t="shared" si="121"/>
        <v>62.598683642574734</v>
      </c>
      <c r="AM133" s="96">
        <f t="shared" si="122"/>
        <v>63.913255999068795</v>
      </c>
      <c r="AN133" s="96">
        <f t="shared" si="123"/>
        <v>65.255434375049234</v>
      </c>
      <c r="AS133" s="96" t="s">
        <v>53</v>
      </c>
      <c r="AT133" s="96">
        <f t="shared" si="93"/>
        <v>5.7904259695723681</v>
      </c>
      <c r="AU133" s="96">
        <f t="shared" si="94"/>
        <v>5.9293961928421055</v>
      </c>
      <c r="AV133" s="96">
        <f t="shared" si="95"/>
        <v>6.05391351289179</v>
      </c>
      <c r="AW133" s="96">
        <f t="shared" si="96"/>
        <v>6.1810456966625162</v>
      </c>
      <c r="AX133" s="96">
        <f t="shared" si="97"/>
        <v>6.3108476562924283</v>
      </c>
      <c r="AY133" s="96">
        <f t="shared" si="98"/>
        <v>6.443375457074568</v>
      </c>
      <c r="AZ133" s="96">
        <f t="shared" si="99"/>
        <v>6.5786863416731345</v>
      </c>
      <c r="BA133" s="96">
        <f t="shared" si="100"/>
        <v>6.7168387548482693</v>
      </c>
      <c r="BB133" s="96">
        <f t="shared" si="101"/>
        <v>6.8578923687000826</v>
      </c>
      <c r="BC133" s="96">
        <f t="shared" si="102"/>
        <v>7.001908108442783</v>
      </c>
      <c r="BE133" s="169">
        <f t="shared" si="103"/>
        <v>6.2985002847254608</v>
      </c>
      <c r="BQ133" s="81" t="s">
        <v>60</v>
      </c>
      <c r="BR133" s="173">
        <f t="shared" si="124"/>
        <v>3.0981142368852459</v>
      </c>
      <c r="BS133" s="173">
        <f t="shared" si="125"/>
        <v>3.1724689785704916</v>
      </c>
      <c r="BT133" s="173">
        <f t="shared" si="126"/>
        <v>3.2390908271204721</v>
      </c>
      <c r="BU133" s="173">
        <f t="shared" si="127"/>
        <v>3.3071117344900016</v>
      </c>
      <c r="BV133" s="173">
        <f t="shared" si="128"/>
        <v>3.3765610809142914</v>
      </c>
      <c r="BW133" s="173">
        <f t="shared" si="129"/>
        <v>3.4474688636134916</v>
      </c>
      <c r="BX133" s="173">
        <f t="shared" si="130"/>
        <v>3.5198657097493737</v>
      </c>
      <c r="BY133" s="173">
        <f t="shared" si="131"/>
        <v>3.5937828896541104</v>
      </c>
      <c r="BZ133" s="173">
        <f t="shared" si="132"/>
        <v>3.6692523303368465</v>
      </c>
      <c r="CA133" s="173">
        <f t="shared" si="133"/>
        <v>3.7463066292739202</v>
      </c>
    </row>
    <row r="134" spans="1:110">
      <c r="B134" s="96" t="s">
        <v>49</v>
      </c>
      <c r="C134" s="96">
        <v>3761.01</v>
      </c>
      <c r="D134" s="96">
        <v>0</v>
      </c>
      <c r="E134" s="96">
        <v>320618.89</v>
      </c>
      <c r="F134" s="96">
        <v>541</v>
      </c>
      <c r="P134" s="96" t="s">
        <v>53</v>
      </c>
      <c r="Q134" s="170">
        <v>15181.41</v>
      </c>
      <c r="R134" s="170">
        <v>15545.76384</v>
      </c>
      <c r="S134" s="170">
        <v>15872.22488064</v>
      </c>
      <c r="T134" s="170">
        <v>16205.541603133437</v>
      </c>
      <c r="U134" s="170">
        <v>16545.857976799238</v>
      </c>
      <c r="V134" s="170">
        <v>16893.32099431202</v>
      </c>
      <c r="W134" s="170">
        <v>17248.080735192572</v>
      </c>
      <c r="X134" s="170">
        <v>17610.290430631612</v>
      </c>
      <c r="Y134" s="170">
        <v>17980.106529674875</v>
      </c>
      <c r="Z134" s="170">
        <v>18357.688766798045</v>
      </c>
      <c r="AB134" s="96" t="s">
        <v>53</v>
      </c>
      <c r="AC134" s="96">
        <v>359</v>
      </c>
      <c r="AE134" s="96">
        <f t="shared" si="114"/>
        <v>42.288050139275768</v>
      </c>
      <c r="AF134" s="96">
        <f t="shared" si="115"/>
        <v>43.302963342618384</v>
      </c>
      <c r="AG134" s="96">
        <f t="shared" si="116"/>
        <v>44.21232557281337</v>
      </c>
      <c r="AH134" s="96">
        <f t="shared" si="117"/>
        <v>45.140784409842446</v>
      </c>
      <c r="AI134" s="96">
        <f t="shared" si="118"/>
        <v>46.08874088244913</v>
      </c>
      <c r="AJ134" s="96">
        <f t="shared" si="119"/>
        <v>47.056604440980557</v>
      </c>
      <c r="AK134" s="96">
        <f t="shared" si="120"/>
        <v>48.044793134241147</v>
      </c>
      <c r="AL134" s="96">
        <f t="shared" si="121"/>
        <v>49.0537337900602</v>
      </c>
      <c r="AM134" s="96">
        <f t="shared" si="122"/>
        <v>50.083862199651463</v>
      </c>
      <c r="AN134" s="96">
        <f t="shared" si="123"/>
        <v>51.135623305844135</v>
      </c>
      <c r="AS134" s="96" t="s">
        <v>53</v>
      </c>
      <c r="AT134" s="96">
        <f t="shared" si="93"/>
        <v>4.5375077799442902</v>
      </c>
      <c r="AU134" s="96">
        <f t="shared" si="94"/>
        <v>4.6464079666629532</v>
      </c>
      <c r="AV134" s="96">
        <f t="shared" si="95"/>
        <v>4.7439825339628747</v>
      </c>
      <c r="AW134" s="96">
        <f t="shared" si="96"/>
        <v>4.8436061671760946</v>
      </c>
      <c r="AX134" s="96">
        <f t="shared" si="97"/>
        <v>4.9453218966867922</v>
      </c>
      <c r="AY134" s="96">
        <f t="shared" si="98"/>
        <v>5.0491736565172145</v>
      </c>
      <c r="AZ134" s="96">
        <f t="shared" si="99"/>
        <v>5.1552063033040749</v>
      </c>
      <c r="BA134" s="96">
        <f t="shared" si="100"/>
        <v>5.2634656356734597</v>
      </c>
      <c r="BB134" s="96">
        <f t="shared" si="101"/>
        <v>5.3739984140226023</v>
      </c>
      <c r="BC134" s="96">
        <f t="shared" si="102"/>
        <v>5.4868523807170764</v>
      </c>
      <c r="BE134" s="169">
        <f t="shared" si="103"/>
        <v>4.935646219138822</v>
      </c>
      <c r="BQ134" s="81" t="s">
        <v>82</v>
      </c>
      <c r="BR134" s="173">
        <f t="shared" si="124"/>
        <v>0</v>
      </c>
      <c r="BS134" s="173">
        <f t="shared" si="125"/>
        <v>0</v>
      </c>
      <c r="BT134" s="173">
        <f t="shared" si="126"/>
        <v>0</v>
      </c>
      <c r="BU134" s="173">
        <f t="shared" si="127"/>
        <v>0</v>
      </c>
      <c r="BV134" s="173">
        <f t="shared" si="128"/>
        <v>0</v>
      </c>
      <c r="BW134" s="173">
        <f t="shared" si="129"/>
        <v>0</v>
      </c>
      <c r="BX134" s="173">
        <f t="shared" si="130"/>
        <v>0</v>
      </c>
      <c r="BY134" s="173">
        <f t="shared" si="131"/>
        <v>0</v>
      </c>
      <c r="BZ134" s="173">
        <f t="shared" si="132"/>
        <v>0</v>
      </c>
      <c r="CA134" s="173">
        <f t="shared" si="133"/>
        <v>0</v>
      </c>
    </row>
    <row r="135" spans="1:110">
      <c r="B135" s="96" t="s">
        <v>49</v>
      </c>
      <c r="C135" s="96">
        <v>26885.46</v>
      </c>
      <c r="D135" s="96">
        <v>2638.86</v>
      </c>
      <c r="E135" s="96">
        <v>0</v>
      </c>
      <c r="F135" s="96">
        <v>17</v>
      </c>
      <c r="P135" s="96" t="s">
        <v>53</v>
      </c>
      <c r="Q135" s="170">
        <v>9010.83</v>
      </c>
      <c r="R135" s="170">
        <v>9227.0899200000003</v>
      </c>
      <c r="S135" s="170">
        <v>9420.8588083199993</v>
      </c>
      <c r="T135" s="170">
        <v>9618.6968432947178</v>
      </c>
      <c r="U135" s="170">
        <v>9820.6894770039053</v>
      </c>
      <c r="V135" s="170">
        <v>10026.923956020988</v>
      </c>
      <c r="W135" s="170">
        <v>10237.489359097428</v>
      </c>
      <c r="X135" s="170">
        <v>10452.476635638473</v>
      </c>
      <c r="Y135" s="170">
        <v>10671.978644986879</v>
      </c>
      <c r="Z135" s="170">
        <v>10896.090196531602</v>
      </c>
      <c r="AB135" s="96" t="s">
        <v>53</v>
      </c>
      <c r="AC135" s="96">
        <v>694</v>
      </c>
      <c r="AE135" s="96">
        <f t="shared" si="114"/>
        <v>12.983904899135446</v>
      </c>
      <c r="AF135" s="96">
        <f t="shared" si="115"/>
        <v>13.295518616714698</v>
      </c>
      <c r="AG135" s="96">
        <f t="shared" si="116"/>
        <v>13.574724507665705</v>
      </c>
      <c r="AH135" s="96">
        <f t="shared" si="117"/>
        <v>13.859793722326684</v>
      </c>
      <c r="AI135" s="96">
        <f t="shared" si="118"/>
        <v>14.150849390495541</v>
      </c>
      <c r="AJ135" s="96">
        <f t="shared" si="119"/>
        <v>14.448017227695948</v>
      </c>
      <c r="AK135" s="96">
        <f t="shared" si="120"/>
        <v>14.751425589477561</v>
      </c>
      <c r="AL135" s="96">
        <f t="shared" si="121"/>
        <v>15.06120552685659</v>
      </c>
      <c r="AM135" s="96">
        <f t="shared" si="122"/>
        <v>15.377490842920574</v>
      </c>
      <c r="AN135" s="96">
        <f t="shared" si="123"/>
        <v>15.700418150621905</v>
      </c>
      <c r="AS135" s="96" t="s">
        <v>53</v>
      </c>
      <c r="AT135" s="96">
        <f t="shared" si="93"/>
        <v>1.3931729956772334</v>
      </c>
      <c r="AU135" s="96">
        <f t="shared" si="94"/>
        <v>1.4266091475734872</v>
      </c>
      <c r="AV135" s="96">
        <f t="shared" si="95"/>
        <v>1.4565679396725302</v>
      </c>
      <c r="AW135" s="96">
        <f t="shared" si="96"/>
        <v>1.4871558664056532</v>
      </c>
      <c r="AX135" s="96">
        <f t="shared" si="97"/>
        <v>1.5183861396001717</v>
      </c>
      <c r="AY135" s="96">
        <f t="shared" si="98"/>
        <v>1.5502722485317753</v>
      </c>
      <c r="AZ135" s="96">
        <f t="shared" si="99"/>
        <v>1.5828279657509423</v>
      </c>
      <c r="BA135" s="96">
        <f t="shared" si="100"/>
        <v>1.6160673530317122</v>
      </c>
      <c r="BB135" s="96">
        <f t="shared" si="101"/>
        <v>1.6500047674453777</v>
      </c>
      <c r="BC135" s="96">
        <f t="shared" si="102"/>
        <v>1.6846548675617306</v>
      </c>
      <c r="BE135" s="169">
        <f t="shared" si="103"/>
        <v>1.515415369448704</v>
      </c>
      <c r="BQ135" s="81" t="s">
        <v>83</v>
      </c>
      <c r="BR135" s="173">
        <f t="shared" si="124"/>
        <v>0</v>
      </c>
      <c r="BS135" s="173">
        <f t="shared" si="125"/>
        <v>0</v>
      </c>
      <c r="BT135" s="173">
        <f t="shared" si="126"/>
        <v>0</v>
      </c>
      <c r="BU135" s="173">
        <f t="shared" si="127"/>
        <v>0</v>
      </c>
      <c r="BV135" s="173">
        <f t="shared" si="128"/>
        <v>0</v>
      </c>
      <c r="BW135" s="173">
        <f t="shared" si="129"/>
        <v>0</v>
      </c>
      <c r="BX135" s="173">
        <f t="shared" si="130"/>
        <v>0</v>
      </c>
      <c r="BY135" s="173">
        <f t="shared" si="131"/>
        <v>0</v>
      </c>
      <c r="BZ135" s="173">
        <f t="shared" si="132"/>
        <v>0</v>
      </c>
      <c r="CA135" s="173">
        <f t="shared" si="133"/>
        <v>0</v>
      </c>
    </row>
    <row r="136" spans="1:110" s="165" customFormat="1">
      <c r="A136" s="162"/>
      <c r="B136" s="164" t="s">
        <v>49</v>
      </c>
      <c r="C136" s="164">
        <v>1642.7900000000002</v>
      </c>
      <c r="D136" s="164">
        <v>9424.5</v>
      </c>
      <c r="E136" s="164">
        <v>96925.23000000004</v>
      </c>
      <c r="F136" s="164">
        <v>444</v>
      </c>
      <c r="G136" s="164"/>
      <c r="P136" s="165" t="s">
        <v>11</v>
      </c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B136" s="165" t="s">
        <v>11</v>
      </c>
      <c r="AE136" s="166"/>
      <c r="AF136" s="166"/>
      <c r="AG136" s="166"/>
      <c r="AH136" s="166"/>
      <c r="AI136" s="166"/>
      <c r="AJ136" s="166"/>
      <c r="AK136" s="166"/>
      <c r="AL136" s="166"/>
      <c r="AM136" s="166"/>
      <c r="AN136" s="166"/>
      <c r="AS136" s="165" t="s">
        <v>11</v>
      </c>
      <c r="BN136" s="163"/>
      <c r="BO136" s="163"/>
      <c r="BP136" s="163"/>
      <c r="BQ136" s="81" t="s">
        <v>84</v>
      </c>
      <c r="BR136" s="173">
        <f t="shared" si="124"/>
        <v>0</v>
      </c>
      <c r="BS136" s="173">
        <f t="shared" si="125"/>
        <v>0</v>
      </c>
      <c r="BT136" s="173">
        <f t="shared" si="126"/>
        <v>0</v>
      </c>
      <c r="BU136" s="173">
        <f t="shared" si="127"/>
        <v>0</v>
      </c>
      <c r="BV136" s="173">
        <f t="shared" si="128"/>
        <v>0</v>
      </c>
      <c r="BW136" s="173">
        <f t="shared" si="129"/>
        <v>0</v>
      </c>
      <c r="BX136" s="173">
        <f t="shared" si="130"/>
        <v>0</v>
      </c>
      <c r="BY136" s="173">
        <f t="shared" si="131"/>
        <v>0</v>
      </c>
      <c r="BZ136" s="173">
        <f t="shared" si="132"/>
        <v>0</v>
      </c>
      <c r="CA136" s="173">
        <f t="shared" si="133"/>
        <v>0</v>
      </c>
      <c r="CB136" s="162"/>
      <c r="CC136" s="162"/>
      <c r="CD136" s="162"/>
      <c r="CE136" s="162"/>
      <c r="CF136" s="162"/>
      <c r="CG136" s="162"/>
      <c r="CH136" s="162"/>
      <c r="CI136" s="162"/>
      <c r="CJ136" s="162"/>
      <c r="CK136" s="162"/>
      <c r="CL136" s="162"/>
      <c r="CM136" s="162"/>
      <c r="CN136" s="162"/>
      <c r="CO136" s="224"/>
      <c r="CP136" s="162"/>
      <c r="CQ136" s="162"/>
      <c r="CR136" s="162"/>
      <c r="CS136" s="162"/>
      <c r="CT136" s="162"/>
      <c r="CU136" s="162"/>
      <c r="CV136" s="162"/>
      <c r="CW136" s="162"/>
      <c r="CX136" s="162"/>
      <c r="CY136" s="162"/>
      <c r="CZ136" s="162"/>
      <c r="DA136" s="162"/>
      <c r="DB136" s="162"/>
      <c r="DC136" s="162"/>
      <c r="DD136" s="162"/>
      <c r="DE136" s="162"/>
      <c r="DF136" s="162"/>
    </row>
    <row r="137" spans="1:110">
      <c r="B137" s="96" t="s">
        <v>49</v>
      </c>
      <c r="C137" s="96">
        <v>4850.4500000000007</v>
      </c>
      <c r="D137" s="96">
        <v>124286.75</v>
      </c>
      <c r="E137" s="96">
        <v>9438.9899999999961</v>
      </c>
      <c r="F137" s="96">
        <v>408</v>
      </c>
      <c r="P137" s="96" t="s">
        <v>17</v>
      </c>
      <c r="Q137" s="170">
        <v>509241.0799999999</v>
      </c>
      <c r="R137" s="170">
        <v>521462.86591999989</v>
      </c>
      <c r="S137" s="170">
        <v>532413.5861043199</v>
      </c>
      <c r="T137" s="170">
        <v>543594.27141251054</v>
      </c>
      <c r="U137" s="170">
        <v>555009.75111217319</v>
      </c>
      <c r="V137" s="170">
        <v>566664.95588552882</v>
      </c>
      <c r="W137" s="170">
        <v>578564.91995912488</v>
      </c>
      <c r="X137" s="170">
        <v>590714.78327826643</v>
      </c>
      <c r="Y137" s="170">
        <v>603119.79372710991</v>
      </c>
      <c r="Z137" s="170">
        <v>615785.30939537915</v>
      </c>
      <c r="AB137" s="96" t="s">
        <v>17</v>
      </c>
      <c r="AC137" s="96">
        <v>979.19999999999993</v>
      </c>
      <c r="AE137" s="96">
        <f t="shared" ref="AE137:AE163" si="134">Q137/$AC137</f>
        <v>520.05829248366001</v>
      </c>
      <c r="AF137" s="96">
        <f t="shared" ref="AF137:AF163" si="135">R137/$AC137</f>
        <v>532.53969150326793</v>
      </c>
      <c r="AG137" s="96">
        <f t="shared" ref="AG137:AG163" si="136">S137/$AC137</f>
        <v>543.72302502483649</v>
      </c>
      <c r="AH137" s="96">
        <f t="shared" ref="AH137:AH163" si="137">T137/$AC137</f>
        <v>555.14120855035799</v>
      </c>
      <c r="AI137" s="96">
        <f t="shared" ref="AI137:AI163" si="138">U137/$AC137</f>
        <v>566.79917392991547</v>
      </c>
      <c r="AJ137" s="96">
        <f t="shared" ref="AJ137:AJ163" si="139">V137/$AC137</f>
        <v>578.7019565824437</v>
      </c>
      <c r="AK137" s="96">
        <f t="shared" ref="AK137:AK163" si="140">W137/$AC137</f>
        <v>590.85469767067491</v>
      </c>
      <c r="AL137" s="96">
        <f t="shared" ref="AL137:AL163" si="141">X137/$AC137</f>
        <v>603.26264632175901</v>
      </c>
      <c r="AM137" s="96">
        <f t="shared" ref="AM137:AM163" si="142">Y137/$AC137</f>
        <v>615.93116189451587</v>
      </c>
      <c r="AN137" s="96">
        <f t="shared" ref="AN137:AN163" si="143">Z137/$AC137</f>
        <v>628.86571629430068</v>
      </c>
      <c r="AS137" s="96" t="s">
        <v>17</v>
      </c>
      <c r="AT137" s="96">
        <f>AE137*$AQ$5</f>
        <v>63.135076707516319</v>
      </c>
      <c r="AU137" s="96">
        <f t="shared" ref="AU137:BC137" si="144">AF137*$AQ$5</f>
        <v>64.650318548496728</v>
      </c>
      <c r="AV137" s="96">
        <f t="shared" si="144"/>
        <v>66.007975238015149</v>
      </c>
      <c r="AW137" s="96">
        <f t="shared" si="144"/>
        <v>67.394142718013455</v>
      </c>
      <c r="AX137" s="96">
        <f t="shared" si="144"/>
        <v>68.809419715091735</v>
      </c>
      <c r="AY137" s="96">
        <f t="shared" si="144"/>
        <v>70.254417529108665</v>
      </c>
      <c r="AZ137" s="96">
        <f t="shared" si="144"/>
        <v>71.729760297219926</v>
      </c>
      <c r="BA137" s="96">
        <f t="shared" si="144"/>
        <v>73.236085263461547</v>
      </c>
      <c r="BB137" s="96">
        <f t="shared" si="144"/>
        <v>74.77404305399422</v>
      </c>
      <c r="BC137" s="96">
        <f t="shared" si="144"/>
        <v>76.344297958128095</v>
      </c>
      <c r="BE137" s="169">
        <f t="shared" si="103"/>
        <v>68.674791925165209</v>
      </c>
      <c r="BQ137" s="81" t="s">
        <v>62</v>
      </c>
      <c r="BR137" s="173">
        <f t="shared" si="124"/>
        <v>1.0884329527616281</v>
      </c>
      <c r="BS137" s="173">
        <f t="shared" si="125"/>
        <v>1.114555343627907</v>
      </c>
      <c r="BT137" s="173">
        <f t="shared" si="126"/>
        <v>1.1379610058440932</v>
      </c>
      <c r="BU137" s="173">
        <f t="shared" si="127"/>
        <v>1.1618581869668188</v>
      </c>
      <c r="BV137" s="173">
        <f t="shared" si="128"/>
        <v>1.1862572088931218</v>
      </c>
      <c r="BW137" s="173">
        <f t="shared" si="129"/>
        <v>1.2111686102798773</v>
      </c>
      <c r="BX137" s="173">
        <f t="shared" si="130"/>
        <v>1.2366031510957547</v>
      </c>
      <c r="BY137" s="173">
        <f t="shared" si="131"/>
        <v>1.2625718172687654</v>
      </c>
      <c r="BZ137" s="173">
        <f t="shared" si="132"/>
        <v>1.2890858254314095</v>
      </c>
      <c r="CA137" s="173">
        <f t="shared" si="133"/>
        <v>1.3161566277654688</v>
      </c>
    </row>
    <row r="138" spans="1:110">
      <c r="B138" s="96" t="s">
        <v>50</v>
      </c>
      <c r="C138" s="96">
        <v>0</v>
      </c>
      <c r="D138" s="96">
        <v>0</v>
      </c>
      <c r="E138" s="96">
        <v>163836.10000000009</v>
      </c>
      <c r="F138" s="96">
        <v>128</v>
      </c>
      <c r="P138" s="96" t="s">
        <v>17</v>
      </c>
      <c r="Q138" s="170">
        <v>251219.71000000002</v>
      </c>
      <c r="R138" s="170">
        <v>257248.98304000002</v>
      </c>
      <c r="S138" s="170">
        <v>262651.21168384003</v>
      </c>
      <c r="T138" s="170">
        <v>268166.88712920062</v>
      </c>
      <c r="U138" s="170">
        <v>273798.39175891381</v>
      </c>
      <c r="V138" s="170">
        <v>279548.15798585099</v>
      </c>
      <c r="W138" s="170">
        <v>285418.66930355382</v>
      </c>
      <c r="X138" s="170">
        <v>291412.46135892841</v>
      </c>
      <c r="Y138" s="170">
        <v>297532.12304746587</v>
      </c>
      <c r="Z138" s="170">
        <v>303780.29763146263</v>
      </c>
      <c r="AB138" s="96" t="s">
        <v>17</v>
      </c>
      <c r="AC138" s="96">
        <v>807.5</v>
      </c>
      <c r="AE138" s="96">
        <f t="shared" si="134"/>
        <v>311.108</v>
      </c>
      <c r="AF138" s="96">
        <f t="shared" si="135"/>
        <v>318.57459200000005</v>
      </c>
      <c r="AG138" s="96">
        <f t="shared" si="136"/>
        <v>325.26465843200003</v>
      </c>
      <c r="AH138" s="96">
        <f t="shared" si="137"/>
        <v>332.095216259072</v>
      </c>
      <c r="AI138" s="96">
        <f t="shared" si="138"/>
        <v>339.06921580051244</v>
      </c>
      <c r="AJ138" s="96">
        <f t="shared" si="139"/>
        <v>346.18966933232321</v>
      </c>
      <c r="AK138" s="96">
        <f t="shared" si="140"/>
        <v>353.45965238830195</v>
      </c>
      <c r="AL138" s="96">
        <f t="shared" si="141"/>
        <v>360.88230508845623</v>
      </c>
      <c r="AM138" s="96">
        <f t="shared" si="142"/>
        <v>368.46083349531375</v>
      </c>
      <c r="AN138" s="96">
        <f t="shared" si="143"/>
        <v>376.19851099871534</v>
      </c>
      <c r="AS138" s="96" t="s">
        <v>17</v>
      </c>
      <c r="AT138" s="96">
        <f t="shared" ref="AT138:AT201" si="145">AE138*$AQ$5</f>
        <v>37.768511199999999</v>
      </c>
      <c r="AU138" s="96">
        <f t="shared" ref="AU138:AU201" si="146">AF138*$AQ$5</f>
        <v>38.674955468800007</v>
      </c>
      <c r="AV138" s="96">
        <f t="shared" ref="AV138:AV201" si="147">AG138*$AQ$5</f>
        <v>39.487129533644804</v>
      </c>
      <c r="AW138" s="96">
        <f t="shared" ref="AW138:AW201" si="148">AH138*$AQ$5</f>
        <v>40.316359253851338</v>
      </c>
      <c r="AX138" s="96">
        <f t="shared" ref="AX138:AX201" si="149">AI138*$AQ$5</f>
        <v>41.163002798182205</v>
      </c>
      <c r="AY138" s="96">
        <f t="shared" ref="AY138:AY201" si="150">AJ138*$AQ$5</f>
        <v>42.027425856944035</v>
      </c>
      <c r="AZ138" s="96">
        <f t="shared" ref="AZ138:AZ201" si="151">AK138*$AQ$5</f>
        <v>42.910001799939856</v>
      </c>
      <c r="BA138" s="96">
        <f t="shared" ref="BA138:BA201" si="152">AL138*$AQ$5</f>
        <v>43.811111837738586</v>
      </c>
      <c r="BB138" s="96">
        <f t="shared" ref="BB138:BB201" si="153">AM138*$AQ$5</f>
        <v>44.731145186331084</v>
      </c>
      <c r="BC138" s="96">
        <f t="shared" ref="BC138:BC201" si="154">AN138*$AQ$5</f>
        <v>45.670499235244037</v>
      </c>
      <c r="BE138" s="169">
        <f t="shared" si="103"/>
        <v>41.082466090905733</v>
      </c>
      <c r="BQ138" s="81" t="s">
        <v>63</v>
      </c>
      <c r="BR138" s="173">
        <f t="shared" si="124"/>
        <v>8.9678609934020646</v>
      </c>
      <c r="BS138" s="173">
        <f t="shared" si="125"/>
        <v>9.1830896572437162</v>
      </c>
      <c r="BT138" s="173">
        <f t="shared" si="126"/>
        <v>9.3759345400458347</v>
      </c>
      <c r="BU138" s="173">
        <f t="shared" si="127"/>
        <v>9.5728291653867945</v>
      </c>
      <c r="BV138" s="173">
        <f t="shared" si="128"/>
        <v>9.7738585778599152</v>
      </c>
      <c r="BW138" s="173">
        <f t="shared" si="129"/>
        <v>9.9791096079949746</v>
      </c>
      <c r="BX138" s="173">
        <f t="shared" si="130"/>
        <v>10.188670909762868</v>
      </c>
      <c r="BY138" s="173">
        <f t="shared" si="131"/>
        <v>10.402632998867887</v>
      </c>
      <c r="BZ138" s="173">
        <f t="shared" si="132"/>
        <v>10.621088291844112</v>
      </c>
      <c r="CA138" s="173">
        <f t="shared" si="133"/>
        <v>10.844131145972836</v>
      </c>
    </row>
    <row r="139" spans="1:110">
      <c r="B139" s="96" t="s">
        <v>50</v>
      </c>
      <c r="C139" s="96">
        <v>33309.449999999997</v>
      </c>
      <c r="D139" s="96">
        <v>5306.4600000000009</v>
      </c>
      <c r="E139" s="96">
        <v>0</v>
      </c>
      <c r="F139" s="96">
        <v>920</v>
      </c>
      <c r="P139" s="96" t="s">
        <v>17</v>
      </c>
      <c r="Q139" s="170">
        <v>35350.94</v>
      </c>
      <c r="R139" s="170">
        <v>36199.362560000001</v>
      </c>
      <c r="S139" s="170">
        <v>36959.549173760002</v>
      </c>
      <c r="T139" s="170">
        <v>37735.699706408959</v>
      </c>
      <c r="U139" s="170">
        <v>38528.149400243543</v>
      </c>
      <c r="V139" s="170">
        <v>39337.240537648657</v>
      </c>
      <c r="W139" s="170">
        <v>40163.322588939271</v>
      </c>
      <c r="X139" s="170">
        <v>41006.752363306994</v>
      </c>
      <c r="Y139" s="170">
        <v>41867.894162936434</v>
      </c>
      <c r="Z139" s="170">
        <v>42747.11994035809</v>
      </c>
      <c r="AB139" s="96" t="s">
        <v>17</v>
      </c>
      <c r="AC139" s="96">
        <v>361.25</v>
      </c>
      <c r="AE139" s="96">
        <f t="shared" si="134"/>
        <v>97.857273356401393</v>
      </c>
      <c r="AF139" s="96">
        <f t="shared" si="135"/>
        <v>100.20584791695502</v>
      </c>
      <c r="AG139" s="96">
        <f t="shared" si="136"/>
        <v>102.31017072321107</v>
      </c>
      <c r="AH139" s="96">
        <f t="shared" si="137"/>
        <v>104.4586843083985</v>
      </c>
      <c r="AI139" s="96">
        <f t="shared" si="138"/>
        <v>106.65231667887485</v>
      </c>
      <c r="AJ139" s="96">
        <f t="shared" si="139"/>
        <v>108.89201532913123</v>
      </c>
      <c r="AK139" s="96">
        <f t="shared" si="140"/>
        <v>111.17874765104297</v>
      </c>
      <c r="AL139" s="96">
        <f t="shared" si="141"/>
        <v>113.51350135171486</v>
      </c>
      <c r="AM139" s="96">
        <f t="shared" si="142"/>
        <v>115.89728488010086</v>
      </c>
      <c r="AN139" s="96">
        <f t="shared" si="143"/>
        <v>118.33112786258295</v>
      </c>
      <c r="AS139" s="96" t="s">
        <v>17</v>
      </c>
      <c r="AT139" s="96">
        <f t="shared" si="145"/>
        <v>11.879872985467129</v>
      </c>
      <c r="AU139" s="96">
        <f t="shared" si="146"/>
        <v>12.164989937118339</v>
      </c>
      <c r="AV139" s="96">
        <f t="shared" si="147"/>
        <v>12.420454725797823</v>
      </c>
      <c r="AW139" s="96">
        <f t="shared" si="148"/>
        <v>12.681284275039578</v>
      </c>
      <c r="AX139" s="96">
        <f t="shared" si="149"/>
        <v>12.947591244815406</v>
      </c>
      <c r="AY139" s="96">
        <f t="shared" si="150"/>
        <v>13.219490660956531</v>
      </c>
      <c r="AZ139" s="96">
        <f t="shared" si="151"/>
        <v>13.497099964836616</v>
      </c>
      <c r="BA139" s="96">
        <f t="shared" si="152"/>
        <v>13.780539064098184</v>
      </c>
      <c r="BB139" s="96">
        <f t="shared" si="153"/>
        <v>14.069930384444243</v>
      </c>
      <c r="BC139" s="96">
        <f t="shared" si="154"/>
        <v>14.365398922517569</v>
      </c>
      <c r="BE139" s="169">
        <f t="shared" ref="BE139:BE202" si="155">NPV($BE$1,AT139:BC139)/((1-(1+$BE$1)^-10)/$BE$1)</f>
        <v>12.922258876058645</v>
      </c>
      <c r="BQ139" s="81" t="s">
        <v>64</v>
      </c>
      <c r="BR139" s="173">
        <f t="shared" si="124"/>
        <v>2.2438179456521743</v>
      </c>
      <c r="BS139" s="173">
        <f t="shared" si="125"/>
        <v>2.2976695763478268</v>
      </c>
      <c r="BT139" s="173">
        <f t="shared" si="126"/>
        <v>2.345920637451131</v>
      </c>
      <c r="BU139" s="173">
        <f t="shared" si="127"/>
        <v>2.3951849708376041</v>
      </c>
      <c r="BV139" s="173">
        <f t="shared" si="128"/>
        <v>2.4454838552251941</v>
      </c>
      <c r="BW139" s="173">
        <f t="shared" si="129"/>
        <v>2.4968390161849228</v>
      </c>
      <c r="BX139" s="173">
        <f t="shared" si="130"/>
        <v>2.5492726355248059</v>
      </c>
      <c r="BY139" s="173">
        <f t="shared" si="131"/>
        <v>2.6028073608708264</v>
      </c>
      <c r="BZ139" s="173">
        <f t="shared" si="132"/>
        <v>2.6574663154491134</v>
      </c>
      <c r="CA139" s="173">
        <f t="shared" si="133"/>
        <v>2.7132731080735448</v>
      </c>
    </row>
    <row r="140" spans="1:110">
      <c r="B140" s="96" t="s">
        <v>50</v>
      </c>
      <c r="C140" s="96">
        <v>81547.239999999991</v>
      </c>
      <c r="D140" s="96">
        <v>0</v>
      </c>
      <c r="E140" s="96">
        <v>15247.980000000001</v>
      </c>
      <c r="F140" s="96">
        <v>920</v>
      </c>
      <c r="P140" s="96" t="s">
        <v>17</v>
      </c>
      <c r="Q140" s="170">
        <v>1223.1400000000001</v>
      </c>
      <c r="R140" s="170">
        <v>1252.4953600000001</v>
      </c>
      <c r="S140" s="170">
        <v>1278.7977625600001</v>
      </c>
      <c r="T140" s="170">
        <v>1305.65251557376</v>
      </c>
      <c r="U140" s="170">
        <v>1333.0712184008087</v>
      </c>
      <c r="V140" s="170">
        <v>1361.0657139872255</v>
      </c>
      <c r="W140" s="170">
        <v>1389.6480939809571</v>
      </c>
      <c r="X140" s="170">
        <v>1418.8307039545573</v>
      </c>
      <c r="Y140" s="170">
        <v>1448.6261487376028</v>
      </c>
      <c r="Z140" s="170">
        <v>1479.0472978610921</v>
      </c>
      <c r="AB140" s="96" t="s">
        <v>17</v>
      </c>
      <c r="AC140" s="96">
        <v>361.25</v>
      </c>
      <c r="AE140" s="96">
        <f t="shared" si="134"/>
        <v>3.3858546712802773</v>
      </c>
      <c r="AF140" s="96">
        <f t="shared" si="135"/>
        <v>3.4671151833910039</v>
      </c>
      <c r="AG140" s="96">
        <f t="shared" si="136"/>
        <v>3.5399246022422148</v>
      </c>
      <c r="AH140" s="96">
        <f t="shared" si="137"/>
        <v>3.614263018889301</v>
      </c>
      <c r="AI140" s="96">
        <f t="shared" si="138"/>
        <v>3.6901625422859756</v>
      </c>
      <c r="AJ140" s="96">
        <f t="shared" si="139"/>
        <v>3.7676559556739808</v>
      </c>
      <c r="AK140" s="96">
        <f t="shared" si="140"/>
        <v>3.8467767307431338</v>
      </c>
      <c r="AL140" s="96">
        <f t="shared" si="141"/>
        <v>3.9275590420887401</v>
      </c>
      <c r="AM140" s="96">
        <f t="shared" si="142"/>
        <v>4.0100377819726027</v>
      </c>
      <c r="AN140" s="96">
        <f t="shared" si="143"/>
        <v>4.094248575394027</v>
      </c>
      <c r="AS140" s="96" t="s">
        <v>17</v>
      </c>
      <c r="AT140" s="96">
        <f t="shared" si="145"/>
        <v>0.41104275709342564</v>
      </c>
      <c r="AU140" s="96">
        <f t="shared" si="146"/>
        <v>0.42090778326366785</v>
      </c>
      <c r="AV140" s="96">
        <f t="shared" si="147"/>
        <v>0.42974684671220487</v>
      </c>
      <c r="AW140" s="96">
        <f t="shared" si="148"/>
        <v>0.43877153049316114</v>
      </c>
      <c r="AX140" s="96">
        <f t="shared" si="149"/>
        <v>0.44798573263351743</v>
      </c>
      <c r="AY140" s="96">
        <f t="shared" si="150"/>
        <v>0.45739343301882124</v>
      </c>
      <c r="AZ140" s="96">
        <f t="shared" si="151"/>
        <v>0.46699869511221642</v>
      </c>
      <c r="BA140" s="96">
        <f t="shared" si="152"/>
        <v>0.476805667709573</v>
      </c>
      <c r="BB140" s="96">
        <f t="shared" si="153"/>
        <v>0.48681858673147393</v>
      </c>
      <c r="BC140" s="96">
        <f t="shared" si="154"/>
        <v>0.49704177705283487</v>
      </c>
      <c r="BE140" s="169">
        <f t="shared" si="155"/>
        <v>0.44710923448322371</v>
      </c>
      <c r="BQ140" s="81" t="s">
        <v>65</v>
      </c>
      <c r="BR140" s="173">
        <f t="shared" si="124"/>
        <v>1.5219737257926309</v>
      </c>
      <c r="BS140" s="173">
        <f t="shared" si="125"/>
        <v>1.558501095211654</v>
      </c>
      <c r="BT140" s="173">
        <f t="shared" si="126"/>
        <v>1.591229618211099</v>
      </c>
      <c r="BU140" s="173">
        <f t="shared" si="127"/>
        <v>1.6246454401935317</v>
      </c>
      <c r="BV140" s="173">
        <f t="shared" si="128"/>
        <v>1.6587629944375955</v>
      </c>
      <c r="BW140" s="173">
        <f t="shared" si="129"/>
        <v>1.6935970173207853</v>
      </c>
      <c r="BX140" s="173">
        <f t="shared" si="130"/>
        <v>1.7291625546845215</v>
      </c>
      <c r="BY140" s="173">
        <f t="shared" si="131"/>
        <v>1.7654749683328961</v>
      </c>
      <c r="BZ140" s="173">
        <f t="shared" si="132"/>
        <v>1.8025499426678868</v>
      </c>
      <c r="CA140" s="173">
        <f t="shared" si="133"/>
        <v>1.840403491463912</v>
      </c>
    </row>
    <row r="141" spans="1:110">
      <c r="B141" s="96" t="s">
        <v>50</v>
      </c>
      <c r="P141" s="96" t="s">
        <v>18</v>
      </c>
      <c r="Q141" s="170">
        <v>441428.67999999988</v>
      </c>
      <c r="R141" s="170">
        <v>452022.96831999987</v>
      </c>
      <c r="S141" s="170">
        <v>461515.45065471984</v>
      </c>
      <c r="T141" s="170">
        <v>471207.27511846891</v>
      </c>
      <c r="U141" s="170">
        <v>481102.62789595668</v>
      </c>
      <c r="V141" s="170">
        <v>491205.78308177181</v>
      </c>
      <c r="W141" s="170">
        <v>501521.10452648893</v>
      </c>
      <c r="X141" s="170">
        <v>512053.04772154515</v>
      </c>
      <c r="Y141" s="170">
        <v>522806.16172369756</v>
      </c>
      <c r="Z141" s="170">
        <v>533785.09111989511</v>
      </c>
      <c r="AB141" s="96" t="s">
        <v>18</v>
      </c>
      <c r="AC141" s="96">
        <v>1923.55</v>
      </c>
      <c r="AE141" s="96">
        <f t="shared" si="134"/>
        <v>229.48645993085694</v>
      </c>
      <c r="AF141" s="96">
        <f t="shared" si="135"/>
        <v>234.99413496919752</v>
      </c>
      <c r="AG141" s="96">
        <f t="shared" si="136"/>
        <v>239.92901180355065</v>
      </c>
      <c r="AH141" s="96">
        <f t="shared" si="137"/>
        <v>244.96752105142519</v>
      </c>
      <c r="AI141" s="96">
        <f t="shared" si="138"/>
        <v>250.11183899350507</v>
      </c>
      <c r="AJ141" s="96">
        <f t="shared" si="139"/>
        <v>255.36418761236871</v>
      </c>
      <c r="AK141" s="96">
        <f t="shared" si="140"/>
        <v>260.72683555222841</v>
      </c>
      <c r="AL141" s="96">
        <f t="shared" si="141"/>
        <v>266.20209909882516</v>
      </c>
      <c r="AM141" s="96">
        <f t="shared" si="142"/>
        <v>271.79234317990046</v>
      </c>
      <c r="AN141" s="96">
        <f t="shared" si="143"/>
        <v>277.49998238667831</v>
      </c>
      <c r="AS141" s="96" t="s">
        <v>18</v>
      </c>
      <c r="AT141" s="96">
        <f t="shared" si="145"/>
        <v>27.859656235606032</v>
      </c>
      <c r="AU141" s="96">
        <f t="shared" si="146"/>
        <v>28.528287985260576</v>
      </c>
      <c r="AV141" s="96">
        <f t="shared" si="147"/>
        <v>29.127382032951047</v>
      </c>
      <c r="AW141" s="96">
        <f t="shared" si="148"/>
        <v>29.739057055643016</v>
      </c>
      <c r="AX141" s="96">
        <f t="shared" si="149"/>
        <v>30.363577253811513</v>
      </c>
      <c r="AY141" s="96">
        <f t="shared" si="150"/>
        <v>31.001212376141559</v>
      </c>
      <c r="AZ141" s="96">
        <f t="shared" si="151"/>
        <v>31.652237836040527</v>
      </c>
      <c r="BA141" s="96">
        <f t="shared" si="152"/>
        <v>32.316934830597376</v>
      </c>
      <c r="BB141" s="96">
        <f t="shared" si="153"/>
        <v>32.995590462039914</v>
      </c>
      <c r="BC141" s="96">
        <f t="shared" si="154"/>
        <v>33.688497861742746</v>
      </c>
      <c r="BE141" s="169">
        <f t="shared" si="155"/>
        <v>30.304169961657777</v>
      </c>
      <c r="BQ141" s="81" t="s">
        <v>66</v>
      </c>
      <c r="BR141" s="173">
        <f t="shared" si="124"/>
        <v>6.2012321918316822</v>
      </c>
      <c r="BS141" s="173">
        <f t="shared" si="125"/>
        <v>6.3500617644356439</v>
      </c>
      <c r="BT141" s="173">
        <f t="shared" si="126"/>
        <v>6.4834130614887915</v>
      </c>
      <c r="BU141" s="173">
        <f t="shared" si="127"/>
        <v>6.6195647357800551</v>
      </c>
      <c r="BV141" s="173">
        <f t="shared" si="128"/>
        <v>6.7585755952314361</v>
      </c>
      <c r="BW141" s="173">
        <f t="shared" si="129"/>
        <v>6.9005056827312954</v>
      </c>
      <c r="BX141" s="173">
        <f t="shared" si="130"/>
        <v>7.0454163020686513</v>
      </c>
      <c r="BY141" s="173">
        <f t="shared" si="131"/>
        <v>7.1933700444120934</v>
      </c>
      <c r="BZ141" s="173">
        <f t="shared" si="132"/>
        <v>7.3444308153447473</v>
      </c>
      <c r="CA141" s="173">
        <f t="shared" si="133"/>
        <v>7.4986638624669837</v>
      </c>
    </row>
    <row r="142" spans="1:110">
      <c r="B142" s="96" t="s">
        <v>50</v>
      </c>
      <c r="P142" s="96" t="s">
        <v>18</v>
      </c>
      <c r="Q142" s="170">
        <v>292261.7</v>
      </c>
      <c r="R142" s="170">
        <v>299275.98080000002</v>
      </c>
      <c r="S142" s="170">
        <v>305560.77639680001</v>
      </c>
      <c r="T142" s="170">
        <v>311977.55270113278</v>
      </c>
      <c r="U142" s="170">
        <v>318529.08130785648</v>
      </c>
      <c r="V142" s="170">
        <v>325218.19201532152</v>
      </c>
      <c r="W142" s="170">
        <v>332047.77404764318</v>
      </c>
      <c r="X142" s="170">
        <v>339020.77730264369</v>
      </c>
      <c r="Y142" s="170">
        <v>346140.21362599917</v>
      </c>
      <c r="Z142" s="170">
        <v>353409.15811214509</v>
      </c>
      <c r="AB142" s="96" t="s">
        <v>18</v>
      </c>
      <c r="AC142" s="96">
        <v>549.1</v>
      </c>
      <c r="AE142" s="96">
        <f t="shared" si="134"/>
        <v>532.25587324713172</v>
      </c>
      <c r="AF142" s="96">
        <f t="shared" si="135"/>
        <v>545.0300142050628</v>
      </c>
      <c r="AG142" s="96">
        <f t="shared" si="136"/>
        <v>556.47564450336915</v>
      </c>
      <c r="AH142" s="96">
        <f t="shared" si="137"/>
        <v>568.16163303793985</v>
      </c>
      <c r="AI142" s="96">
        <f t="shared" si="138"/>
        <v>580.09302733173638</v>
      </c>
      <c r="AJ142" s="96">
        <f t="shared" si="139"/>
        <v>592.27498090570293</v>
      </c>
      <c r="AK142" s="96">
        <f t="shared" si="140"/>
        <v>604.71275550472262</v>
      </c>
      <c r="AL142" s="96">
        <f t="shared" si="141"/>
        <v>617.41172337032174</v>
      </c>
      <c r="AM142" s="96">
        <f t="shared" si="142"/>
        <v>630.37736956109848</v>
      </c>
      <c r="AN142" s="96">
        <f t="shared" si="143"/>
        <v>643.61529432188138</v>
      </c>
      <c r="AS142" s="96" t="s">
        <v>18</v>
      </c>
      <c r="AT142" s="96">
        <f t="shared" si="145"/>
        <v>64.615863012201785</v>
      </c>
      <c r="AU142" s="96">
        <f t="shared" si="146"/>
        <v>66.16664372449462</v>
      </c>
      <c r="AV142" s="96">
        <f t="shared" si="147"/>
        <v>67.556143242709012</v>
      </c>
      <c r="AW142" s="96">
        <f t="shared" si="148"/>
        <v>68.9748222508059</v>
      </c>
      <c r="AX142" s="96">
        <f t="shared" si="149"/>
        <v>70.423293518072796</v>
      </c>
      <c r="AY142" s="96">
        <f t="shared" si="150"/>
        <v>71.902182681952326</v>
      </c>
      <c r="AZ142" s="96">
        <f t="shared" si="151"/>
        <v>73.41212851827332</v>
      </c>
      <c r="BA142" s="96">
        <f t="shared" si="152"/>
        <v>74.953783217157053</v>
      </c>
      <c r="BB142" s="96">
        <f t="shared" si="153"/>
        <v>76.527812664717345</v>
      </c>
      <c r="BC142" s="96">
        <f t="shared" si="154"/>
        <v>78.134896730676402</v>
      </c>
      <c r="BE142" s="169">
        <f t="shared" si="155"/>
        <v>70.285508133383601</v>
      </c>
      <c r="BQ142" s="81" t="s">
        <v>85</v>
      </c>
      <c r="BR142" s="173">
        <f t="shared" si="124"/>
        <v>0</v>
      </c>
      <c r="BS142" s="173">
        <f t="shared" si="125"/>
        <v>0</v>
      </c>
      <c r="BT142" s="173">
        <f t="shared" si="126"/>
        <v>0</v>
      </c>
      <c r="BU142" s="173">
        <f t="shared" si="127"/>
        <v>0</v>
      </c>
      <c r="BV142" s="173">
        <f t="shared" si="128"/>
        <v>0</v>
      </c>
      <c r="BW142" s="173">
        <f t="shared" si="129"/>
        <v>0</v>
      </c>
      <c r="BX142" s="173">
        <f t="shared" si="130"/>
        <v>0</v>
      </c>
      <c r="BY142" s="173">
        <f t="shared" si="131"/>
        <v>0</v>
      </c>
      <c r="BZ142" s="173">
        <f t="shared" si="132"/>
        <v>0</v>
      </c>
      <c r="CA142" s="173">
        <f t="shared" si="133"/>
        <v>0</v>
      </c>
    </row>
    <row r="143" spans="1:110">
      <c r="B143" s="96" t="s">
        <v>50</v>
      </c>
      <c r="P143" s="96" t="s">
        <v>18</v>
      </c>
      <c r="Q143" s="170">
        <v>226155.41000000006</v>
      </c>
      <c r="R143" s="170">
        <v>231583.13984000008</v>
      </c>
      <c r="S143" s="170">
        <v>236446.38577664006</v>
      </c>
      <c r="T143" s="170">
        <v>241411.75987794946</v>
      </c>
      <c r="U143" s="170">
        <v>246481.40683538638</v>
      </c>
      <c r="V143" s="170">
        <v>251657.51637892949</v>
      </c>
      <c r="W143" s="170">
        <v>256942.32422288696</v>
      </c>
      <c r="X143" s="170">
        <v>262338.1130315676</v>
      </c>
      <c r="Y143" s="170">
        <v>267847.21340523049</v>
      </c>
      <c r="Z143" s="170">
        <v>273472.00488674024</v>
      </c>
      <c r="AB143" s="96" t="s">
        <v>18</v>
      </c>
      <c r="AC143" s="96">
        <v>1422.05</v>
      </c>
      <c r="AE143" s="96">
        <f t="shared" si="134"/>
        <v>159.03478077423443</v>
      </c>
      <c r="AF143" s="96">
        <f t="shared" si="135"/>
        <v>162.85161551281607</v>
      </c>
      <c r="AG143" s="96">
        <f t="shared" si="136"/>
        <v>166.27149943858518</v>
      </c>
      <c r="AH143" s="96">
        <f t="shared" si="137"/>
        <v>169.76320092679543</v>
      </c>
      <c r="AI143" s="96">
        <f t="shared" si="138"/>
        <v>173.32822814625814</v>
      </c>
      <c r="AJ143" s="96">
        <f t="shared" si="139"/>
        <v>176.96812093732956</v>
      </c>
      <c r="AK143" s="96">
        <f t="shared" si="140"/>
        <v>180.68445147701345</v>
      </c>
      <c r="AL143" s="96">
        <f t="shared" si="141"/>
        <v>184.47882495803074</v>
      </c>
      <c r="AM143" s="96">
        <f t="shared" si="142"/>
        <v>188.35288028214936</v>
      </c>
      <c r="AN143" s="96">
        <f t="shared" si="143"/>
        <v>192.30829076807444</v>
      </c>
      <c r="AS143" s="96" t="s">
        <v>18</v>
      </c>
      <c r="AT143" s="96">
        <f t="shared" si="145"/>
        <v>19.30682238599206</v>
      </c>
      <c r="AU143" s="96">
        <f t="shared" si="146"/>
        <v>19.770186123255868</v>
      </c>
      <c r="AV143" s="96">
        <f t="shared" si="147"/>
        <v>20.18536003184424</v>
      </c>
      <c r="AW143" s="96">
        <f t="shared" si="148"/>
        <v>20.609252592512966</v>
      </c>
      <c r="AX143" s="96">
        <f t="shared" si="149"/>
        <v>21.042046896955739</v>
      </c>
      <c r="AY143" s="96">
        <f t="shared" si="150"/>
        <v>21.483929881791806</v>
      </c>
      <c r="AZ143" s="96">
        <f t="shared" si="151"/>
        <v>21.935092409309433</v>
      </c>
      <c r="BA143" s="96">
        <f t="shared" si="152"/>
        <v>22.395729349904929</v>
      </c>
      <c r="BB143" s="96">
        <f t="shared" si="153"/>
        <v>22.866039666252931</v>
      </c>
      <c r="BC143" s="96">
        <f t="shared" si="154"/>
        <v>23.346226499244235</v>
      </c>
      <c r="BE143" s="169">
        <f t="shared" si="155"/>
        <v>21.000877471592215</v>
      </c>
      <c r="BQ143" s="81" t="s">
        <v>68</v>
      </c>
      <c r="BR143" s="173">
        <f t="shared" si="124"/>
        <v>8.8175823555211572</v>
      </c>
      <c r="BS143" s="173">
        <f t="shared" si="125"/>
        <v>9.0292043320536628</v>
      </c>
      <c r="BT143" s="173">
        <f t="shared" si="126"/>
        <v>9.2188176230267924</v>
      </c>
      <c r="BU143" s="173">
        <f t="shared" si="127"/>
        <v>9.4124127931103505</v>
      </c>
      <c r="BV143" s="173">
        <f t="shared" si="128"/>
        <v>9.6100734617656673</v>
      </c>
      <c r="BW143" s="173">
        <f t="shared" si="129"/>
        <v>9.8118850044627486</v>
      </c>
      <c r="BX143" s="173">
        <f t="shared" si="130"/>
        <v>10.017934589556464</v>
      </c>
      <c r="BY143" s="173">
        <f t="shared" si="131"/>
        <v>10.228311215937149</v>
      </c>
      <c r="BZ143" s="173">
        <f t="shared" si="132"/>
        <v>10.443105751471828</v>
      </c>
      <c r="CA143" s="173">
        <f t="shared" si="133"/>
        <v>10.662410972252735</v>
      </c>
    </row>
    <row r="144" spans="1:110">
      <c r="B144" s="96" t="s">
        <v>53</v>
      </c>
      <c r="C144" s="96">
        <v>0</v>
      </c>
      <c r="D144" s="96">
        <v>0</v>
      </c>
      <c r="E144" s="96">
        <v>382416.03000000009</v>
      </c>
      <c r="F144" s="96">
        <v>779</v>
      </c>
      <c r="P144" s="96" t="s">
        <v>18</v>
      </c>
      <c r="Q144" s="170">
        <v>85826.44</v>
      </c>
      <c r="R144" s="170">
        <v>87886.274560000005</v>
      </c>
      <c r="S144" s="170">
        <v>89731.886325760002</v>
      </c>
      <c r="T144" s="170">
        <v>91616.255938600953</v>
      </c>
      <c r="U144" s="170">
        <v>93540.197313311553</v>
      </c>
      <c r="V144" s="170">
        <v>95504.541456891093</v>
      </c>
      <c r="W144" s="170">
        <v>97510.136827485796</v>
      </c>
      <c r="X144" s="170">
        <v>99557.849700862993</v>
      </c>
      <c r="Y144" s="170">
        <v>101648.56454458111</v>
      </c>
      <c r="Z144" s="170">
        <v>103783.18440001729</v>
      </c>
      <c r="AB144" s="96" t="s">
        <v>18</v>
      </c>
      <c r="AC144" s="96">
        <v>361.25</v>
      </c>
      <c r="AE144" s="96">
        <f t="shared" si="134"/>
        <v>237.58184083044983</v>
      </c>
      <c r="AF144" s="96">
        <f t="shared" si="135"/>
        <v>243.28380501038063</v>
      </c>
      <c r="AG144" s="96">
        <f t="shared" si="136"/>
        <v>248.39276491559863</v>
      </c>
      <c r="AH144" s="96">
        <f t="shared" si="137"/>
        <v>253.60901297882617</v>
      </c>
      <c r="AI144" s="96">
        <f t="shared" si="138"/>
        <v>258.93480225138148</v>
      </c>
      <c r="AJ144" s="96">
        <f t="shared" si="139"/>
        <v>264.37243309866045</v>
      </c>
      <c r="AK144" s="96">
        <f t="shared" si="140"/>
        <v>269.92425419373228</v>
      </c>
      <c r="AL144" s="96">
        <f t="shared" si="141"/>
        <v>275.59266353180067</v>
      </c>
      <c r="AM144" s="96">
        <f t="shared" si="142"/>
        <v>281.38010946596847</v>
      </c>
      <c r="AN144" s="96">
        <f t="shared" si="143"/>
        <v>287.28909176475372</v>
      </c>
      <c r="AS144" s="96" t="s">
        <v>18</v>
      </c>
      <c r="AT144" s="96">
        <f t="shared" si="145"/>
        <v>28.842435476816608</v>
      </c>
      <c r="AU144" s="96">
        <f t="shared" si="146"/>
        <v>29.534653928260209</v>
      </c>
      <c r="AV144" s="96">
        <f t="shared" si="147"/>
        <v>30.154881660753674</v>
      </c>
      <c r="AW144" s="96">
        <f t="shared" si="148"/>
        <v>30.788134175629494</v>
      </c>
      <c r="AX144" s="96">
        <f t="shared" si="149"/>
        <v>31.43468499331771</v>
      </c>
      <c r="AY144" s="96">
        <f t="shared" si="150"/>
        <v>32.094813378177378</v>
      </c>
      <c r="AZ144" s="96">
        <f t="shared" si="151"/>
        <v>32.768804459119096</v>
      </c>
      <c r="BA144" s="96">
        <f t="shared" si="152"/>
        <v>33.456949352760603</v>
      </c>
      <c r="BB144" s="96">
        <f t="shared" si="153"/>
        <v>34.15954528916857</v>
      </c>
      <c r="BC144" s="96">
        <f t="shared" si="154"/>
        <v>34.876895740241103</v>
      </c>
      <c r="BE144" s="169">
        <f t="shared" si="155"/>
        <v>31.373182045244469</v>
      </c>
      <c r="BQ144" s="163" t="s">
        <v>11</v>
      </c>
    </row>
    <row r="145" spans="2:79">
      <c r="B145" s="96" t="s">
        <v>53</v>
      </c>
      <c r="C145" s="96">
        <v>627605.63000000035</v>
      </c>
      <c r="D145" s="96">
        <v>65621.23</v>
      </c>
      <c r="E145" s="96">
        <v>424220.43</v>
      </c>
      <c r="F145" s="96">
        <v>1216</v>
      </c>
      <c r="P145" s="96" t="s">
        <v>18</v>
      </c>
      <c r="Q145" s="170">
        <v>146178.4</v>
      </c>
      <c r="R145" s="170">
        <v>149686.68160000001</v>
      </c>
      <c r="S145" s="170">
        <v>152830.1019136</v>
      </c>
      <c r="T145" s="170">
        <v>156039.53405378558</v>
      </c>
      <c r="U145" s="170">
        <v>159316.36426891506</v>
      </c>
      <c r="V145" s="170">
        <v>162662.00791856225</v>
      </c>
      <c r="W145" s="170">
        <v>166077.91008485205</v>
      </c>
      <c r="X145" s="170">
        <v>169565.54619663392</v>
      </c>
      <c r="Y145" s="170">
        <v>173126.42266676322</v>
      </c>
      <c r="Z145" s="170">
        <v>176762.07754276521</v>
      </c>
      <c r="AB145" s="96" t="s">
        <v>18</v>
      </c>
      <c r="AC145" s="96">
        <v>361.25</v>
      </c>
      <c r="AE145" s="96">
        <f t="shared" si="134"/>
        <v>404.64608996539789</v>
      </c>
      <c r="AF145" s="96">
        <f t="shared" si="135"/>
        <v>414.35759612456752</v>
      </c>
      <c r="AG145" s="96">
        <f t="shared" si="136"/>
        <v>423.05910564318339</v>
      </c>
      <c r="AH145" s="96">
        <f t="shared" si="137"/>
        <v>431.9433468616902</v>
      </c>
      <c r="AI145" s="96">
        <f t="shared" si="138"/>
        <v>441.01415714578565</v>
      </c>
      <c r="AJ145" s="96">
        <f t="shared" si="139"/>
        <v>450.27545444584706</v>
      </c>
      <c r="AK145" s="96">
        <f t="shared" si="140"/>
        <v>459.73123898920983</v>
      </c>
      <c r="AL145" s="96">
        <f t="shared" si="141"/>
        <v>469.38559500798317</v>
      </c>
      <c r="AM145" s="96">
        <f t="shared" si="142"/>
        <v>479.24269250315075</v>
      </c>
      <c r="AN145" s="96">
        <f t="shared" si="143"/>
        <v>489.30678904571687</v>
      </c>
      <c r="AS145" s="96" t="s">
        <v>18</v>
      </c>
      <c r="AT145" s="96">
        <f t="shared" si="145"/>
        <v>49.124035321799305</v>
      </c>
      <c r="AU145" s="96">
        <f t="shared" si="146"/>
        <v>50.303012169522496</v>
      </c>
      <c r="AV145" s="96">
        <f t="shared" si="147"/>
        <v>51.359375425082462</v>
      </c>
      <c r="AW145" s="96">
        <f t="shared" si="148"/>
        <v>52.437922309009188</v>
      </c>
      <c r="AX145" s="96">
        <f t="shared" si="149"/>
        <v>53.539118677498372</v>
      </c>
      <c r="AY145" s="96">
        <f t="shared" si="150"/>
        <v>54.663440169725831</v>
      </c>
      <c r="AZ145" s="96">
        <f t="shared" si="151"/>
        <v>55.811372413290073</v>
      </c>
      <c r="BA145" s="96">
        <f t="shared" si="152"/>
        <v>56.983411233969157</v>
      </c>
      <c r="BB145" s="96">
        <f t="shared" si="153"/>
        <v>58.180062869882498</v>
      </c>
      <c r="BC145" s="96">
        <f t="shared" si="154"/>
        <v>59.401844190150022</v>
      </c>
      <c r="BE145" s="169">
        <f t="shared" si="155"/>
        <v>53.434367710959066</v>
      </c>
      <c r="BQ145" s="81" t="s">
        <v>45</v>
      </c>
      <c r="BR145" s="173">
        <f t="shared" ref="BR145:BR176" si="156">IFERROR(SUMIFS(Q$137:Q$242,$P$137:$P$242,$BQ145)/SUMIFS($AC$137:$AC$242,$P$137:$P$242,$BQ145),0)*$AQ$5</f>
        <v>0</v>
      </c>
      <c r="BS145" s="173">
        <f t="shared" ref="BS145:BS176" si="157">IFERROR(SUMIFS(R$137:R$242,$P$137:$P$242,$BQ145)/SUMIFS($AC$137:$AC$242,$P$137:$P$242,$BQ145),0)*$AQ$5</f>
        <v>0</v>
      </c>
      <c r="BT145" s="173">
        <f t="shared" ref="BT145:BT176" si="158">IFERROR(SUMIFS(S$137:S$242,$P$137:$P$242,$BQ145)/SUMIFS($AC$137:$AC$242,$P$137:$P$242,$BQ145),0)*$AQ$5</f>
        <v>0</v>
      </c>
      <c r="BU145" s="173">
        <f t="shared" ref="BU145:BU176" si="159">IFERROR(SUMIFS(T$137:T$242,$P$137:$P$242,$BQ145)/SUMIFS($AC$137:$AC$242,$P$137:$P$242,$BQ145),0)*$AQ$5</f>
        <v>0</v>
      </c>
      <c r="BV145" s="173">
        <f t="shared" ref="BV145:BV176" si="160">IFERROR(SUMIFS(U$137:U$242,$P$137:$P$242,$BQ145)/SUMIFS($AC$137:$AC$242,$P$137:$P$242,$BQ145),0)*$AQ$5</f>
        <v>0</v>
      </c>
      <c r="BW145" s="173">
        <f t="shared" ref="BW145:BW176" si="161">IFERROR(SUMIFS(V$137:V$242,$P$137:$P$242,$BQ145)/SUMIFS($AC$137:$AC$242,$P$137:$P$242,$BQ145),0)*$AQ$5</f>
        <v>0</v>
      </c>
      <c r="BX145" s="173">
        <f t="shared" ref="BX145:BX176" si="162">IFERROR(SUMIFS(W$137:W$242,$P$137:$P$242,$BQ145)/SUMIFS($AC$137:$AC$242,$P$137:$P$242,$BQ145),0)*$AQ$5</f>
        <v>0</v>
      </c>
      <c r="BY145" s="173">
        <f t="shared" ref="BY145:BY176" si="163">IFERROR(SUMIFS(X$137:X$242,$P$137:$P$242,$BQ145)/SUMIFS($AC$137:$AC$242,$P$137:$P$242,$BQ145),0)*$AQ$5</f>
        <v>0</v>
      </c>
      <c r="BZ145" s="173">
        <f t="shared" ref="BZ145:BZ176" si="164">IFERROR(SUMIFS(Y$137:Y$242,$P$137:$P$242,$BQ145)/SUMIFS($AC$137:$AC$242,$P$137:$P$242,$BQ145),0)*$AQ$5</f>
        <v>0</v>
      </c>
      <c r="CA145" s="173">
        <f t="shared" ref="CA145:CA176" si="165">IFERROR(SUMIFS(Z$137:Z$242,$P$137:$P$242,$BQ145)/SUMIFS($AC$137:$AC$242,$P$137:$P$242,$BQ145),0)*$AQ$5</f>
        <v>0</v>
      </c>
    </row>
    <row r="146" spans="2:79">
      <c r="B146" s="96" t="s">
        <v>53</v>
      </c>
      <c r="C146" s="96">
        <v>187181.55</v>
      </c>
      <c r="D146" s="96">
        <v>15181.41</v>
      </c>
      <c r="E146" s="96">
        <v>307029.94</v>
      </c>
      <c r="F146" s="96">
        <v>359</v>
      </c>
      <c r="P146" s="96" t="s">
        <v>18</v>
      </c>
      <c r="Q146" s="170">
        <v>118132.4</v>
      </c>
      <c r="R146" s="170">
        <v>120967.57759999999</v>
      </c>
      <c r="S146" s="170">
        <v>123507.89672959999</v>
      </c>
      <c r="T146" s="170">
        <v>126101.56256092158</v>
      </c>
      <c r="U146" s="170">
        <v>128749.69537470091</v>
      </c>
      <c r="V146" s="170">
        <v>131453.43897756963</v>
      </c>
      <c r="W146" s="170">
        <v>134213.96119609856</v>
      </c>
      <c r="X146" s="170">
        <v>137032.45438121664</v>
      </c>
      <c r="Y146" s="170">
        <v>139910.13592322217</v>
      </c>
      <c r="Z146" s="170">
        <v>142848.24877760981</v>
      </c>
      <c r="AB146" s="96" t="s">
        <v>18</v>
      </c>
      <c r="AC146" s="96">
        <v>361.25</v>
      </c>
      <c r="AE146" s="96">
        <f t="shared" si="134"/>
        <v>327.01010380622836</v>
      </c>
      <c r="AF146" s="96">
        <f t="shared" si="135"/>
        <v>334.85834629757784</v>
      </c>
      <c r="AG146" s="96">
        <f t="shared" si="136"/>
        <v>341.89037156982698</v>
      </c>
      <c r="AH146" s="96">
        <f t="shared" si="137"/>
        <v>349.07006937279328</v>
      </c>
      <c r="AI146" s="96">
        <f t="shared" si="138"/>
        <v>356.40054082962189</v>
      </c>
      <c r="AJ146" s="96">
        <f t="shared" si="139"/>
        <v>363.88495218704395</v>
      </c>
      <c r="AK146" s="96">
        <f t="shared" si="140"/>
        <v>371.52653618297182</v>
      </c>
      <c r="AL146" s="96">
        <f t="shared" si="141"/>
        <v>379.32859344281422</v>
      </c>
      <c r="AM146" s="96">
        <f t="shared" si="142"/>
        <v>387.29449390511326</v>
      </c>
      <c r="AN146" s="96">
        <f t="shared" si="143"/>
        <v>395.42767827712061</v>
      </c>
      <c r="AS146" s="96" t="s">
        <v>18</v>
      </c>
      <c r="AT146" s="96">
        <f t="shared" si="145"/>
        <v>39.699026602076124</v>
      </c>
      <c r="AU146" s="96">
        <f t="shared" si="146"/>
        <v>40.65180324052595</v>
      </c>
      <c r="AV146" s="96">
        <f t="shared" si="147"/>
        <v>41.50549110857699</v>
      </c>
      <c r="AW146" s="96">
        <f t="shared" si="148"/>
        <v>42.3771064218571</v>
      </c>
      <c r="AX146" s="96">
        <f t="shared" si="149"/>
        <v>43.267025656716093</v>
      </c>
      <c r="AY146" s="96">
        <f t="shared" si="150"/>
        <v>44.175633195507132</v>
      </c>
      <c r="AZ146" s="96">
        <f t="shared" si="151"/>
        <v>45.103321492612778</v>
      </c>
      <c r="BA146" s="96">
        <f t="shared" si="152"/>
        <v>46.050491243957644</v>
      </c>
      <c r="BB146" s="96">
        <f t="shared" si="153"/>
        <v>47.017551560080747</v>
      </c>
      <c r="BC146" s="96">
        <f t="shared" si="154"/>
        <v>48.004920142842437</v>
      </c>
      <c r="BE146" s="169">
        <f t="shared" si="155"/>
        <v>43.182372362661638</v>
      </c>
      <c r="BQ146" s="81" t="s">
        <v>15</v>
      </c>
      <c r="BR146" s="173">
        <f t="shared" si="156"/>
        <v>0</v>
      </c>
      <c r="BS146" s="173">
        <f t="shared" si="157"/>
        <v>0</v>
      </c>
      <c r="BT146" s="173">
        <f t="shared" si="158"/>
        <v>0</v>
      </c>
      <c r="BU146" s="173">
        <f t="shared" si="159"/>
        <v>0</v>
      </c>
      <c r="BV146" s="173">
        <f t="shared" si="160"/>
        <v>0</v>
      </c>
      <c r="BW146" s="173">
        <f t="shared" si="161"/>
        <v>0</v>
      </c>
      <c r="BX146" s="173">
        <f t="shared" si="162"/>
        <v>0</v>
      </c>
      <c r="BY146" s="173">
        <f t="shared" si="163"/>
        <v>0</v>
      </c>
      <c r="BZ146" s="173">
        <f t="shared" si="164"/>
        <v>0</v>
      </c>
      <c r="CA146" s="173">
        <f t="shared" si="165"/>
        <v>0</v>
      </c>
    </row>
    <row r="147" spans="2:79">
      <c r="B147" s="96" t="s">
        <v>53</v>
      </c>
      <c r="C147" s="96">
        <v>13989.32</v>
      </c>
      <c r="D147" s="96">
        <v>9010.83</v>
      </c>
      <c r="E147" s="96">
        <v>37382.159999999996</v>
      </c>
      <c r="F147" s="96">
        <v>694</v>
      </c>
      <c r="P147" s="96" t="s">
        <v>18</v>
      </c>
      <c r="Q147" s="170">
        <v>37057.879999999997</v>
      </c>
      <c r="R147" s="170">
        <v>37947.269119999997</v>
      </c>
      <c r="S147" s="170">
        <v>38744.161771519997</v>
      </c>
      <c r="T147" s="170">
        <v>39557.789168721909</v>
      </c>
      <c r="U147" s="170">
        <v>40388.502741265067</v>
      </c>
      <c r="V147" s="170">
        <v>41236.661298831634</v>
      </c>
      <c r="W147" s="170">
        <v>42102.631186107094</v>
      </c>
      <c r="X147" s="170">
        <v>42986.786441015334</v>
      </c>
      <c r="Y147" s="170">
        <v>43889.508956276652</v>
      </c>
      <c r="Z147" s="170">
        <v>44811.188644358459</v>
      </c>
      <c r="AB147" s="96" t="s">
        <v>18</v>
      </c>
      <c r="AC147" s="96">
        <v>361.25</v>
      </c>
      <c r="AE147" s="96">
        <f t="shared" si="134"/>
        <v>102.58236678200691</v>
      </c>
      <c r="AF147" s="96">
        <f t="shared" si="135"/>
        <v>105.04434358477508</v>
      </c>
      <c r="AG147" s="96">
        <f t="shared" si="136"/>
        <v>107.25027480005535</v>
      </c>
      <c r="AH147" s="96">
        <f t="shared" si="137"/>
        <v>109.50253057085649</v>
      </c>
      <c r="AI147" s="96">
        <f t="shared" si="138"/>
        <v>111.80208371284448</v>
      </c>
      <c r="AJ147" s="96">
        <f t="shared" si="139"/>
        <v>114.14992747081421</v>
      </c>
      <c r="AK147" s="96">
        <f t="shared" si="140"/>
        <v>116.5470759477013</v>
      </c>
      <c r="AL147" s="96">
        <f t="shared" si="141"/>
        <v>118.994564542603</v>
      </c>
      <c r="AM147" s="96">
        <f t="shared" si="142"/>
        <v>121.49345039799765</v>
      </c>
      <c r="AN147" s="96">
        <f t="shared" si="143"/>
        <v>124.04481285635559</v>
      </c>
      <c r="AS147" s="96" t="s">
        <v>18</v>
      </c>
      <c r="AT147" s="96">
        <f t="shared" si="145"/>
        <v>12.453499327335638</v>
      </c>
      <c r="AU147" s="96">
        <f t="shared" si="146"/>
        <v>12.752383311191695</v>
      </c>
      <c r="AV147" s="96">
        <f t="shared" si="147"/>
        <v>13.020183360726719</v>
      </c>
      <c r="AW147" s="96">
        <f t="shared" si="148"/>
        <v>13.293607211301978</v>
      </c>
      <c r="AX147" s="96">
        <f t="shared" si="149"/>
        <v>13.572772962739318</v>
      </c>
      <c r="AY147" s="96">
        <f t="shared" si="150"/>
        <v>13.857801194956844</v>
      </c>
      <c r="AZ147" s="96">
        <f t="shared" si="151"/>
        <v>14.148815020050938</v>
      </c>
      <c r="BA147" s="96">
        <f t="shared" si="152"/>
        <v>14.445940135472004</v>
      </c>
      <c r="BB147" s="96">
        <f t="shared" si="153"/>
        <v>14.749304878316913</v>
      </c>
      <c r="BC147" s="96">
        <f t="shared" si="154"/>
        <v>15.059040280761568</v>
      </c>
      <c r="BE147" s="169">
        <f t="shared" si="155"/>
        <v>13.546217406324022</v>
      </c>
      <c r="BQ147" s="81" t="s">
        <v>16</v>
      </c>
      <c r="BR147" s="173">
        <f t="shared" si="156"/>
        <v>28.204704910867868</v>
      </c>
      <c r="BS147" s="173">
        <f t="shared" si="157"/>
        <v>28.8816178287287</v>
      </c>
      <c r="BT147" s="173">
        <f t="shared" si="158"/>
        <v>29.488131803131992</v>
      </c>
      <c r="BU147" s="173">
        <f t="shared" si="159"/>
        <v>30.107382570997768</v>
      </c>
      <c r="BV147" s="173">
        <f t="shared" si="160"/>
        <v>30.739637604988715</v>
      </c>
      <c r="BW147" s="173">
        <f t="shared" si="161"/>
        <v>31.385169994693474</v>
      </c>
      <c r="BX147" s="173">
        <f t="shared" si="162"/>
        <v>32.044258564582037</v>
      </c>
      <c r="BY147" s="173">
        <f t="shared" si="163"/>
        <v>32.717187994438255</v>
      </c>
      <c r="BZ147" s="173">
        <f t="shared" si="164"/>
        <v>33.404248942321452</v>
      </c>
      <c r="CA147" s="173">
        <f t="shared" si="165"/>
        <v>34.1057381701102</v>
      </c>
    </row>
    <row r="148" spans="2:79">
      <c r="P148" s="96" t="s">
        <v>18</v>
      </c>
      <c r="Q148" s="170">
        <v>27667.200000000001</v>
      </c>
      <c r="R148" s="170">
        <v>28331.212800000001</v>
      </c>
      <c r="S148" s="170">
        <v>28926.1682688</v>
      </c>
      <c r="T148" s="170">
        <v>29533.617802444798</v>
      </c>
      <c r="U148" s="170">
        <v>30153.823776296133</v>
      </c>
      <c r="V148" s="170">
        <v>30787.054075598353</v>
      </c>
      <c r="W148" s="170">
        <v>31433.582211185912</v>
      </c>
      <c r="X148" s="170">
        <v>32093.687437620814</v>
      </c>
      <c r="Y148" s="170">
        <v>32767.654873810847</v>
      </c>
      <c r="Z148" s="170">
        <v>33455.775626160874</v>
      </c>
      <c r="AB148" s="96" t="s">
        <v>18</v>
      </c>
      <c r="AC148" s="96">
        <v>361.25</v>
      </c>
      <c r="AE148" s="96">
        <f t="shared" si="134"/>
        <v>76.58740484429066</v>
      </c>
      <c r="AF148" s="96">
        <f t="shared" si="135"/>
        <v>78.425502560553639</v>
      </c>
      <c r="AG148" s="96">
        <f t="shared" si="136"/>
        <v>80.072438114325266</v>
      </c>
      <c r="AH148" s="96">
        <f t="shared" si="137"/>
        <v>81.753959314726089</v>
      </c>
      <c r="AI148" s="96">
        <f t="shared" si="138"/>
        <v>83.470792460335318</v>
      </c>
      <c r="AJ148" s="96">
        <f t="shared" si="139"/>
        <v>85.223679102002365</v>
      </c>
      <c r="AK148" s="96">
        <f t="shared" si="140"/>
        <v>87.013376363144388</v>
      </c>
      <c r="AL148" s="96">
        <f t="shared" si="141"/>
        <v>88.840657266770421</v>
      </c>
      <c r="AM148" s="96">
        <f t="shared" si="142"/>
        <v>90.706311069372589</v>
      </c>
      <c r="AN148" s="96">
        <f t="shared" si="143"/>
        <v>92.611143601829411</v>
      </c>
      <c r="AS148" s="96" t="s">
        <v>18</v>
      </c>
      <c r="AT148" s="96">
        <f t="shared" si="145"/>
        <v>9.2977109480968849</v>
      </c>
      <c r="AU148" s="96">
        <f t="shared" si="146"/>
        <v>9.5208560108512117</v>
      </c>
      <c r="AV148" s="96">
        <f t="shared" si="147"/>
        <v>9.7207939870790874</v>
      </c>
      <c r="AW148" s="96">
        <f t="shared" si="148"/>
        <v>9.9249306608077461</v>
      </c>
      <c r="AX148" s="96">
        <f t="shared" si="149"/>
        <v>10.133354204684707</v>
      </c>
      <c r="AY148" s="96">
        <f t="shared" si="150"/>
        <v>10.346154642983086</v>
      </c>
      <c r="AZ148" s="96">
        <f t="shared" si="151"/>
        <v>10.563423890485728</v>
      </c>
      <c r="BA148" s="96">
        <f t="shared" si="152"/>
        <v>10.785255792185929</v>
      </c>
      <c r="BB148" s="96">
        <f t="shared" si="153"/>
        <v>11.011746163821831</v>
      </c>
      <c r="BC148" s="96">
        <f t="shared" si="154"/>
        <v>11.24299283326209</v>
      </c>
      <c r="BE148" s="169">
        <f t="shared" si="155"/>
        <v>10.113527979049209</v>
      </c>
      <c r="BQ148" s="81" t="s">
        <v>17</v>
      </c>
      <c r="BR148" s="173">
        <f t="shared" si="156"/>
        <v>38.56210474175036</v>
      </c>
      <c r="BS148" s="173">
        <f t="shared" si="157"/>
        <v>39.487595255552364</v>
      </c>
      <c r="BT148" s="173">
        <f t="shared" si="158"/>
        <v>40.316834755918961</v>
      </c>
      <c r="BU148" s="173">
        <f t="shared" si="159"/>
        <v>41.163488285793257</v>
      </c>
      <c r="BV148" s="173">
        <f t="shared" si="160"/>
        <v>42.02792153979491</v>
      </c>
      <c r="BW148" s="173">
        <f t="shared" si="161"/>
        <v>42.910507892130603</v>
      </c>
      <c r="BX148" s="173">
        <f t="shared" si="162"/>
        <v>43.81162855786534</v>
      </c>
      <c r="BY148" s="173">
        <f t="shared" si="163"/>
        <v>44.731672757580498</v>
      </c>
      <c r="BZ148" s="173">
        <f t="shared" si="164"/>
        <v>45.671037885489696</v>
      </c>
      <c r="CA148" s="173">
        <f t="shared" si="165"/>
        <v>46.630129681084966</v>
      </c>
    </row>
    <row r="149" spans="2:79">
      <c r="P149" s="96" t="s">
        <v>20</v>
      </c>
      <c r="Q149" s="170">
        <v>138961.79999999999</v>
      </c>
      <c r="R149" s="170">
        <v>142296.88319999998</v>
      </c>
      <c r="S149" s="170">
        <v>145285.11774719998</v>
      </c>
      <c r="T149" s="170">
        <v>148336.10521989118</v>
      </c>
      <c r="U149" s="170">
        <v>151451.16342950886</v>
      </c>
      <c r="V149" s="170">
        <v>154631.63786152855</v>
      </c>
      <c r="W149" s="170">
        <v>157878.90225662061</v>
      </c>
      <c r="X149" s="170">
        <v>161194.35920400964</v>
      </c>
      <c r="Y149" s="170">
        <v>164579.44074729382</v>
      </c>
      <c r="Z149" s="170">
        <v>168035.60900298698</v>
      </c>
      <c r="AB149" s="96" t="s">
        <v>20</v>
      </c>
      <c r="AC149" s="96">
        <v>361.25</v>
      </c>
      <c r="AE149" s="96">
        <f t="shared" si="134"/>
        <v>384.66934256055362</v>
      </c>
      <c r="AF149" s="96">
        <f t="shared" si="135"/>
        <v>393.90140678200686</v>
      </c>
      <c r="AG149" s="96">
        <f t="shared" si="136"/>
        <v>402.17333632442904</v>
      </c>
      <c r="AH149" s="96">
        <f t="shared" si="137"/>
        <v>410.61897638724201</v>
      </c>
      <c r="AI149" s="96">
        <f t="shared" si="138"/>
        <v>419.24197489137401</v>
      </c>
      <c r="AJ149" s="96">
        <f t="shared" si="139"/>
        <v>428.04605636409286</v>
      </c>
      <c r="AK149" s="96">
        <f t="shared" si="140"/>
        <v>437.03502354773872</v>
      </c>
      <c r="AL149" s="96">
        <f t="shared" si="141"/>
        <v>446.2127590422412</v>
      </c>
      <c r="AM149" s="96">
        <f t="shared" si="142"/>
        <v>455.58322698212822</v>
      </c>
      <c r="AN149" s="96">
        <f t="shared" si="143"/>
        <v>465.15047474875291</v>
      </c>
      <c r="AS149" s="96" t="s">
        <v>20</v>
      </c>
      <c r="AT149" s="96">
        <f t="shared" si="145"/>
        <v>46.698858186851204</v>
      </c>
      <c r="AU149" s="96">
        <f t="shared" si="146"/>
        <v>47.819630783335633</v>
      </c>
      <c r="AV149" s="96">
        <f t="shared" si="147"/>
        <v>48.823843029785685</v>
      </c>
      <c r="AW149" s="96">
        <f t="shared" si="148"/>
        <v>49.849143733411175</v>
      </c>
      <c r="AX149" s="96">
        <f t="shared" si="149"/>
        <v>50.895975751812806</v>
      </c>
      <c r="AY149" s="96">
        <f t="shared" si="150"/>
        <v>51.964791242600874</v>
      </c>
      <c r="AZ149" s="96">
        <f t="shared" si="151"/>
        <v>53.056051858695476</v>
      </c>
      <c r="BA149" s="96">
        <f t="shared" si="152"/>
        <v>54.170228947728077</v>
      </c>
      <c r="BB149" s="96">
        <f t="shared" si="153"/>
        <v>55.307803755630367</v>
      </c>
      <c r="BC149" s="96">
        <f t="shared" si="154"/>
        <v>56.4692676344986</v>
      </c>
      <c r="BE149" s="169">
        <f t="shared" si="155"/>
        <v>50.796396177388381</v>
      </c>
      <c r="BQ149" s="81" t="s">
        <v>18</v>
      </c>
      <c r="BR149" s="173">
        <f t="shared" si="156"/>
        <v>29.273991975723334</v>
      </c>
      <c r="BS149" s="173">
        <f t="shared" si="157"/>
        <v>29.976567783140705</v>
      </c>
      <c r="BT149" s="173">
        <f t="shared" si="158"/>
        <v>30.606075706586651</v>
      </c>
      <c r="BU149" s="173">
        <f t="shared" si="159"/>
        <v>31.248803296424974</v>
      </c>
      <c r="BV149" s="173">
        <f t="shared" si="160"/>
        <v>31.905028165649895</v>
      </c>
      <c r="BW149" s="173">
        <f t="shared" si="161"/>
        <v>32.575033757128537</v>
      </c>
      <c r="BX149" s="173">
        <f t="shared" si="162"/>
        <v>33.259109466028235</v>
      </c>
      <c r="BY149" s="173">
        <f t="shared" si="163"/>
        <v>33.957550764814826</v>
      </c>
      <c r="BZ149" s="173">
        <f t="shared" si="164"/>
        <v>34.670659330875935</v>
      </c>
      <c r="CA149" s="173">
        <f t="shared" si="165"/>
        <v>35.398743176824325</v>
      </c>
    </row>
    <row r="150" spans="2:79">
      <c r="P150" s="96" t="s">
        <v>20</v>
      </c>
      <c r="Q150" s="170">
        <v>71715.320000000007</v>
      </c>
      <c r="R150" s="170">
        <v>73436.487680000006</v>
      </c>
      <c r="S150" s="170">
        <v>74978.653921280013</v>
      </c>
      <c r="T150" s="170">
        <v>76553.205653626879</v>
      </c>
      <c r="U150" s="170">
        <v>78160.822972353024</v>
      </c>
      <c r="V150" s="170">
        <v>79802.200254772441</v>
      </c>
      <c r="W150" s="170">
        <v>81478.046460122656</v>
      </c>
      <c r="X150" s="170">
        <v>83189.085435785222</v>
      </c>
      <c r="Y150" s="170">
        <v>84936.056229936701</v>
      </c>
      <c r="Z150" s="170">
        <v>86719.713410765355</v>
      </c>
      <c r="AB150" s="96" t="s">
        <v>20</v>
      </c>
      <c r="AC150" s="96">
        <v>361.25</v>
      </c>
      <c r="AE150" s="96">
        <f t="shared" si="134"/>
        <v>198.51991695501732</v>
      </c>
      <c r="AF150" s="96">
        <f t="shared" si="135"/>
        <v>203.28439496193772</v>
      </c>
      <c r="AG150" s="96">
        <f t="shared" si="136"/>
        <v>207.55336725613844</v>
      </c>
      <c r="AH150" s="96">
        <f t="shared" si="137"/>
        <v>211.91198796851731</v>
      </c>
      <c r="AI150" s="96">
        <f t="shared" si="138"/>
        <v>216.36213971585613</v>
      </c>
      <c r="AJ150" s="96">
        <f t="shared" si="139"/>
        <v>220.9057446498891</v>
      </c>
      <c r="AK150" s="96">
        <f t="shared" si="140"/>
        <v>225.54476528753676</v>
      </c>
      <c r="AL150" s="96">
        <f t="shared" si="141"/>
        <v>230.28120535857502</v>
      </c>
      <c r="AM150" s="96">
        <f t="shared" si="142"/>
        <v>235.11711067110505</v>
      </c>
      <c r="AN150" s="96">
        <f t="shared" si="143"/>
        <v>240.05456999519822</v>
      </c>
      <c r="AS150" s="96" t="s">
        <v>20</v>
      </c>
      <c r="AT150" s="96">
        <f t="shared" si="145"/>
        <v>24.100317918339101</v>
      </c>
      <c r="AU150" s="96">
        <f t="shared" si="146"/>
        <v>24.678725548379237</v>
      </c>
      <c r="AV150" s="96">
        <f t="shared" si="147"/>
        <v>25.196978784895204</v>
      </c>
      <c r="AW150" s="96">
        <f t="shared" si="148"/>
        <v>25.726115339378001</v>
      </c>
      <c r="AX150" s="96">
        <f t="shared" si="149"/>
        <v>26.266363761504934</v>
      </c>
      <c r="AY150" s="96">
        <f t="shared" si="150"/>
        <v>26.817957400496535</v>
      </c>
      <c r="AZ150" s="96">
        <f t="shared" si="151"/>
        <v>27.38113450590696</v>
      </c>
      <c r="BA150" s="96">
        <f t="shared" si="152"/>
        <v>27.956138330531008</v>
      </c>
      <c r="BB150" s="96">
        <f t="shared" si="153"/>
        <v>28.543217235472152</v>
      </c>
      <c r="BC150" s="96">
        <f t="shared" si="154"/>
        <v>29.142624797417064</v>
      </c>
      <c r="BE150" s="169">
        <f t="shared" si="155"/>
        <v>26.21497279617985</v>
      </c>
      <c r="BQ150" s="81" t="s">
        <v>19</v>
      </c>
      <c r="BR150" s="173">
        <f t="shared" si="156"/>
        <v>44.214450413349361</v>
      </c>
      <c r="BS150" s="173">
        <f t="shared" si="157"/>
        <v>45.275597223269756</v>
      </c>
      <c r="BT150" s="173">
        <f t="shared" si="158"/>
        <v>46.226384764958418</v>
      </c>
      <c r="BU150" s="173">
        <f t="shared" si="159"/>
        <v>47.197138845022529</v>
      </c>
      <c r="BV150" s="173">
        <f t="shared" si="160"/>
        <v>48.188278760768</v>
      </c>
      <c r="BW150" s="173">
        <f t="shared" si="161"/>
        <v>49.200232614744124</v>
      </c>
      <c r="BX150" s="173">
        <f t="shared" si="162"/>
        <v>50.233437499653746</v>
      </c>
      <c r="BY150" s="173">
        <f t="shared" si="163"/>
        <v>51.288339687146461</v>
      </c>
      <c r="BZ150" s="173">
        <f t="shared" si="164"/>
        <v>52.36539482057654</v>
      </c>
      <c r="CA150" s="173">
        <f t="shared" si="165"/>
        <v>53.465068111808648</v>
      </c>
    </row>
    <row r="151" spans="2:79">
      <c r="P151" s="96" t="s">
        <v>36</v>
      </c>
      <c r="Q151" s="170">
        <v>274389.08000000007</v>
      </c>
      <c r="R151" s="170">
        <v>280974.41792000009</v>
      </c>
      <c r="S151" s="170">
        <v>286874.88069632009</v>
      </c>
      <c r="T151" s="170">
        <v>292899.25319094275</v>
      </c>
      <c r="U151" s="170">
        <v>299050.13750795252</v>
      </c>
      <c r="V151" s="170">
        <v>305330.19039561949</v>
      </c>
      <c r="W151" s="170">
        <v>311742.12439392746</v>
      </c>
      <c r="X151" s="170">
        <v>318288.70900619996</v>
      </c>
      <c r="Y151" s="170">
        <v>324972.77189533011</v>
      </c>
      <c r="Z151" s="170">
        <v>331797.20010513195</v>
      </c>
      <c r="AB151" s="96" t="s">
        <v>36</v>
      </c>
      <c r="AC151" s="96">
        <v>501.5</v>
      </c>
      <c r="AE151" s="96">
        <f t="shared" si="134"/>
        <v>547.13674975074787</v>
      </c>
      <c r="AF151" s="96">
        <f t="shared" si="135"/>
        <v>560.26803174476584</v>
      </c>
      <c r="AG151" s="96">
        <f t="shared" si="136"/>
        <v>572.033660411406</v>
      </c>
      <c r="AH151" s="96">
        <f t="shared" si="137"/>
        <v>584.04636728004539</v>
      </c>
      <c r="AI151" s="96">
        <f t="shared" si="138"/>
        <v>596.31134099292626</v>
      </c>
      <c r="AJ151" s="96">
        <f t="shared" si="139"/>
        <v>608.83387915377762</v>
      </c>
      <c r="AK151" s="96">
        <f t="shared" si="140"/>
        <v>621.61939061600685</v>
      </c>
      <c r="AL151" s="96">
        <f t="shared" si="141"/>
        <v>634.67339781894304</v>
      </c>
      <c r="AM151" s="96">
        <f t="shared" si="142"/>
        <v>648.00153917314083</v>
      </c>
      <c r="AN151" s="96">
        <f t="shared" si="143"/>
        <v>661.60957149577655</v>
      </c>
      <c r="AS151" s="96" t="s">
        <v>36</v>
      </c>
      <c r="AT151" s="96">
        <f t="shared" si="145"/>
        <v>66.422401419740794</v>
      </c>
      <c r="AU151" s="96">
        <f t="shared" si="146"/>
        <v>68.016539053814569</v>
      </c>
      <c r="AV151" s="96">
        <f t="shared" si="147"/>
        <v>69.444886373944684</v>
      </c>
      <c r="AW151" s="96">
        <f t="shared" si="148"/>
        <v>70.903228987797505</v>
      </c>
      <c r="AX151" s="96">
        <f t="shared" si="149"/>
        <v>72.392196796541242</v>
      </c>
      <c r="AY151" s="96">
        <f t="shared" si="150"/>
        <v>73.912432929268604</v>
      </c>
      <c r="AZ151" s="96">
        <f t="shared" si="151"/>
        <v>75.464594020783224</v>
      </c>
      <c r="BA151" s="96">
        <f t="shared" si="152"/>
        <v>77.049350495219684</v>
      </c>
      <c r="BB151" s="96">
        <f t="shared" si="153"/>
        <v>78.667386855619299</v>
      </c>
      <c r="BC151" s="96">
        <f t="shared" si="154"/>
        <v>80.319401979587269</v>
      </c>
      <c r="BE151" s="169">
        <f t="shared" si="155"/>
        <v>72.250559190774496</v>
      </c>
      <c r="BQ151" s="81" t="s">
        <v>20</v>
      </c>
      <c r="BR151" s="173">
        <f t="shared" si="156"/>
        <v>35.399588052595156</v>
      </c>
      <c r="BS151" s="173">
        <f t="shared" si="157"/>
        <v>36.249178165857444</v>
      </c>
      <c r="BT151" s="173">
        <f t="shared" si="158"/>
        <v>37.010410907340443</v>
      </c>
      <c r="BU151" s="173">
        <f t="shared" si="159"/>
        <v>37.78762953639459</v>
      </c>
      <c r="BV151" s="173">
        <f t="shared" si="160"/>
        <v>38.581169756658866</v>
      </c>
      <c r="BW151" s="173">
        <f t="shared" si="161"/>
        <v>39.391374321548703</v>
      </c>
      <c r="BX151" s="173">
        <f t="shared" si="162"/>
        <v>40.21859318230122</v>
      </c>
      <c r="BY151" s="173">
        <f t="shared" si="163"/>
        <v>41.063183639129548</v>
      </c>
      <c r="BZ151" s="173">
        <f t="shared" si="164"/>
        <v>41.925510495551258</v>
      </c>
      <c r="CA151" s="173">
        <f t="shared" si="165"/>
        <v>42.805946215957825</v>
      </c>
    </row>
    <row r="152" spans="2:79">
      <c r="P152" s="96" t="s">
        <v>36</v>
      </c>
      <c r="Q152" s="170">
        <v>327362.59000000003</v>
      </c>
      <c r="R152" s="170">
        <v>335219.29216000001</v>
      </c>
      <c r="S152" s="170">
        <v>342258.89729536005</v>
      </c>
      <c r="T152" s="170">
        <v>349446.33413856255</v>
      </c>
      <c r="U152" s="170">
        <v>356784.70715547231</v>
      </c>
      <c r="V152" s="170">
        <v>364277.18600573723</v>
      </c>
      <c r="W152" s="170">
        <v>371927.00691185764</v>
      </c>
      <c r="X152" s="170">
        <v>379737.47405700665</v>
      </c>
      <c r="Y152" s="170">
        <v>387711.96101220371</v>
      </c>
      <c r="Z152" s="170">
        <v>395853.91219345992</v>
      </c>
      <c r="AB152" s="96" t="s">
        <v>36</v>
      </c>
      <c r="AC152" s="96">
        <v>263.5</v>
      </c>
      <c r="AE152" s="96">
        <f t="shared" si="134"/>
        <v>1242.3627703984821</v>
      </c>
      <c r="AF152" s="96">
        <f t="shared" si="135"/>
        <v>1272.1794768880457</v>
      </c>
      <c r="AG152" s="96">
        <f t="shared" si="136"/>
        <v>1298.8952459026946</v>
      </c>
      <c r="AH152" s="96">
        <f t="shared" si="137"/>
        <v>1326.1720460666511</v>
      </c>
      <c r="AI152" s="96">
        <f t="shared" si="138"/>
        <v>1354.0216590340506</v>
      </c>
      <c r="AJ152" s="96">
        <f t="shared" si="139"/>
        <v>1382.4561138737656</v>
      </c>
      <c r="AK152" s="96">
        <f t="shared" si="140"/>
        <v>1411.4876922651144</v>
      </c>
      <c r="AL152" s="96">
        <f t="shared" si="141"/>
        <v>1441.1289338026818</v>
      </c>
      <c r="AM152" s="96">
        <f t="shared" si="142"/>
        <v>1471.3926414125378</v>
      </c>
      <c r="AN152" s="96">
        <f t="shared" si="143"/>
        <v>1502.2918868822007</v>
      </c>
      <c r="AS152" s="96" t="s">
        <v>36</v>
      </c>
      <c r="AT152" s="96">
        <f t="shared" si="145"/>
        <v>150.82284032637571</v>
      </c>
      <c r="AU152" s="96">
        <f t="shared" si="146"/>
        <v>154.44258849420874</v>
      </c>
      <c r="AV152" s="96">
        <f t="shared" si="147"/>
        <v>157.6858828525871</v>
      </c>
      <c r="AW152" s="96">
        <f t="shared" si="148"/>
        <v>160.99728639249145</v>
      </c>
      <c r="AX152" s="96">
        <f t="shared" si="149"/>
        <v>164.37822940673374</v>
      </c>
      <c r="AY152" s="96">
        <f t="shared" si="150"/>
        <v>167.83017222427515</v>
      </c>
      <c r="AZ152" s="96">
        <f t="shared" si="151"/>
        <v>171.35460584098487</v>
      </c>
      <c r="BA152" s="96">
        <f t="shared" si="152"/>
        <v>174.95305256364557</v>
      </c>
      <c r="BB152" s="96">
        <f t="shared" si="153"/>
        <v>178.6270666674821</v>
      </c>
      <c r="BC152" s="96">
        <f t="shared" si="154"/>
        <v>182.37823506749916</v>
      </c>
      <c r="BE152" s="169">
        <f t="shared" si="155"/>
        <v>164.05661824028741</v>
      </c>
      <c r="BQ152" s="81" t="s">
        <v>21</v>
      </c>
      <c r="BR152" s="173">
        <f t="shared" si="156"/>
        <v>83.901932671957681</v>
      </c>
      <c r="BS152" s="173">
        <f t="shared" si="157"/>
        <v>85.915579056084667</v>
      </c>
      <c r="BT152" s="173">
        <f t="shared" si="158"/>
        <v>87.719806216262455</v>
      </c>
      <c r="BU152" s="173">
        <f t="shared" si="159"/>
        <v>89.561922146803951</v>
      </c>
      <c r="BV152" s="173">
        <f t="shared" si="160"/>
        <v>91.442722511886799</v>
      </c>
      <c r="BW152" s="173">
        <f t="shared" si="161"/>
        <v>93.363019684636413</v>
      </c>
      <c r="BX152" s="173">
        <f t="shared" si="162"/>
        <v>95.32364309801379</v>
      </c>
      <c r="BY152" s="173">
        <f t="shared" si="163"/>
        <v>97.325439603072056</v>
      </c>
      <c r="BZ152" s="173">
        <f t="shared" si="164"/>
        <v>99.369273834736589</v>
      </c>
      <c r="CA152" s="173">
        <f t="shared" si="165"/>
        <v>101.45602858526603</v>
      </c>
    </row>
    <row r="153" spans="2:79">
      <c r="P153" s="96" t="s">
        <v>36</v>
      </c>
      <c r="Q153" s="170">
        <v>2081.0700000000002</v>
      </c>
      <c r="R153" s="170">
        <v>2131.0156800000004</v>
      </c>
      <c r="S153" s="170">
        <v>2175.7670092800004</v>
      </c>
      <c r="T153" s="170">
        <v>2221.4581164748797</v>
      </c>
      <c r="U153" s="170">
        <v>2268.1087369208522</v>
      </c>
      <c r="V153" s="170">
        <v>2315.73902039619</v>
      </c>
      <c r="W153" s="170">
        <v>2364.3695398245095</v>
      </c>
      <c r="X153" s="170">
        <v>2414.021300160824</v>
      </c>
      <c r="Y153" s="170">
        <v>2464.7157474642013</v>
      </c>
      <c r="Z153" s="170">
        <v>2516.474778160949</v>
      </c>
      <c r="AB153" s="96" t="s">
        <v>36</v>
      </c>
      <c r="AC153" s="96">
        <v>5299.75</v>
      </c>
      <c r="AE153" s="96">
        <f t="shared" si="134"/>
        <v>0.39267323930374076</v>
      </c>
      <c r="AF153" s="96">
        <f t="shared" si="135"/>
        <v>0.40209739704703062</v>
      </c>
      <c r="AG153" s="96">
        <f t="shared" si="136"/>
        <v>0.41054144238501822</v>
      </c>
      <c r="AH153" s="96">
        <f t="shared" si="137"/>
        <v>0.41916281267510347</v>
      </c>
      <c r="AI153" s="96">
        <f t="shared" si="138"/>
        <v>0.42796523174128065</v>
      </c>
      <c r="AJ153" s="96">
        <f t="shared" si="139"/>
        <v>0.43695250160784754</v>
      </c>
      <c r="AK153" s="96">
        <f t="shared" si="140"/>
        <v>0.44612850414161226</v>
      </c>
      <c r="AL153" s="96">
        <f t="shared" si="141"/>
        <v>0.45549720272858607</v>
      </c>
      <c r="AM153" s="96">
        <f t="shared" si="142"/>
        <v>0.46506264398588637</v>
      </c>
      <c r="AN153" s="96">
        <f t="shared" si="143"/>
        <v>0.47482895950958987</v>
      </c>
      <c r="AS153" s="96" t="s">
        <v>36</v>
      </c>
      <c r="AT153" s="96">
        <f t="shared" si="145"/>
        <v>4.7670531251474128E-2</v>
      </c>
      <c r="AU153" s="96">
        <f t="shared" si="146"/>
        <v>4.8814624001509516E-2</v>
      </c>
      <c r="AV153" s="96">
        <f t="shared" si="147"/>
        <v>4.9839731105541206E-2</v>
      </c>
      <c r="AW153" s="96">
        <f t="shared" si="148"/>
        <v>5.0886365458757556E-2</v>
      </c>
      <c r="AX153" s="96">
        <f t="shared" si="149"/>
        <v>5.195497913339147E-2</v>
      </c>
      <c r="AY153" s="96">
        <f t="shared" si="150"/>
        <v>5.3046033695192688E-2</v>
      </c>
      <c r="AZ153" s="96">
        <f t="shared" si="151"/>
        <v>5.4160000402791723E-2</v>
      </c>
      <c r="BA153" s="96">
        <f t="shared" si="152"/>
        <v>5.5297360411250343E-2</v>
      </c>
      <c r="BB153" s="96">
        <f t="shared" si="153"/>
        <v>5.6458604979886605E-2</v>
      </c>
      <c r="BC153" s="96">
        <f t="shared" si="154"/>
        <v>5.764423568446421E-2</v>
      </c>
      <c r="BE153" s="169">
        <f t="shared" si="155"/>
        <v>5.1853327585603855E-2</v>
      </c>
      <c r="BQ153" s="81" t="s">
        <v>54</v>
      </c>
      <c r="BR153" s="173">
        <f t="shared" si="156"/>
        <v>0</v>
      </c>
      <c r="BS153" s="173">
        <f t="shared" si="157"/>
        <v>0</v>
      </c>
      <c r="BT153" s="173">
        <f t="shared" si="158"/>
        <v>0</v>
      </c>
      <c r="BU153" s="173">
        <f t="shared" si="159"/>
        <v>0</v>
      </c>
      <c r="BV153" s="173">
        <f t="shared" si="160"/>
        <v>0</v>
      </c>
      <c r="BW153" s="173">
        <f t="shared" si="161"/>
        <v>0</v>
      </c>
      <c r="BX153" s="173">
        <f t="shared" si="162"/>
        <v>0</v>
      </c>
      <c r="BY153" s="173">
        <f t="shared" si="163"/>
        <v>0</v>
      </c>
      <c r="BZ153" s="173">
        <f t="shared" si="164"/>
        <v>0</v>
      </c>
      <c r="CA153" s="173">
        <f t="shared" si="165"/>
        <v>0</v>
      </c>
    </row>
    <row r="154" spans="2:79">
      <c r="P154" s="96" t="s">
        <v>36</v>
      </c>
      <c r="Q154" s="170">
        <v>113559.3</v>
      </c>
      <c r="R154" s="170">
        <v>116284.72320000001</v>
      </c>
      <c r="S154" s="170">
        <v>118726.7023872</v>
      </c>
      <c r="T154" s="170">
        <v>121219.96313733119</v>
      </c>
      <c r="U154" s="170">
        <v>123765.58236321512</v>
      </c>
      <c r="V154" s="170">
        <v>126364.65959284264</v>
      </c>
      <c r="W154" s="170">
        <v>129018.31744429232</v>
      </c>
      <c r="X154" s="170">
        <v>131727.70211062246</v>
      </c>
      <c r="Y154" s="170">
        <v>134493.98385494552</v>
      </c>
      <c r="Z154" s="170">
        <v>137318.35751589935</v>
      </c>
      <c r="AB154" s="96" t="s">
        <v>36</v>
      </c>
      <c r="AC154" s="96">
        <v>361.25</v>
      </c>
      <c r="AE154" s="96">
        <f t="shared" si="134"/>
        <v>314.35100346020761</v>
      </c>
      <c r="AF154" s="96">
        <f t="shared" si="135"/>
        <v>321.89542754325259</v>
      </c>
      <c r="AG154" s="96">
        <f t="shared" si="136"/>
        <v>328.65523152166088</v>
      </c>
      <c r="AH154" s="96">
        <f t="shared" si="137"/>
        <v>335.55699138361575</v>
      </c>
      <c r="AI154" s="96">
        <f t="shared" si="138"/>
        <v>342.60368820267161</v>
      </c>
      <c r="AJ154" s="96">
        <f t="shared" si="139"/>
        <v>349.79836565492775</v>
      </c>
      <c r="AK154" s="96">
        <f t="shared" si="140"/>
        <v>357.14413133368117</v>
      </c>
      <c r="AL154" s="96">
        <f t="shared" si="141"/>
        <v>364.64415809168844</v>
      </c>
      <c r="AM154" s="96">
        <f t="shared" si="142"/>
        <v>372.3016854116139</v>
      </c>
      <c r="AN154" s="96">
        <f t="shared" si="143"/>
        <v>380.1200208052577</v>
      </c>
      <c r="AS154" s="96" t="s">
        <v>36</v>
      </c>
      <c r="AT154" s="96">
        <f t="shared" si="145"/>
        <v>38.162211820069203</v>
      </c>
      <c r="AU154" s="96">
        <f t="shared" si="146"/>
        <v>39.078104903750862</v>
      </c>
      <c r="AV154" s="96">
        <f t="shared" si="147"/>
        <v>39.898745106729628</v>
      </c>
      <c r="AW154" s="96">
        <f t="shared" si="148"/>
        <v>40.736618753970951</v>
      </c>
      <c r="AX154" s="96">
        <f t="shared" si="149"/>
        <v>41.592087747804328</v>
      </c>
      <c r="AY154" s="96">
        <f t="shared" si="150"/>
        <v>42.465521590508224</v>
      </c>
      <c r="AZ154" s="96">
        <f t="shared" si="151"/>
        <v>43.357297543908892</v>
      </c>
      <c r="BA154" s="96">
        <f t="shared" si="152"/>
        <v>44.267800792330974</v>
      </c>
      <c r="BB154" s="96">
        <f t="shared" si="153"/>
        <v>45.197424608969925</v>
      </c>
      <c r="BC154" s="96">
        <f t="shared" si="154"/>
        <v>46.146570525758285</v>
      </c>
      <c r="BE154" s="169">
        <f t="shared" si="155"/>
        <v>41.510711522352906</v>
      </c>
      <c r="BQ154" s="81" t="s">
        <v>22</v>
      </c>
      <c r="BR154" s="173">
        <f t="shared" si="156"/>
        <v>0</v>
      </c>
      <c r="BS154" s="173">
        <f t="shared" si="157"/>
        <v>0</v>
      </c>
      <c r="BT154" s="173">
        <f t="shared" si="158"/>
        <v>0</v>
      </c>
      <c r="BU154" s="173">
        <f t="shared" si="159"/>
        <v>0</v>
      </c>
      <c r="BV154" s="173">
        <f t="shared" si="160"/>
        <v>0</v>
      </c>
      <c r="BW154" s="173">
        <f t="shared" si="161"/>
        <v>0</v>
      </c>
      <c r="BX154" s="173">
        <f t="shared" si="162"/>
        <v>0</v>
      </c>
      <c r="BY154" s="173">
        <f t="shared" si="163"/>
        <v>0</v>
      </c>
      <c r="BZ154" s="173">
        <f t="shared" si="164"/>
        <v>0</v>
      </c>
      <c r="CA154" s="173">
        <f t="shared" si="165"/>
        <v>0</v>
      </c>
    </row>
    <row r="155" spans="2:79">
      <c r="P155" s="96" t="s">
        <v>36</v>
      </c>
      <c r="Q155" s="170">
        <v>114537.1</v>
      </c>
      <c r="R155" s="170">
        <v>117285.99040000001</v>
      </c>
      <c r="S155" s="170">
        <v>119748.99619840001</v>
      </c>
      <c r="T155" s="170">
        <v>122263.72511856639</v>
      </c>
      <c r="U155" s="170">
        <v>124831.26334605626</v>
      </c>
      <c r="V155" s="170">
        <v>127452.71987632345</v>
      </c>
      <c r="W155" s="170">
        <v>130129.22699372622</v>
      </c>
      <c r="X155" s="170">
        <v>132861.94076059447</v>
      </c>
      <c r="Y155" s="170">
        <v>135652.04151656694</v>
      </c>
      <c r="Z155" s="170">
        <v>138500.7343884148</v>
      </c>
      <c r="AB155" s="96" t="s">
        <v>36</v>
      </c>
      <c r="AC155" s="96">
        <v>361.25</v>
      </c>
      <c r="AE155" s="96">
        <f t="shared" si="134"/>
        <v>317.05771626297582</v>
      </c>
      <c r="AF155" s="96">
        <f t="shared" si="135"/>
        <v>324.66710145328722</v>
      </c>
      <c r="AG155" s="96">
        <f t="shared" si="136"/>
        <v>331.48511058380626</v>
      </c>
      <c r="AH155" s="96">
        <f t="shared" si="137"/>
        <v>338.44629790606615</v>
      </c>
      <c r="AI155" s="96">
        <f t="shared" si="138"/>
        <v>345.55367016209345</v>
      </c>
      <c r="AJ155" s="96">
        <f t="shared" si="139"/>
        <v>352.81029723549744</v>
      </c>
      <c r="AK155" s="96">
        <f t="shared" si="140"/>
        <v>360.21931347744282</v>
      </c>
      <c r="AL155" s="96">
        <f t="shared" si="141"/>
        <v>367.78391906046915</v>
      </c>
      <c r="AM155" s="96">
        <f t="shared" si="142"/>
        <v>375.50738136073892</v>
      </c>
      <c r="AN155" s="96">
        <f t="shared" si="143"/>
        <v>383.3930363693143</v>
      </c>
      <c r="AS155" s="96" t="s">
        <v>36</v>
      </c>
      <c r="AT155" s="96">
        <f t="shared" si="145"/>
        <v>38.490806754325263</v>
      </c>
      <c r="AU155" s="96">
        <f t="shared" si="146"/>
        <v>39.414586116429064</v>
      </c>
      <c r="AV155" s="96">
        <f t="shared" si="147"/>
        <v>40.24229242487408</v>
      </c>
      <c r="AW155" s="96">
        <f t="shared" si="148"/>
        <v>41.08738056579643</v>
      </c>
      <c r="AX155" s="96">
        <f t="shared" si="149"/>
        <v>41.950215557678142</v>
      </c>
      <c r="AY155" s="96">
        <f t="shared" si="150"/>
        <v>42.831170084389385</v>
      </c>
      <c r="AZ155" s="96">
        <f t="shared" si="151"/>
        <v>43.730624656161559</v>
      </c>
      <c r="BA155" s="96">
        <f t="shared" si="152"/>
        <v>44.648967773940953</v>
      </c>
      <c r="BB155" s="96">
        <f t="shared" si="153"/>
        <v>45.586596097193706</v>
      </c>
      <c r="BC155" s="96">
        <f t="shared" si="154"/>
        <v>46.543914615234755</v>
      </c>
      <c r="BE155" s="169">
        <f t="shared" si="155"/>
        <v>41.86813864392338</v>
      </c>
      <c r="BQ155" s="81" t="s">
        <v>57</v>
      </c>
      <c r="BR155" s="173">
        <f t="shared" si="156"/>
        <v>0</v>
      </c>
      <c r="BS155" s="173">
        <f t="shared" si="157"/>
        <v>0</v>
      </c>
      <c r="BT155" s="173">
        <f t="shared" si="158"/>
        <v>0</v>
      </c>
      <c r="BU155" s="173">
        <f t="shared" si="159"/>
        <v>0</v>
      </c>
      <c r="BV155" s="173">
        <f t="shared" si="160"/>
        <v>0</v>
      </c>
      <c r="BW155" s="173">
        <f t="shared" si="161"/>
        <v>0</v>
      </c>
      <c r="BX155" s="173">
        <f t="shared" si="162"/>
        <v>0</v>
      </c>
      <c r="BY155" s="173">
        <f t="shared" si="163"/>
        <v>0</v>
      </c>
      <c r="BZ155" s="173">
        <f t="shared" si="164"/>
        <v>0</v>
      </c>
      <c r="CA155" s="173">
        <f t="shared" si="165"/>
        <v>0</v>
      </c>
    </row>
    <row r="156" spans="2:79">
      <c r="P156" s="96" t="s">
        <v>36</v>
      </c>
      <c r="Q156" s="170">
        <v>114196.4</v>
      </c>
      <c r="R156" s="170">
        <v>116937.1136</v>
      </c>
      <c r="S156" s="170">
        <v>119392.7929856</v>
      </c>
      <c r="T156" s="170">
        <v>121900.04163829758</v>
      </c>
      <c r="U156" s="170">
        <v>124459.9425127018</v>
      </c>
      <c r="V156" s="170">
        <v>127073.60130546855</v>
      </c>
      <c r="W156" s="170">
        <v>129742.14693288336</v>
      </c>
      <c r="X156" s="170">
        <v>132466.73201847391</v>
      </c>
      <c r="Y156" s="170">
        <v>135248.53339086185</v>
      </c>
      <c r="Z156" s="170">
        <v>138088.75259206991</v>
      </c>
      <c r="AB156" s="96" t="s">
        <v>36</v>
      </c>
      <c r="AC156" s="96">
        <v>361.25</v>
      </c>
      <c r="AE156" s="96">
        <f t="shared" si="134"/>
        <v>316.11460207612453</v>
      </c>
      <c r="AF156" s="96">
        <f t="shared" si="135"/>
        <v>323.70135252595156</v>
      </c>
      <c r="AG156" s="96">
        <f t="shared" si="136"/>
        <v>330.49908092899653</v>
      </c>
      <c r="AH156" s="96">
        <f t="shared" si="137"/>
        <v>337.43956162850543</v>
      </c>
      <c r="AI156" s="96">
        <f t="shared" si="138"/>
        <v>344.52579242270394</v>
      </c>
      <c r="AJ156" s="96">
        <f t="shared" si="139"/>
        <v>351.76083406358077</v>
      </c>
      <c r="AK156" s="96">
        <f t="shared" si="140"/>
        <v>359.14781157891588</v>
      </c>
      <c r="AL156" s="96">
        <f t="shared" si="141"/>
        <v>366.6899156220731</v>
      </c>
      <c r="AM156" s="96">
        <f t="shared" si="142"/>
        <v>374.39040385013658</v>
      </c>
      <c r="AN156" s="96">
        <f t="shared" si="143"/>
        <v>382.25260233098936</v>
      </c>
      <c r="AS156" s="96" t="s">
        <v>36</v>
      </c>
      <c r="AT156" s="96">
        <f t="shared" si="145"/>
        <v>38.376312692041516</v>
      </c>
      <c r="AU156" s="96">
        <f t="shared" si="146"/>
        <v>39.297344196650521</v>
      </c>
      <c r="AV156" s="96">
        <f t="shared" si="147"/>
        <v>40.122588424780176</v>
      </c>
      <c r="AW156" s="96">
        <f t="shared" si="148"/>
        <v>40.965162781700556</v>
      </c>
      <c r="AX156" s="96">
        <f t="shared" si="149"/>
        <v>41.825431200116256</v>
      </c>
      <c r="AY156" s="96">
        <f t="shared" si="150"/>
        <v>42.703765255318707</v>
      </c>
      <c r="AZ156" s="96">
        <f t="shared" si="151"/>
        <v>43.600544325680389</v>
      </c>
      <c r="BA156" s="96">
        <f t="shared" si="152"/>
        <v>44.516155756519673</v>
      </c>
      <c r="BB156" s="96">
        <f t="shared" si="153"/>
        <v>45.450995027406577</v>
      </c>
      <c r="BC156" s="96">
        <f t="shared" si="154"/>
        <v>46.405465922982103</v>
      </c>
      <c r="BE156" s="169">
        <f t="shared" si="155"/>
        <v>41.743598430874627</v>
      </c>
      <c r="BQ156" s="81" t="s">
        <v>59</v>
      </c>
      <c r="BR156" s="173">
        <f t="shared" si="156"/>
        <v>0</v>
      </c>
      <c r="BS156" s="173">
        <f t="shared" si="157"/>
        <v>0</v>
      </c>
      <c r="BT156" s="173">
        <f t="shared" si="158"/>
        <v>0</v>
      </c>
      <c r="BU156" s="173">
        <f t="shared" si="159"/>
        <v>0</v>
      </c>
      <c r="BV156" s="173">
        <f t="shared" si="160"/>
        <v>0</v>
      </c>
      <c r="BW156" s="173">
        <f t="shared" si="161"/>
        <v>0</v>
      </c>
      <c r="BX156" s="173">
        <f t="shared" si="162"/>
        <v>0</v>
      </c>
      <c r="BY156" s="173">
        <f t="shared" si="163"/>
        <v>0</v>
      </c>
      <c r="BZ156" s="173">
        <f t="shared" si="164"/>
        <v>0</v>
      </c>
      <c r="CA156" s="173">
        <f t="shared" si="165"/>
        <v>0</v>
      </c>
    </row>
    <row r="157" spans="2:79">
      <c r="P157" s="96" t="s">
        <v>36</v>
      </c>
      <c r="Q157" s="170">
        <v>147039.6</v>
      </c>
      <c r="R157" s="170">
        <v>150568.55040000001</v>
      </c>
      <c r="S157" s="170">
        <v>153730.48995839999</v>
      </c>
      <c r="T157" s="170">
        <v>156958.83024752638</v>
      </c>
      <c r="U157" s="170">
        <v>160254.9656827244</v>
      </c>
      <c r="V157" s="170">
        <v>163620.31996206162</v>
      </c>
      <c r="W157" s="170">
        <v>167056.3466812649</v>
      </c>
      <c r="X157" s="170">
        <v>170564.52996157145</v>
      </c>
      <c r="Y157" s="170">
        <v>174146.38509076444</v>
      </c>
      <c r="Z157" s="170">
        <v>177803.45917767045</v>
      </c>
      <c r="AB157" s="96" t="s">
        <v>36</v>
      </c>
      <c r="AC157" s="96">
        <v>361.25</v>
      </c>
      <c r="AE157" s="96">
        <f t="shared" si="134"/>
        <v>407.03003460207611</v>
      </c>
      <c r="AF157" s="96">
        <f t="shared" si="135"/>
        <v>416.79875543252598</v>
      </c>
      <c r="AG157" s="96">
        <f t="shared" si="136"/>
        <v>425.55152929660898</v>
      </c>
      <c r="AH157" s="96">
        <f t="shared" si="137"/>
        <v>434.48811141183774</v>
      </c>
      <c r="AI157" s="96">
        <f t="shared" si="138"/>
        <v>443.61236175148622</v>
      </c>
      <c r="AJ157" s="96">
        <f t="shared" si="139"/>
        <v>452.92822134826747</v>
      </c>
      <c r="AK157" s="96">
        <f t="shared" si="140"/>
        <v>462.43971399658102</v>
      </c>
      <c r="AL157" s="96">
        <f t="shared" si="141"/>
        <v>472.15094799050917</v>
      </c>
      <c r="AM157" s="96">
        <f t="shared" si="142"/>
        <v>482.06611789830987</v>
      </c>
      <c r="AN157" s="96">
        <f t="shared" si="143"/>
        <v>492.18950637417424</v>
      </c>
      <c r="AS157" s="96" t="s">
        <v>36</v>
      </c>
      <c r="AT157" s="96">
        <f t="shared" si="145"/>
        <v>49.413446200692036</v>
      </c>
      <c r="AU157" s="96">
        <f t="shared" si="146"/>
        <v>50.599368909508648</v>
      </c>
      <c r="AV157" s="96">
        <f t="shared" si="147"/>
        <v>51.661955656608328</v>
      </c>
      <c r="AW157" s="96">
        <f t="shared" si="148"/>
        <v>52.746856725397102</v>
      </c>
      <c r="AX157" s="96">
        <f t="shared" si="149"/>
        <v>53.854540716630424</v>
      </c>
      <c r="AY157" s="96">
        <f t="shared" si="150"/>
        <v>54.985486071679667</v>
      </c>
      <c r="AZ157" s="96">
        <f t="shared" si="151"/>
        <v>56.14018127918493</v>
      </c>
      <c r="BA157" s="96">
        <f t="shared" si="152"/>
        <v>57.319125086047812</v>
      </c>
      <c r="BB157" s="96">
        <f t="shared" si="153"/>
        <v>58.522826712854815</v>
      </c>
      <c r="BC157" s="96">
        <f t="shared" si="154"/>
        <v>59.751806073824753</v>
      </c>
      <c r="BE157" s="169">
        <f t="shared" si="155"/>
        <v>53.749172616968963</v>
      </c>
      <c r="BQ157" s="81" t="s">
        <v>61</v>
      </c>
      <c r="BR157" s="173">
        <f t="shared" si="156"/>
        <v>0</v>
      </c>
      <c r="BS157" s="173">
        <f t="shared" si="157"/>
        <v>0</v>
      </c>
      <c r="BT157" s="173">
        <f t="shared" si="158"/>
        <v>0</v>
      </c>
      <c r="BU157" s="173">
        <f t="shared" si="159"/>
        <v>0</v>
      </c>
      <c r="BV157" s="173">
        <f t="shared" si="160"/>
        <v>0</v>
      </c>
      <c r="BW157" s="173">
        <f t="shared" si="161"/>
        <v>0</v>
      </c>
      <c r="BX157" s="173">
        <f t="shared" si="162"/>
        <v>0</v>
      </c>
      <c r="BY157" s="173">
        <f t="shared" si="163"/>
        <v>0</v>
      </c>
      <c r="BZ157" s="173">
        <f t="shared" si="164"/>
        <v>0</v>
      </c>
      <c r="CA157" s="173">
        <f t="shared" si="165"/>
        <v>0</v>
      </c>
    </row>
    <row r="158" spans="2:79">
      <c r="P158" s="96" t="s">
        <v>36</v>
      </c>
      <c r="Q158" s="170">
        <v>154280</v>
      </c>
      <c r="R158" s="170">
        <v>157982.72</v>
      </c>
      <c r="S158" s="170">
        <v>161300.35712</v>
      </c>
      <c r="T158" s="170">
        <v>164687.66461951999</v>
      </c>
      <c r="U158" s="170">
        <v>168146.10557652987</v>
      </c>
      <c r="V158" s="170">
        <v>171677.17379363699</v>
      </c>
      <c r="W158" s="170">
        <v>175282.39444330335</v>
      </c>
      <c r="X158" s="170">
        <v>178963.32472661271</v>
      </c>
      <c r="Y158" s="170">
        <v>182721.55454587156</v>
      </c>
      <c r="Z158" s="170">
        <v>186558.70719133483</v>
      </c>
      <c r="AB158" s="96" t="s">
        <v>36</v>
      </c>
      <c r="AC158" s="96">
        <v>361.25</v>
      </c>
      <c r="AE158" s="96">
        <f t="shared" si="134"/>
        <v>427.07266435986162</v>
      </c>
      <c r="AF158" s="96">
        <f t="shared" si="135"/>
        <v>437.32240830449825</v>
      </c>
      <c r="AG158" s="96">
        <f t="shared" si="136"/>
        <v>446.50617887889274</v>
      </c>
      <c r="AH158" s="96">
        <f t="shared" si="137"/>
        <v>455.88280863534942</v>
      </c>
      <c r="AI158" s="96">
        <f t="shared" si="138"/>
        <v>465.45634761669169</v>
      </c>
      <c r="AJ158" s="96">
        <f t="shared" si="139"/>
        <v>475.23093091664219</v>
      </c>
      <c r="AK158" s="96">
        <f t="shared" si="140"/>
        <v>485.21078046589162</v>
      </c>
      <c r="AL158" s="96">
        <f t="shared" si="141"/>
        <v>495.40020685567532</v>
      </c>
      <c r="AM158" s="96">
        <f t="shared" si="142"/>
        <v>505.80361119964448</v>
      </c>
      <c r="AN158" s="96">
        <f t="shared" si="143"/>
        <v>516.42548703483692</v>
      </c>
      <c r="AS158" s="96" t="s">
        <v>36</v>
      </c>
      <c r="AT158" s="96">
        <f t="shared" si="145"/>
        <v>51.846621453287199</v>
      </c>
      <c r="AU158" s="96">
        <f t="shared" si="146"/>
        <v>53.090940368166088</v>
      </c>
      <c r="AV158" s="96">
        <f t="shared" si="147"/>
        <v>54.205850115897576</v>
      </c>
      <c r="AW158" s="96">
        <f t="shared" si="148"/>
        <v>55.344172968331414</v>
      </c>
      <c r="AX158" s="96">
        <f t="shared" si="149"/>
        <v>56.506400600666367</v>
      </c>
      <c r="AY158" s="96">
        <f t="shared" si="150"/>
        <v>57.693035013280358</v>
      </c>
      <c r="AZ158" s="96">
        <f t="shared" si="151"/>
        <v>58.904588748559242</v>
      </c>
      <c r="BA158" s="96">
        <f t="shared" si="152"/>
        <v>60.141585112278982</v>
      </c>
      <c r="BB158" s="96">
        <f t="shared" si="153"/>
        <v>61.404558399636834</v>
      </c>
      <c r="BC158" s="96">
        <f t="shared" si="154"/>
        <v>62.694054126029201</v>
      </c>
      <c r="BE158" s="169">
        <f t="shared" si="155"/>
        <v>56.395844053887323</v>
      </c>
      <c r="BQ158" s="81" t="s">
        <v>23</v>
      </c>
      <c r="BR158" s="173">
        <f t="shared" si="156"/>
        <v>13.733699188787426</v>
      </c>
      <c r="BS158" s="173">
        <f t="shared" si="157"/>
        <v>14.063307969318323</v>
      </c>
      <c r="BT158" s="173">
        <f t="shared" si="158"/>
        <v>14.358637436674011</v>
      </c>
      <c r="BU158" s="173">
        <f t="shared" si="159"/>
        <v>14.660168822844161</v>
      </c>
      <c r="BV158" s="173">
        <f t="shared" si="160"/>
        <v>14.968032368123886</v>
      </c>
      <c r="BW158" s="173">
        <f t="shared" si="161"/>
        <v>15.28236104785449</v>
      </c>
      <c r="BX158" s="173">
        <f t="shared" si="162"/>
        <v>15.60329062985943</v>
      </c>
      <c r="BY158" s="173">
        <f t="shared" si="163"/>
        <v>15.930959733086477</v>
      </c>
      <c r="BZ158" s="173">
        <f t="shared" si="164"/>
        <v>16.26550988748129</v>
      </c>
      <c r="CA158" s="173">
        <f t="shared" si="165"/>
        <v>16.607085595118399</v>
      </c>
    </row>
    <row r="159" spans="2:79">
      <c r="P159" s="96" t="s">
        <v>36</v>
      </c>
      <c r="Q159" s="170">
        <v>49227.24</v>
      </c>
      <c r="R159" s="170">
        <v>50408.693760000002</v>
      </c>
      <c r="S159" s="170">
        <v>51467.276328959997</v>
      </c>
      <c r="T159" s="170">
        <v>52548.089131868153</v>
      </c>
      <c r="U159" s="170">
        <v>53651.599003637377</v>
      </c>
      <c r="V159" s="170">
        <v>54778.282582713757</v>
      </c>
      <c r="W159" s="170">
        <v>55928.626516950739</v>
      </c>
      <c r="X159" s="170">
        <v>57103.127673806703</v>
      </c>
      <c r="Y159" s="170">
        <v>58302.293354956637</v>
      </c>
      <c r="Z159" s="170">
        <v>59526.641515410716</v>
      </c>
      <c r="AB159" s="96" t="s">
        <v>36</v>
      </c>
      <c r="AC159" s="96">
        <v>361.25</v>
      </c>
      <c r="AE159" s="96">
        <f t="shared" si="134"/>
        <v>136.26917647058823</v>
      </c>
      <c r="AF159" s="96">
        <f t="shared" si="135"/>
        <v>139.53963670588234</v>
      </c>
      <c r="AG159" s="96">
        <f t="shared" si="136"/>
        <v>142.46996907670587</v>
      </c>
      <c r="AH159" s="96">
        <f t="shared" si="137"/>
        <v>145.46183842731668</v>
      </c>
      <c r="AI159" s="96">
        <f t="shared" si="138"/>
        <v>148.51653703429031</v>
      </c>
      <c r="AJ159" s="96">
        <f t="shared" si="139"/>
        <v>151.63538431201039</v>
      </c>
      <c r="AK159" s="96">
        <f t="shared" si="140"/>
        <v>154.8197273825626</v>
      </c>
      <c r="AL159" s="96">
        <f t="shared" si="141"/>
        <v>158.07094165759642</v>
      </c>
      <c r="AM159" s="96">
        <f t="shared" si="142"/>
        <v>161.3904314324059</v>
      </c>
      <c r="AN159" s="96">
        <f t="shared" si="143"/>
        <v>164.7796304924864</v>
      </c>
      <c r="AS159" s="96" t="s">
        <v>36</v>
      </c>
      <c r="AT159" s="96">
        <f t="shared" si="145"/>
        <v>16.543078023529411</v>
      </c>
      <c r="AU159" s="96">
        <f t="shared" si="146"/>
        <v>16.940111896094116</v>
      </c>
      <c r="AV159" s="96">
        <f t="shared" si="147"/>
        <v>17.295854245912093</v>
      </c>
      <c r="AW159" s="96">
        <f t="shared" si="148"/>
        <v>17.659067185076243</v>
      </c>
      <c r="AX159" s="96">
        <f t="shared" si="149"/>
        <v>18.029907595962843</v>
      </c>
      <c r="AY159" s="96">
        <f t="shared" si="150"/>
        <v>18.408535655478062</v>
      </c>
      <c r="AZ159" s="96">
        <f t="shared" si="151"/>
        <v>18.7951149042431</v>
      </c>
      <c r="BA159" s="96">
        <f t="shared" si="152"/>
        <v>19.189812317232203</v>
      </c>
      <c r="BB159" s="96">
        <f t="shared" si="153"/>
        <v>19.592798375894077</v>
      </c>
      <c r="BC159" s="96">
        <f t="shared" si="154"/>
        <v>20.00424714178785</v>
      </c>
      <c r="BE159" s="169">
        <f t="shared" si="155"/>
        <v>17.994631515707056</v>
      </c>
      <c r="BQ159" s="81" t="s">
        <v>24</v>
      </c>
      <c r="BR159" s="173">
        <f t="shared" si="156"/>
        <v>11.201174840471756</v>
      </c>
      <c r="BS159" s="173">
        <f t="shared" si="157"/>
        <v>11.470003036643078</v>
      </c>
      <c r="BT159" s="173">
        <f t="shared" si="158"/>
        <v>11.710873100412583</v>
      </c>
      <c r="BU159" s="173">
        <f t="shared" si="159"/>
        <v>11.956801435521248</v>
      </c>
      <c r="BV159" s="173">
        <f t="shared" si="160"/>
        <v>12.207894265667187</v>
      </c>
      <c r="BW159" s="173">
        <f t="shared" si="161"/>
        <v>12.464260045246201</v>
      </c>
      <c r="BX159" s="173">
        <f t="shared" si="162"/>
        <v>12.72600950619637</v>
      </c>
      <c r="BY159" s="173">
        <f t="shared" si="163"/>
        <v>12.99325570582649</v>
      </c>
      <c r="BZ159" s="173">
        <f t="shared" si="164"/>
        <v>13.266114075648847</v>
      </c>
      <c r="CA159" s="173">
        <f t="shared" si="165"/>
        <v>13.54470247123747</v>
      </c>
    </row>
    <row r="160" spans="2:79">
      <c r="P160" s="96" t="s">
        <v>36</v>
      </c>
      <c r="Q160" s="170">
        <v>129057.7</v>
      </c>
      <c r="R160" s="170">
        <v>132155.08480000001</v>
      </c>
      <c r="S160" s="170">
        <v>134930.34158079998</v>
      </c>
      <c r="T160" s="170">
        <v>137763.87875399677</v>
      </c>
      <c r="U160" s="170">
        <v>140656.9202078307</v>
      </c>
      <c r="V160" s="170">
        <v>143610.71553219514</v>
      </c>
      <c r="W160" s="170">
        <v>146626.5405583712</v>
      </c>
      <c r="X160" s="170">
        <v>149705.69791009699</v>
      </c>
      <c r="Y160" s="170">
        <v>152849.51756620902</v>
      </c>
      <c r="Z160" s="170">
        <v>156059.35743509937</v>
      </c>
      <c r="AB160" s="96" t="s">
        <v>36</v>
      </c>
      <c r="AC160" s="96">
        <v>361.25</v>
      </c>
      <c r="AE160" s="96">
        <f t="shared" si="134"/>
        <v>357.25314878892732</v>
      </c>
      <c r="AF160" s="96">
        <f t="shared" si="135"/>
        <v>365.82722435986165</v>
      </c>
      <c r="AG160" s="96">
        <f t="shared" si="136"/>
        <v>373.50959607141863</v>
      </c>
      <c r="AH160" s="96">
        <f t="shared" si="137"/>
        <v>381.35329758891839</v>
      </c>
      <c r="AI160" s="96">
        <f t="shared" si="138"/>
        <v>389.36171683828564</v>
      </c>
      <c r="AJ160" s="96">
        <f t="shared" si="139"/>
        <v>397.53831289188969</v>
      </c>
      <c r="AK160" s="96">
        <f t="shared" si="140"/>
        <v>405.88661746261926</v>
      </c>
      <c r="AL160" s="96">
        <f t="shared" si="141"/>
        <v>414.41023642933425</v>
      </c>
      <c r="AM160" s="96">
        <f t="shared" si="142"/>
        <v>423.11285139435023</v>
      </c>
      <c r="AN160" s="96">
        <f t="shared" si="143"/>
        <v>431.99822127363149</v>
      </c>
      <c r="AS160" s="96" t="s">
        <v>36</v>
      </c>
      <c r="AT160" s="96">
        <f t="shared" si="145"/>
        <v>43.370532262975772</v>
      </c>
      <c r="AU160" s="96">
        <f t="shared" si="146"/>
        <v>44.411425037287202</v>
      </c>
      <c r="AV160" s="96">
        <f t="shared" si="147"/>
        <v>45.344064963070217</v>
      </c>
      <c r="AW160" s="96">
        <f t="shared" si="148"/>
        <v>46.296290327294692</v>
      </c>
      <c r="AX160" s="96">
        <f t="shared" si="149"/>
        <v>47.268512424167874</v>
      </c>
      <c r="AY160" s="96">
        <f t="shared" si="150"/>
        <v>48.261151185075406</v>
      </c>
      <c r="AZ160" s="96">
        <f t="shared" si="151"/>
        <v>49.274635359961977</v>
      </c>
      <c r="BA160" s="96">
        <f t="shared" si="152"/>
        <v>50.309402702521176</v>
      </c>
      <c r="BB160" s="96">
        <f t="shared" si="153"/>
        <v>51.365900159274112</v>
      </c>
      <c r="BC160" s="96">
        <f t="shared" si="154"/>
        <v>52.444584062618858</v>
      </c>
      <c r="BE160" s="169">
        <f t="shared" si="155"/>
        <v>47.176030095627262</v>
      </c>
      <c r="BQ160" s="81" t="s">
        <v>25</v>
      </c>
      <c r="BR160" s="173">
        <f t="shared" si="156"/>
        <v>36.987674013937301</v>
      </c>
      <c r="BS160" s="173">
        <f t="shared" si="157"/>
        <v>37.875378190271796</v>
      </c>
      <c r="BT160" s="173">
        <f t="shared" si="158"/>
        <v>38.670761132267501</v>
      </c>
      <c r="BU160" s="173">
        <f t="shared" si="159"/>
        <v>39.482847116045122</v>
      </c>
      <c r="BV160" s="173">
        <f t="shared" si="160"/>
        <v>40.311986905482058</v>
      </c>
      <c r="BW160" s="173">
        <f t="shared" si="161"/>
        <v>41.158538630497176</v>
      </c>
      <c r="BX160" s="173">
        <f t="shared" si="162"/>
        <v>42.022867941737616</v>
      </c>
      <c r="BY160" s="173">
        <f t="shared" si="163"/>
        <v>42.905348168514095</v>
      </c>
      <c r="BZ160" s="173">
        <f t="shared" si="164"/>
        <v>43.806360480052895</v>
      </c>
      <c r="CA160" s="173">
        <f t="shared" si="165"/>
        <v>44.726294050133994</v>
      </c>
    </row>
    <row r="161" spans="16:79">
      <c r="P161" s="96" t="s">
        <v>52</v>
      </c>
      <c r="Q161" s="170">
        <v>524722.37</v>
      </c>
      <c r="R161" s="170">
        <v>537315.70687999995</v>
      </c>
      <c r="S161" s="170">
        <v>548599.33672448003</v>
      </c>
      <c r="T161" s="170">
        <v>560119.92279569397</v>
      </c>
      <c r="U161" s="170">
        <v>571882.44117440353</v>
      </c>
      <c r="V161" s="170">
        <v>583891.97243906592</v>
      </c>
      <c r="W161" s="170">
        <v>596153.70386028627</v>
      </c>
      <c r="X161" s="170">
        <v>608672.93164135225</v>
      </c>
      <c r="Y161" s="170">
        <v>621455.06320582051</v>
      </c>
      <c r="Z161" s="170">
        <v>634505.61953314266</v>
      </c>
      <c r="AB161" s="96" t="s">
        <v>52</v>
      </c>
      <c r="AC161" s="96">
        <v>741.19999999999993</v>
      </c>
      <c r="AE161" s="96">
        <f t="shared" si="134"/>
        <v>707.93627900701574</v>
      </c>
      <c r="AF161" s="96">
        <f t="shared" si="135"/>
        <v>724.92674970318399</v>
      </c>
      <c r="AG161" s="96">
        <f t="shared" si="136"/>
        <v>740.15021144695095</v>
      </c>
      <c r="AH161" s="96">
        <f t="shared" si="137"/>
        <v>755.69336588733677</v>
      </c>
      <c r="AI161" s="96">
        <f t="shared" si="138"/>
        <v>771.56292657097083</v>
      </c>
      <c r="AJ161" s="96">
        <f t="shared" si="139"/>
        <v>787.76574802896107</v>
      </c>
      <c r="AK161" s="96">
        <f t="shared" si="140"/>
        <v>804.30882873756923</v>
      </c>
      <c r="AL161" s="96">
        <f t="shared" si="141"/>
        <v>821.19931414105815</v>
      </c>
      <c r="AM161" s="96">
        <f t="shared" si="142"/>
        <v>838.44449973802023</v>
      </c>
      <c r="AN161" s="96">
        <f t="shared" si="143"/>
        <v>856.05183423251856</v>
      </c>
      <c r="AS161" s="96" t="s">
        <v>52</v>
      </c>
      <c r="AT161" s="96">
        <f t="shared" si="145"/>
        <v>85.943464271451703</v>
      </c>
      <c r="AU161" s="96">
        <f t="shared" si="146"/>
        <v>88.006107413966532</v>
      </c>
      <c r="AV161" s="96">
        <f t="shared" si="147"/>
        <v>89.854235669659843</v>
      </c>
      <c r="AW161" s="96">
        <f t="shared" si="148"/>
        <v>91.741174618722681</v>
      </c>
      <c r="AX161" s="96">
        <f t="shared" si="149"/>
        <v>93.667739285715854</v>
      </c>
      <c r="AY161" s="96">
        <f t="shared" si="150"/>
        <v>95.634761810715872</v>
      </c>
      <c r="AZ161" s="96">
        <f t="shared" si="151"/>
        <v>97.643091808740905</v>
      </c>
      <c r="BA161" s="96">
        <f t="shared" si="152"/>
        <v>99.693596736724459</v>
      </c>
      <c r="BB161" s="96">
        <f t="shared" si="153"/>
        <v>101.78716226819564</v>
      </c>
      <c r="BC161" s="96">
        <f t="shared" si="154"/>
        <v>103.92469267582774</v>
      </c>
      <c r="BE161" s="169">
        <f t="shared" si="155"/>
        <v>93.484475413128877</v>
      </c>
      <c r="BQ161" s="81" t="s">
        <v>27</v>
      </c>
      <c r="BR161" s="173">
        <f t="shared" si="156"/>
        <v>16.87876034879725</v>
      </c>
      <c r="BS161" s="173">
        <f t="shared" si="157"/>
        <v>17.283850597168385</v>
      </c>
      <c r="BT161" s="173">
        <f t="shared" si="158"/>
        <v>17.646811459708921</v>
      </c>
      <c r="BU161" s="173">
        <f t="shared" si="159"/>
        <v>18.017394500362808</v>
      </c>
      <c r="BV161" s="173">
        <f t="shared" si="160"/>
        <v>18.395759784870421</v>
      </c>
      <c r="BW161" s="173">
        <f t="shared" si="161"/>
        <v>18.782070740352701</v>
      </c>
      <c r="BX161" s="173">
        <f t="shared" si="162"/>
        <v>19.176494225900104</v>
      </c>
      <c r="BY161" s="173">
        <f t="shared" si="163"/>
        <v>19.579200604644008</v>
      </c>
      <c r="BZ161" s="173">
        <f t="shared" si="164"/>
        <v>19.990363817341528</v>
      </c>
      <c r="CA161" s="173">
        <f t="shared" si="165"/>
        <v>20.410161457505694</v>
      </c>
    </row>
    <row r="162" spans="16:79">
      <c r="P162" s="96" t="s">
        <v>52</v>
      </c>
      <c r="Q162" s="170">
        <v>388631.76999999996</v>
      </c>
      <c r="R162" s="170">
        <v>397958.93247999996</v>
      </c>
      <c r="S162" s="170">
        <v>406316.07006207993</v>
      </c>
      <c r="T162" s="170">
        <v>414848.70753338357</v>
      </c>
      <c r="U162" s="170">
        <v>423560.53039158456</v>
      </c>
      <c r="V162" s="170">
        <v>432455.30152980785</v>
      </c>
      <c r="W162" s="170">
        <v>441536.86286193377</v>
      </c>
      <c r="X162" s="170">
        <v>450809.13698203431</v>
      </c>
      <c r="Y162" s="170">
        <v>460276.12885865697</v>
      </c>
      <c r="Z162" s="170">
        <v>469941.92756468873</v>
      </c>
      <c r="AB162" s="96" t="s">
        <v>52</v>
      </c>
      <c r="AC162" s="96">
        <v>1949.05</v>
      </c>
      <c r="AE162" s="96">
        <f t="shared" si="134"/>
        <v>199.39548497986198</v>
      </c>
      <c r="AF162" s="96">
        <f t="shared" si="135"/>
        <v>204.18097661937867</v>
      </c>
      <c r="AG162" s="96">
        <f t="shared" si="136"/>
        <v>208.4687771283856</v>
      </c>
      <c r="AH162" s="96">
        <f t="shared" si="137"/>
        <v>212.84662144808166</v>
      </c>
      <c r="AI162" s="96">
        <f t="shared" si="138"/>
        <v>217.31640049849136</v>
      </c>
      <c r="AJ162" s="96">
        <f t="shared" si="139"/>
        <v>221.88004490895969</v>
      </c>
      <c r="AK162" s="96">
        <f t="shared" si="140"/>
        <v>226.5395258520478</v>
      </c>
      <c r="AL162" s="96">
        <f t="shared" si="141"/>
        <v>231.29685589494076</v>
      </c>
      <c r="AM162" s="96">
        <f t="shared" si="142"/>
        <v>236.1540898687345</v>
      </c>
      <c r="AN162" s="96">
        <f t="shared" si="143"/>
        <v>241.11332575597791</v>
      </c>
      <c r="AS162" s="96" t="s">
        <v>52</v>
      </c>
      <c r="AT162" s="96">
        <f t="shared" si="145"/>
        <v>24.206611876555243</v>
      </c>
      <c r="AU162" s="96">
        <f t="shared" si="146"/>
        <v>24.78757056159257</v>
      </c>
      <c r="AV162" s="96">
        <f t="shared" si="147"/>
        <v>25.30810954338601</v>
      </c>
      <c r="AW162" s="96">
        <f t="shared" si="148"/>
        <v>25.839579843797111</v>
      </c>
      <c r="AX162" s="96">
        <f t="shared" si="149"/>
        <v>26.382211020516849</v>
      </c>
      <c r="AY162" s="96">
        <f t="shared" si="150"/>
        <v>26.936237451947704</v>
      </c>
      <c r="AZ162" s="96">
        <f t="shared" si="151"/>
        <v>27.501898438438602</v>
      </c>
      <c r="BA162" s="96">
        <f t="shared" si="152"/>
        <v>28.079438305645809</v>
      </c>
      <c r="BB162" s="96">
        <f t="shared" si="153"/>
        <v>28.669106510064367</v>
      </c>
      <c r="BC162" s="96">
        <f t="shared" si="154"/>
        <v>29.271157746775717</v>
      </c>
      <c r="BE162" s="169">
        <f t="shared" si="155"/>
        <v>26.330593396392512</v>
      </c>
      <c r="BQ162" s="81" t="s">
        <v>67</v>
      </c>
      <c r="BR162" s="173">
        <f t="shared" si="156"/>
        <v>0</v>
      </c>
      <c r="BS162" s="173">
        <f t="shared" si="157"/>
        <v>0</v>
      </c>
      <c r="BT162" s="173">
        <f t="shared" si="158"/>
        <v>0</v>
      </c>
      <c r="BU162" s="173">
        <f t="shared" si="159"/>
        <v>0</v>
      </c>
      <c r="BV162" s="173">
        <f t="shared" si="160"/>
        <v>0</v>
      </c>
      <c r="BW162" s="173">
        <f t="shared" si="161"/>
        <v>0</v>
      </c>
      <c r="BX162" s="173">
        <f t="shared" si="162"/>
        <v>0</v>
      </c>
      <c r="BY162" s="173">
        <f t="shared" si="163"/>
        <v>0</v>
      </c>
      <c r="BZ162" s="173">
        <f t="shared" si="164"/>
        <v>0</v>
      </c>
      <c r="CA162" s="173">
        <f t="shared" si="165"/>
        <v>0</v>
      </c>
    </row>
    <row r="163" spans="16:79">
      <c r="P163" s="96" t="s">
        <v>52</v>
      </c>
      <c r="Q163" s="170">
        <v>532647.79999999993</v>
      </c>
      <c r="R163" s="170">
        <v>545431.34719999996</v>
      </c>
      <c r="S163" s="170">
        <v>556885.40549119993</v>
      </c>
      <c r="T163" s="170">
        <v>568579.99900651502</v>
      </c>
      <c r="U163" s="170">
        <v>580520.17898565182</v>
      </c>
      <c r="V163" s="170">
        <v>592711.10274435044</v>
      </c>
      <c r="W163" s="170">
        <v>605158.03590198176</v>
      </c>
      <c r="X163" s="170">
        <v>617866.35465592332</v>
      </c>
      <c r="Y163" s="170">
        <v>630841.5481036976</v>
      </c>
      <c r="Z163" s="170">
        <v>644089.22061387519</v>
      </c>
      <c r="AB163" s="96" t="s">
        <v>52</v>
      </c>
      <c r="AC163" s="96">
        <v>1725.5</v>
      </c>
      <c r="AE163" s="96">
        <f t="shared" si="134"/>
        <v>308.69185743262818</v>
      </c>
      <c r="AF163" s="96">
        <f t="shared" si="135"/>
        <v>316.1004620110113</v>
      </c>
      <c r="AG163" s="96">
        <f t="shared" si="136"/>
        <v>322.73857171324249</v>
      </c>
      <c r="AH163" s="96">
        <f t="shared" si="137"/>
        <v>329.51608171922055</v>
      </c>
      <c r="AI163" s="96">
        <f t="shared" si="138"/>
        <v>336.43591943532414</v>
      </c>
      <c r="AJ163" s="96">
        <f t="shared" si="139"/>
        <v>343.50107374346589</v>
      </c>
      <c r="AK163" s="96">
        <f t="shared" si="140"/>
        <v>350.71459629207868</v>
      </c>
      <c r="AL163" s="96">
        <f t="shared" si="141"/>
        <v>358.07960281421231</v>
      </c>
      <c r="AM163" s="96">
        <f t="shared" si="142"/>
        <v>365.59927447331069</v>
      </c>
      <c r="AN163" s="96">
        <f t="shared" si="143"/>
        <v>373.27685923725016</v>
      </c>
      <c r="AS163" s="96" t="s">
        <v>52</v>
      </c>
      <c r="AT163" s="96">
        <f t="shared" si="145"/>
        <v>37.475191492321059</v>
      </c>
      <c r="AU163" s="96">
        <f t="shared" si="146"/>
        <v>38.374596088136769</v>
      </c>
      <c r="AV163" s="96">
        <f t="shared" si="147"/>
        <v>39.180462605987636</v>
      </c>
      <c r="AW163" s="96">
        <f t="shared" si="148"/>
        <v>40.003252320713372</v>
      </c>
      <c r="AX163" s="96">
        <f t="shared" si="149"/>
        <v>40.843320619448349</v>
      </c>
      <c r="AY163" s="96">
        <f t="shared" si="150"/>
        <v>41.701030352456755</v>
      </c>
      <c r="AZ163" s="96">
        <f t="shared" si="151"/>
        <v>42.576751989858352</v>
      </c>
      <c r="BA163" s="96">
        <f t="shared" si="152"/>
        <v>43.47086378164537</v>
      </c>
      <c r="BB163" s="96">
        <f t="shared" si="153"/>
        <v>44.383751921059918</v>
      </c>
      <c r="BC163" s="96">
        <f t="shared" si="154"/>
        <v>45.315810711402165</v>
      </c>
      <c r="BE163" s="169">
        <f t="shared" si="155"/>
        <v>40.763409380390904</v>
      </c>
      <c r="BQ163" s="81" t="s">
        <v>69</v>
      </c>
      <c r="BR163" s="173">
        <f t="shared" si="156"/>
        <v>0</v>
      </c>
      <c r="BS163" s="173">
        <f t="shared" si="157"/>
        <v>0</v>
      </c>
      <c r="BT163" s="173">
        <f t="shared" si="158"/>
        <v>0</v>
      </c>
      <c r="BU163" s="173">
        <f t="shared" si="159"/>
        <v>0</v>
      </c>
      <c r="BV163" s="173">
        <f t="shared" si="160"/>
        <v>0</v>
      </c>
      <c r="BW163" s="173">
        <f t="shared" si="161"/>
        <v>0</v>
      </c>
      <c r="BX163" s="173">
        <f t="shared" si="162"/>
        <v>0</v>
      </c>
      <c r="BY163" s="173">
        <f t="shared" si="163"/>
        <v>0</v>
      </c>
      <c r="BZ163" s="173">
        <f t="shared" si="164"/>
        <v>0</v>
      </c>
      <c r="CA163" s="173">
        <f t="shared" si="165"/>
        <v>0</v>
      </c>
    </row>
    <row r="164" spans="16:79">
      <c r="P164" s="96" t="s">
        <v>52</v>
      </c>
      <c r="Q164" s="170">
        <v>2083.83</v>
      </c>
      <c r="R164" s="170">
        <v>2133.8419199999998</v>
      </c>
      <c r="S164" s="170">
        <v>2178.6526003199997</v>
      </c>
      <c r="T164" s="170">
        <v>2224.4043049267198</v>
      </c>
      <c r="U164" s="170">
        <v>2271.1167953301806</v>
      </c>
      <c r="V164" s="170">
        <v>2318.810248032114</v>
      </c>
      <c r="W164" s="170">
        <v>2367.5052632407883</v>
      </c>
      <c r="X164" s="170">
        <v>2417.2228737688447</v>
      </c>
      <c r="Y164" s="170">
        <v>2467.9845541179902</v>
      </c>
      <c r="Z164" s="170">
        <v>2519.8122297544674</v>
      </c>
      <c r="AB164" s="96" t="s">
        <v>52</v>
      </c>
      <c r="AC164" s="96">
        <v>361.25</v>
      </c>
      <c r="AE164" s="96">
        <f t="shared" ref="AE164:AE227" si="166">Q164/$AC164</f>
        <v>5.7683875432525946</v>
      </c>
      <c r="AF164" s="96">
        <f t="shared" ref="AF164:AF227" si="167">R164/$AC164</f>
        <v>5.9068288442906569</v>
      </c>
      <c r="AG164" s="96">
        <f t="shared" ref="AG164:AG227" si="168">S164/$AC164</f>
        <v>6.0308722500207601</v>
      </c>
      <c r="AH164" s="96">
        <f t="shared" ref="AH164:AH227" si="169">T164/$AC164</f>
        <v>6.157520567271197</v>
      </c>
      <c r="AI164" s="96">
        <f t="shared" ref="AI164:AI227" si="170">U164/$AC164</f>
        <v>6.2868284991838905</v>
      </c>
      <c r="AJ164" s="96">
        <f t="shared" ref="AJ164:AJ227" si="171">V164/$AC164</f>
        <v>6.4188518976667517</v>
      </c>
      <c r="AK164" s="96">
        <f t="shared" ref="AK164:AK227" si="172">W164/$AC164</f>
        <v>6.553647787517753</v>
      </c>
      <c r="AL164" s="96">
        <f t="shared" ref="AL164:AL227" si="173">X164/$AC164</f>
        <v>6.6912743910556252</v>
      </c>
      <c r="AM164" s="96">
        <f t="shared" ref="AM164:AM227" si="174">Y164/$AC164</f>
        <v>6.8317911532677931</v>
      </c>
      <c r="AN164" s="96">
        <f t="shared" ref="AN164:AN227" si="175">Z164/$AC164</f>
        <v>6.975258767486415</v>
      </c>
      <c r="AS164" s="96" t="s">
        <v>52</v>
      </c>
      <c r="AT164" s="96">
        <f t="shared" si="145"/>
        <v>0.70028224775086501</v>
      </c>
      <c r="AU164" s="96">
        <f t="shared" si="146"/>
        <v>0.71708902169688571</v>
      </c>
      <c r="AV164" s="96">
        <f t="shared" si="147"/>
        <v>0.73214789115252021</v>
      </c>
      <c r="AW164" s="96">
        <f t="shared" si="148"/>
        <v>0.7475229968667233</v>
      </c>
      <c r="AX164" s="96">
        <f t="shared" si="149"/>
        <v>0.76322097980092429</v>
      </c>
      <c r="AY164" s="96">
        <f t="shared" si="150"/>
        <v>0.77924862037674358</v>
      </c>
      <c r="AZ164" s="96">
        <f t="shared" si="151"/>
        <v>0.79561284140465516</v>
      </c>
      <c r="BA164" s="96">
        <f t="shared" si="152"/>
        <v>0.81232071107415282</v>
      </c>
      <c r="BB164" s="96">
        <f t="shared" si="153"/>
        <v>0.82937944600670999</v>
      </c>
      <c r="BC164" s="96">
        <f t="shared" si="154"/>
        <v>0.84679641437285069</v>
      </c>
      <c r="BE164" s="169">
        <f t="shared" si="155"/>
        <v>0.76172771399281847</v>
      </c>
      <c r="BQ164" s="81" t="s">
        <v>28</v>
      </c>
      <c r="BR164" s="173">
        <f t="shared" si="156"/>
        <v>21.589300112000004</v>
      </c>
      <c r="BS164" s="173">
        <f t="shared" si="157"/>
        <v>22.107443314688002</v>
      </c>
      <c r="BT164" s="173">
        <f t="shared" si="158"/>
        <v>22.57169962429645</v>
      </c>
      <c r="BU164" s="173">
        <f t="shared" si="159"/>
        <v>23.045705316406675</v>
      </c>
      <c r="BV164" s="173">
        <f t="shared" si="160"/>
        <v>23.529665128051214</v>
      </c>
      <c r="BW164" s="173">
        <f t="shared" si="161"/>
        <v>24.023788095740287</v>
      </c>
      <c r="BX164" s="173">
        <f t="shared" si="162"/>
        <v>24.528287645750829</v>
      </c>
      <c r="BY164" s="173">
        <f t="shared" si="163"/>
        <v>25.043381686311591</v>
      </c>
      <c r="BZ164" s="173">
        <f t="shared" si="164"/>
        <v>25.569292701724134</v>
      </c>
      <c r="CA164" s="173">
        <f t="shared" si="165"/>
        <v>26.106247848460338</v>
      </c>
    </row>
    <row r="165" spans="16:79">
      <c r="P165" s="96" t="s">
        <v>65</v>
      </c>
      <c r="Q165" s="170">
        <v>79127.610000000015</v>
      </c>
      <c r="R165" s="170">
        <v>81026.672640000019</v>
      </c>
      <c r="S165" s="170">
        <v>82728.232765440014</v>
      </c>
      <c r="T165" s="170">
        <v>84465.52565351424</v>
      </c>
      <c r="U165" s="170">
        <v>86239.301692238034</v>
      </c>
      <c r="V165" s="170">
        <v>88050.327027775027</v>
      </c>
      <c r="W165" s="170">
        <v>89899.383895358289</v>
      </c>
      <c r="X165" s="170">
        <v>91787.270957160814</v>
      </c>
      <c r="Y165" s="170">
        <v>93714.803647261171</v>
      </c>
      <c r="Z165" s="170">
        <v>95682.814523853653</v>
      </c>
      <c r="AB165" s="96" t="s">
        <v>65</v>
      </c>
      <c r="AC165" s="96">
        <v>1167</v>
      </c>
      <c r="AE165" s="96">
        <f t="shared" si="166"/>
        <v>67.804293059125982</v>
      </c>
      <c r="AF165" s="96">
        <f t="shared" si="167"/>
        <v>69.431596092545007</v>
      </c>
      <c r="AG165" s="96">
        <f t="shared" si="168"/>
        <v>70.889659610488451</v>
      </c>
      <c r="AH165" s="96">
        <f t="shared" si="169"/>
        <v>72.378342462308694</v>
      </c>
      <c r="AI165" s="96">
        <f t="shared" si="170"/>
        <v>73.898287654017167</v>
      </c>
      <c r="AJ165" s="96">
        <f t="shared" si="171"/>
        <v>75.450151694751526</v>
      </c>
      <c r="AK165" s="96">
        <f t="shared" si="172"/>
        <v>77.034604880341291</v>
      </c>
      <c r="AL165" s="96">
        <f t="shared" si="173"/>
        <v>78.652331582828467</v>
      </c>
      <c r="AM165" s="96">
        <f t="shared" si="174"/>
        <v>80.304030546067835</v>
      </c>
      <c r="AN165" s="96">
        <f t="shared" si="175"/>
        <v>81.990415187535262</v>
      </c>
      <c r="AS165" s="96" t="s">
        <v>65</v>
      </c>
      <c r="AT165" s="96">
        <f t="shared" si="145"/>
        <v>8.2314411773778939</v>
      </c>
      <c r="AU165" s="96">
        <f t="shared" si="146"/>
        <v>8.4289957656349639</v>
      </c>
      <c r="AV165" s="96">
        <f t="shared" si="147"/>
        <v>8.6060046767132974</v>
      </c>
      <c r="AW165" s="96">
        <f t="shared" si="148"/>
        <v>8.7867307749242745</v>
      </c>
      <c r="AX165" s="96">
        <f t="shared" si="149"/>
        <v>8.9712521211976846</v>
      </c>
      <c r="AY165" s="96">
        <f t="shared" si="150"/>
        <v>9.1596484157428346</v>
      </c>
      <c r="AZ165" s="96">
        <f t="shared" si="151"/>
        <v>9.3520010324734315</v>
      </c>
      <c r="BA165" s="96">
        <f t="shared" si="152"/>
        <v>9.5483930541553761</v>
      </c>
      <c r="BB165" s="96">
        <f t="shared" si="153"/>
        <v>9.7489093082926352</v>
      </c>
      <c r="BC165" s="96">
        <f t="shared" si="154"/>
        <v>9.9536364037667795</v>
      </c>
      <c r="BE165" s="169">
        <f t="shared" si="155"/>
        <v>8.9536995847724192</v>
      </c>
      <c r="BQ165" s="81" t="s">
        <v>29</v>
      </c>
      <c r="BR165" s="173">
        <f t="shared" si="156"/>
        <v>10.292687429981493</v>
      </c>
      <c r="BS165" s="173">
        <f t="shared" si="157"/>
        <v>10.539711928301047</v>
      </c>
      <c r="BT165" s="173">
        <f t="shared" si="158"/>
        <v>10.76104587879537</v>
      </c>
      <c r="BU165" s="173">
        <f t="shared" si="159"/>
        <v>10.987027842250072</v>
      </c>
      <c r="BV165" s="173">
        <f t="shared" si="160"/>
        <v>11.21775542693732</v>
      </c>
      <c r="BW165" s="173">
        <f t="shared" si="161"/>
        <v>11.453328290903007</v>
      </c>
      <c r="BX165" s="173">
        <f t="shared" si="162"/>
        <v>11.693848185011966</v>
      </c>
      <c r="BY165" s="173">
        <f t="shared" si="163"/>
        <v>11.939418996897219</v>
      </c>
      <c r="BZ165" s="173">
        <f t="shared" si="164"/>
        <v>12.190146795832057</v>
      </c>
      <c r="CA165" s="173">
        <f t="shared" si="165"/>
        <v>12.44613987854453</v>
      </c>
    </row>
    <row r="166" spans="16:79">
      <c r="P166" s="96" t="s">
        <v>16</v>
      </c>
      <c r="Q166" s="170">
        <v>118277.78</v>
      </c>
      <c r="R166" s="170">
        <v>121116.44672000001</v>
      </c>
      <c r="S166" s="170">
        <v>123659.89210112</v>
      </c>
      <c r="T166" s="170">
        <v>126256.74983524351</v>
      </c>
      <c r="U166" s="170">
        <v>128908.1415817836</v>
      </c>
      <c r="V166" s="170">
        <v>131615.21255500105</v>
      </c>
      <c r="W166" s="170">
        <v>134379.13201865606</v>
      </c>
      <c r="X166" s="170">
        <v>137201.09379104781</v>
      </c>
      <c r="Y166" s="170">
        <v>140082.3167606598</v>
      </c>
      <c r="Z166" s="170">
        <v>143024.04541263366</v>
      </c>
      <c r="AB166" s="96" t="s">
        <v>16</v>
      </c>
      <c r="AC166" s="96">
        <v>500</v>
      </c>
      <c r="AE166" s="96">
        <f t="shared" si="166"/>
        <v>236.55555999999999</v>
      </c>
      <c r="AF166" s="96">
        <f t="shared" si="167"/>
        <v>242.23289344000003</v>
      </c>
      <c r="AG166" s="96">
        <f t="shared" si="168"/>
        <v>247.31978420223999</v>
      </c>
      <c r="AH166" s="96">
        <f t="shared" si="169"/>
        <v>252.51349967048702</v>
      </c>
      <c r="AI166" s="96">
        <f t="shared" si="170"/>
        <v>257.81628316356716</v>
      </c>
      <c r="AJ166" s="96">
        <f t="shared" si="171"/>
        <v>263.2304251100021</v>
      </c>
      <c r="AK166" s="96">
        <f t="shared" si="172"/>
        <v>268.75826403731213</v>
      </c>
      <c r="AL166" s="96">
        <f t="shared" si="173"/>
        <v>274.40218758209562</v>
      </c>
      <c r="AM166" s="96">
        <f t="shared" si="174"/>
        <v>280.16463352131962</v>
      </c>
      <c r="AN166" s="96">
        <f t="shared" si="175"/>
        <v>286.04809082526731</v>
      </c>
      <c r="AS166" s="96" t="s">
        <v>16</v>
      </c>
      <c r="AT166" s="96">
        <f t="shared" si="145"/>
        <v>28.717844983999996</v>
      </c>
      <c r="AU166" s="96">
        <f t="shared" si="146"/>
        <v>29.407073263616002</v>
      </c>
      <c r="AV166" s="96">
        <f t="shared" si="147"/>
        <v>30.024621802151934</v>
      </c>
      <c r="AW166" s="96">
        <f t="shared" si="148"/>
        <v>30.655138859997123</v>
      </c>
      <c r="AX166" s="96">
        <f t="shared" si="149"/>
        <v>31.298896776057052</v>
      </c>
      <c r="AY166" s="96">
        <f t="shared" si="150"/>
        <v>31.956173608354252</v>
      </c>
      <c r="AZ166" s="96">
        <f t="shared" si="151"/>
        <v>32.627253254129691</v>
      </c>
      <c r="BA166" s="96">
        <f t="shared" si="152"/>
        <v>33.31242557246641</v>
      </c>
      <c r="BB166" s="96">
        <f t="shared" si="153"/>
        <v>34.011986509488203</v>
      </c>
      <c r="BC166" s="96">
        <f t="shared" si="154"/>
        <v>34.726238226187448</v>
      </c>
      <c r="BE166" s="169">
        <f t="shared" si="155"/>
        <v>31.237659501893926</v>
      </c>
      <c r="BQ166" s="81" t="s">
        <v>30</v>
      </c>
      <c r="BR166" s="173">
        <f t="shared" si="156"/>
        <v>54.420710896296271</v>
      </c>
      <c r="BS166" s="173">
        <f t="shared" si="157"/>
        <v>55.726807957807388</v>
      </c>
      <c r="BT166" s="173">
        <f t="shared" si="158"/>
        <v>56.897070924921337</v>
      </c>
      <c r="BU166" s="173">
        <f t="shared" si="159"/>
        <v>58.091909414344677</v>
      </c>
      <c r="BV166" s="173">
        <f t="shared" si="160"/>
        <v>59.311839512045907</v>
      </c>
      <c r="BW166" s="173">
        <f t="shared" si="161"/>
        <v>60.557388141798874</v>
      </c>
      <c r="BX166" s="173">
        <f t="shared" si="162"/>
        <v>61.829093292776641</v>
      </c>
      <c r="BY166" s="173">
        <f t="shared" si="163"/>
        <v>63.12750425192494</v>
      </c>
      <c r="BZ166" s="173">
        <f t="shared" si="164"/>
        <v>64.453181841215354</v>
      </c>
      <c r="CA166" s="173">
        <f t="shared" si="165"/>
        <v>65.806698659880865</v>
      </c>
    </row>
    <row r="167" spans="16:79">
      <c r="P167" s="96" t="s">
        <v>16</v>
      </c>
      <c r="Q167" s="170">
        <v>285423.7</v>
      </c>
      <c r="R167" s="170">
        <v>292273.8688</v>
      </c>
      <c r="S167" s="170">
        <v>298411.62004479999</v>
      </c>
      <c r="T167" s="170">
        <v>304678.26406574075</v>
      </c>
      <c r="U167" s="170">
        <v>311076.50761112128</v>
      </c>
      <c r="V167" s="170">
        <v>317609.1142709548</v>
      </c>
      <c r="W167" s="170">
        <v>324278.90567064483</v>
      </c>
      <c r="X167" s="170">
        <v>331088.76268972835</v>
      </c>
      <c r="Y167" s="170">
        <v>338041.62670621258</v>
      </c>
      <c r="Z167" s="170">
        <v>345140.50086704304</v>
      </c>
      <c r="AB167" s="96" t="s">
        <v>16</v>
      </c>
      <c r="AC167" s="96">
        <v>555</v>
      </c>
      <c r="AE167" s="96">
        <f t="shared" si="166"/>
        <v>514.27693693693698</v>
      </c>
      <c r="AF167" s="96">
        <f t="shared" si="167"/>
        <v>526.61958342342336</v>
      </c>
      <c r="AG167" s="96">
        <f t="shared" si="168"/>
        <v>537.67859467531525</v>
      </c>
      <c r="AH167" s="96">
        <f t="shared" si="169"/>
        <v>548.96984516349687</v>
      </c>
      <c r="AI167" s="96">
        <f t="shared" si="170"/>
        <v>560.4982119119303</v>
      </c>
      <c r="AJ167" s="96">
        <f t="shared" si="171"/>
        <v>572.26867436208067</v>
      </c>
      <c r="AK167" s="96">
        <f t="shared" si="172"/>
        <v>584.28631652368438</v>
      </c>
      <c r="AL167" s="96">
        <f t="shared" si="173"/>
        <v>596.55632917068169</v>
      </c>
      <c r="AM167" s="96">
        <f t="shared" si="174"/>
        <v>609.08401208326586</v>
      </c>
      <c r="AN167" s="96">
        <f t="shared" si="175"/>
        <v>621.87477633701451</v>
      </c>
      <c r="AS167" s="96" t="s">
        <v>16</v>
      </c>
      <c r="AT167" s="96">
        <f t="shared" si="145"/>
        <v>62.433220144144144</v>
      </c>
      <c r="AU167" s="96">
        <f t="shared" si="146"/>
        <v>63.931617427603591</v>
      </c>
      <c r="AV167" s="96">
        <f t="shared" si="147"/>
        <v>65.274181393583262</v>
      </c>
      <c r="AW167" s="96">
        <f t="shared" si="148"/>
        <v>66.644939202848519</v>
      </c>
      <c r="AX167" s="96">
        <f t="shared" si="149"/>
        <v>68.04448292610833</v>
      </c>
      <c r="AY167" s="96">
        <f t="shared" si="150"/>
        <v>69.473417067556596</v>
      </c>
      <c r="AZ167" s="96">
        <f t="shared" si="151"/>
        <v>70.932358825975285</v>
      </c>
      <c r="BA167" s="96">
        <f t="shared" si="152"/>
        <v>72.421938361320755</v>
      </c>
      <c r="BB167" s="96">
        <f t="shared" si="153"/>
        <v>73.942799066908478</v>
      </c>
      <c r="BC167" s="96">
        <f t="shared" si="154"/>
        <v>75.495597847313562</v>
      </c>
      <c r="BE167" s="169">
        <f t="shared" si="155"/>
        <v>67.911351759024441</v>
      </c>
      <c r="BQ167" s="81" t="s">
        <v>70</v>
      </c>
      <c r="BR167" s="173">
        <f t="shared" si="156"/>
        <v>0</v>
      </c>
      <c r="BS167" s="173">
        <f t="shared" si="157"/>
        <v>0</v>
      </c>
      <c r="BT167" s="173">
        <f t="shared" si="158"/>
        <v>0</v>
      </c>
      <c r="BU167" s="173">
        <f t="shared" si="159"/>
        <v>0</v>
      </c>
      <c r="BV167" s="173">
        <f t="shared" si="160"/>
        <v>0</v>
      </c>
      <c r="BW167" s="173">
        <f t="shared" si="161"/>
        <v>0</v>
      </c>
      <c r="BX167" s="173">
        <f t="shared" si="162"/>
        <v>0</v>
      </c>
      <c r="BY167" s="173">
        <f t="shared" si="163"/>
        <v>0</v>
      </c>
      <c r="BZ167" s="173">
        <f t="shared" si="164"/>
        <v>0</v>
      </c>
      <c r="CA167" s="173">
        <f t="shared" si="165"/>
        <v>0</v>
      </c>
    </row>
    <row r="168" spans="16:79">
      <c r="P168" s="96" t="s">
        <v>16</v>
      </c>
      <c r="Q168" s="170">
        <v>190595.35000000006</v>
      </c>
      <c r="R168" s="170">
        <v>195169.63840000008</v>
      </c>
      <c r="S168" s="170">
        <v>199268.20080640007</v>
      </c>
      <c r="T168" s="170">
        <v>203452.83302333445</v>
      </c>
      <c r="U168" s="170">
        <v>207725.34251682443</v>
      </c>
      <c r="V168" s="170">
        <v>212087.57470967775</v>
      </c>
      <c r="W168" s="170">
        <v>216541.41377858096</v>
      </c>
      <c r="X168" s="170">
        <v>221088.78346793112</v>
      </c>
      <c r="Y168" s="170">
        <v>225731.64792075765</v>
      </c>
      <c r="Z168" s="170">
        <v>230472.01252709352</v>
      </c>
      <c r="AB168" s="96" t="s">
        <v>16</v>
      </c>
      <c r="AC168" s="96">
        <v>1503</v>
      </c>
      <c r="AE168" s="96">
        <f t="shared" si="166"/>
        <v>126.80994677312047</v>
      </c>
      <c r="AF168" s="96">
        <f t="shared" si="167"/>
        <v>129.85338549567538</v>
      </c>
      <c r="AG168" s="96">
        <f t="shared" si="168"/>
        <v>132.58030659108454</v>
      </c>
      <c r="AH168" s="96">
        <f t="shared" si="169"/>
        <v>135.36449302949731</v>
      </c>
      <c r="AI168" s="96">
        <f t="shared" si="170"/>
        <v>138.20714738311671</v>
      </c>
      <c r="AJ168" s="96">
        <f t="shared" si="171"/>
        <v>141.10949747816218</v>
      </c>
      <c r="AK168" s="96">
        <f t="shared" si="172"/>
        <v>144.07279692520356</v>
      </c>
      <c r="AL168" s="96">
        <f t="shared" si="173"/>
        <v>147.09832566063281</v>
      </c>
      <c r="AM168" s="96">
        <f t="shared" si="174"/>
        <v>150.18739049950608</v>
      </c>
      <c r="AN168" s="96">
        <f t="shared" si="175"/>
        <v>153.34132569999568</v>
      </c>
      <c r="AS168" s="96" t="s">
        <v>16</v>
      </c>
      <c r="AT168" s="96">
        <f t="shared" si="145"/>
        <v>15.394727538256825</v>
      </c>
      <c r="AU168" s="96">
        <f t="shared" si="146"/>
        <v>15.764200999174991</v>
      </c>
      <c r="AV168" s="96">
        <f t="shared" si="147"/>
        <v>16.095249220157662</v>
      </c>
      <c r="AW168" s="96">
        <f t="shared" si="148"/>
        <v>16.433249453780974</v>
      </c>
      <c r="AX168" s="96">
        <f t="shared" si="149"/>
        <v>16.778347692310366</v>
      </c>
      <c r="AY168" s="96">
        <f t="shared" si="150"/>
        <v>17.130692993848889</v>
      </c>
      <c r="AZ168" s="96">
        <f t="shared" si="151"/>
        <v>17.490437546719711</v>
      </c>
      <c r="BA168" s="96">
        <f t="shared" si="152"/>
        <v>17.857736735200824</v>
      </c>
      <c r="BB168" s="96">
        <f t="shared" si="153"/>
        <v>18.232749206640037</v>
      </c>
      <c r="BC168" s="96">
        <f t="shared" si="154"/>
        <v>18.615636939979474</v>
      </c>
      <c r="BE168" s="169">
        <f t="shared" si="155"/>
        <v>16.745520328298475</v>
      </c>
      <c r="BQ168" s="81" t="s">
        <v>31</v>
      </c>
      <c r="BR168" s="173">
        <f t="shared" si="156"/>
        <v>22.94819012671427</v>
      </c>
      <c r="BS168" s="173">
        <f t="shared" si="157"/>
        <v>23.49894668975541</v>
      </c>
      <c r="BT168" s="173">
        <f t="shared" si="158"/>
        <v>23.992424570240274</v>
      </c>
      <c r="BU168" s="173">
        <f t="shared" si="159"/>
        <v>24.496265486215314</v>
      </c>
      <c r="BV168" s="173">
        <f t="shared" si="160"/>
        <v>25.010687061425827</v>
      </c>
      <c r="BW168" s="173">
        <f t="shared" si="161"/>
        <v>25.535911489715776</v>
      </c>
      <c r="BX168" s="173">
        <f t="shared" si="162"/>
        <v>26.072165630999805</v>
      </c>
      <c r="BY168" s="173">
        <f t="shared" si="163"/>
        <v>26.619681109250795</v>
      </c>
      <c r="BZ168" s="173">
        <f t="shared" si="164"/>
        <v>27.17869441254506</v>
      </c>
      <c r="CA168" s="173">
        <f t="shared" si="165"/>
        <v>27.749446995208505</v>
      </c>
    </row>
    <row r="169" spans="16:79">
      <c r="P169" s="96" t="s">
        <v>25</v>
      </c>
      <c r="Q169" s="170">
        <v>174884.06000000008</v>
      </c>
      <c r="R169" s="170">
        <v>179081.27744000009</v>
      </c>
      <c r="S169" s="170">
        <v>182841.98426624009</v>
      </c>
      <c r="T169" s="170">
        <v>186681.66593583112</v>
      </c>
      <c r="U169" s="170">
        <v>190601.98092048353</v>
      </c>
      <c r="V169" s="170">
        <v>194604.62251981368</v>
      </c>
      <c r="W169" s="170">
        <v>198691.31959272973</v>
      </c>
      <c r="X169" s="170">
        <v>202863.83730417705</v>
      </c>
      <c r="Y169" s="170">
        <v>207123.97788756475</v>
      </c>
      <c r="Z169" s="170">
        <v>211473.58142320358</v>
      </c>
      <c r="AB169" s="96" t="s">
        <v>25</v>
      </c>
      <c r="AC169" s="96">
        <v>574</v>
      </c>
      <c r="AE169" s="96">
        <f t="shared" si="166"/>
        <v>304.67606271777021</v>
      </c>
      <c r="AF169" s="96">
        <f t="shared" si="167"/>
        <v>311.98828822299669</v>
      </c>
      <c r="AG169" s="96">
        <f t="shared" si="168"/>
        <v>318.54004227567958</v>
      </c>
      <c r="AH169" s="96">
        <f t="shared" si="169"/>
        <v>325.22938316346887</v>
      </c>
      <c r="AI169" s="96">
        <f t="shared" si="170"/>
        <v>332.05920020990163</v>
      </c>
      <c r="AJ169" s="96">
        <f t="shared" si="171"/>
        <v>339.03244341430957</v>
      </c>
      <c r="AK169" s="96">
        <f t="shared" si="172"/>
        <v>346.15212472601002</v>
      </c>
      <c r="AL169" s="96">
        <f t="shared" si="173"/>
        <v>353.42131934525617</v>
      </c>
      <c r="AM169" s="96">
        <f t="shared" si="174"/>
        <v>360.84316705150655</v>
      </c>
      <c r="AN169" s="96">
        <f t="shared" si="175"/>
        <v>368.42087355958813</v>
      </c>
      <c r="AS169" s="96" t="s">
        <v>25</v>
      </c>
      <c r="AT169" s="96">
        <f t="shared" si="145"/>
        <v>36.987674013937301</v>
      </c>
      <c r="AU169" s="96">
        <f t="shared" si="146"/>
        <v>37.875378190271796</v>
      </c>
      <c r="AV169" s="96">
        <f t="shared" si="147"/>
        <v>38.670761132267501</v>
      </c>
      <c r="AW169" s="96">
        <f t="shared" si="148"/>
        <v>39.482847116045122</v>
      </c>
      <c r="AX169" s="96">
        <f t="shared" si="149"/>
        <v>40.311986905482058</v>
      </c>
      <c r="AY169" s="96">
        <f t="shared" si="150"/>
        <v>41.158538630497176</v>
      </c>
      <c r="AZ169" s="96">
        <f t="shared" si="151"/>
        <v>42.022867941737616</v>
      </c>
      <c r="BA169" s="96">
        <f t="shared" si="152"/>
        <v>42.905348168514095</v>
      </c>
      <c r="BB169" s="96">
        <f t="shared" si="153"/>
        <v>43.806360480052895</v>
      </c>
      <c r="BC169" s="96">
        <f t="shared" si="154"/>
        <v>44.726294050133994</v>
      </c>
      <c r="BE169" s="169">
        <f t="shared" si="155"/>
        <v>40.233115237517076</v>
      </c>
      <c r="BQ169" s="81" t="s">
        <v>32</v>
      </c>
      <c r="BR169" s="173">
        <f t="shared" si="156"/>
        <v>3.2635248676619288</v>
      </c>
      <c r="BS169" s="173">
        <f t="shared" si="157"/>
        <v>3.3418494644858154</v>
      </c>
      <c r="BT169" s="173">
        <f t="shared" si="158"/>
        <v>3.4120283032400169</v>
      </c>
      <c r="BU169" s="173">
        <f t="shared" si="159"/>
        <v>3.4836808976080573</v>
      </c>
      <c r="BV169" s="173">
        <f t="shared" si="160"/>
        <v>3.5568381964578255</v>
      </c>
      <c r="BW169" s="173">
        <f t="shared" si="161"/>
        <v>3.6315317985834406</v>
      </c>
      <c r="BX169" s="173">
        <f t="shared" si="162"/>
        <v>3.7077939663536923</v>
      </c>
      <c r="BY169" s="173">
        <f t="shared" si="163"/>
        <v>3.7856576396471193</v>
      </c>
      <c r="BZ169" s="173">
        <f t="shared" si="164"/>
        <v>3.865156450079708</v>
      </c>
      <c r="CA169" s="173">
        <f t="shared" si="165"/>
        <v>3.9463247355313813</v>
      </c>
    </row>
    <row r="170" spans="16:79">
      <c r="P170" s="96" t="s">
        <v>27</v>
      </c>
      <c r="Q170" s="170">
        <v>136222.15000000002</v>
      </c>
      <c r="R170" s="170">
        <v>139491.48160000003</v>
      </c>
      <c r="S170" s="170">
        <v>142420.80271360002</v>
      </c>
      <c r="T170" s="170">
        <v>145411.6395705856</v>
      </c>
      <c r="U170" s="170">
        <v>148465.28400156787</v>
      </c>
      <c r="V170" s="170">
        <v>151583.05496560081</v>
      </c>
      <c r="W170" s="170">
        <v>154766.29911987841</v>
      </c>
      <c r="X170" s="170">
        <v>158016.39140139584</v>
      </c>
      <c r="Y170" s="170">
        <v>161334.73562082514</v>
      </c>
      <c r="Z170" s="170">
        <v>164722.76506886244</v>
      </c>
      <c r="AB170" s="96" t="s">
        <v>27</v>
      </c>
      <c r="AC170" s="96">
        <v>599</v>
      </c>
      <c r="AE170" s="96">
        <f t="shared" si="166"/>
        <v>227.41594323873124</v>
      </c>
      <c r="AF170" s="96">
        <f t="shared" si="167"/>
        <v>232.87392587646082</v>
      </c>
      <c r="AG170" s="96">
        <f t="shared" si="168"/>
        <v>237.76427831986646</v>
      </c>
      <c r="AH170" s="96">
        <f t="shared" si="169"/>
        <v>242.75732816458364</v>
      </c>
      <c r="AI170" s="96">
        <f t="shared" si="170"/>
        <v>247.85523205603985</v>
      </c>
      <c r="AJ170" s="96">
        <f t="shared" si="171"/>
        <v>253.0601919292167</v>
      </c>
      <c r="AK170" s="96">
        <f t="shared" si="172"/>
        <v>258.37445595973026</v>
      </c>
      <c r="AL170" s="96">
        <f t="shared" si="173"/>
        <v>263.80031953488452</v>
      </c>
      <c r="AM170" s="96">
        <f t="shared" si="174"/>
        <v>269.34012624511712</v>
      </c>
      <c r="AN170" s="96">
        <f t="shared" si="175"/>
        <v>274.9962688962645</v>
      </c>
      <c r="AS170" s="96" t="s">
        <v>27</v>
      </c>
      <c r="AT170" s="96">
        <f t="shared" si="145"/>
        <v>27.608295509181971</v>
      </c>
      <c r="AU170" s="96">
        <f t="shared" si="146"/>
        <v>28.270894601402343</v>
      </c>
      <c r="AV170" s="96">
        <f t="shared" si="147"/>
        <v>28.864583388031786</v>
      </c>
      <c r="AW170" s="96">
        <f t="shared" si="148"/>
        <v>29.470739639180451</v>
      </c>
      <c r="AX170" s="96">
        <f t="shared" si="149"/>
        <v>30.089625171603238</v>
      </c>
      <c r="AY170" s="96">
        <f t="shared" si="150"/>
        <v>30.721507300206905</v>
      </c>
      <c r="AZ170" s="96">
        <f t="shared" si="151"/>
        <v>31.366658953511251</v>
      </c>
      <c r="BA170" s="96">
        <f t="shared" si="152"/>
        <v>32.025358791534977</v>
      </c>
      <c r="BB170" s="96">
        <f t="shared" si="153"/>
        <v>32.697891326157219</v>
      </c>
      <c r="BC170" s="96">
        <f t="shared" si="154"/>
        <v>33.38454704400651</v>
      </c>
      <c r="BE170" s="169">
        <f t="shared" si="155"/>
        <v>30.030753875298998</v>
      </c>
      <c r="BQ170" s="81" t="s">
        <v>33</v>
      </c>
      <c r="BR170" s="173">
        <f t="shared" si="156"/>
        <v>0</v>
      </c>
      <c r="BS170" s="173">
        <f t="shared" si="157"/>
        <v>0</v>
      </c>
      <c r="BT170" s="173">
        <f t="shared" si="158"/>
        <v>0</v>
      </c>
      <c r="BU170" s="173">
        <f t="shared" si="159"/>
        <v>0</v>
      </c>
      <c r="BV170" s="173">
        <f t="shared" si="160"/>
        <v>0</v>
      </c>
      <c r="BW170" s="173">
        <f t="shared" si="161"/>
        <v>0</v>
      </c>
      <c r="BX170" s="173">
        <f t="shared" si="162"/>
        <v>0</v>
      </c>
      <c r="BY170" s="173">
        <f t="shared" si="163"/>
        <v>0</v>
      </c>
      <c r="BZ170" s="173">
        <f t="shared" si="164"/>
        <v>0</v>
      </c>
      <c r="CA170" s="173">
        <f t="shared" si="165"/>
        <v>0</v>
      </c>
    </row>
    <row r="171" spans="16:79">
      <c r="P171" s="96" t="s">
        <v>27</v>
      </c>
      <c r="Q171" s="170">
        <v>25613.739999999991</v>
      </c>
      <c r="R171" s="170">
        <v>26228.469759999993</v>
      </c>
      <c r="S171" s="170">
        <v>26779.26762495999</v>
      </c>
      <c r="T171" s="170">
        <v>27341.632245084147</v>
      </c>
      <c r="U171" s="170">
        <v>27915.806522230909</v>
      </c>
      <c r="V171" s="170">
        <v>28502.038459197756</v>
      </c>
      <c r="W171" s="170">
        <v>29100.581266840905</v>
      </c>
      <c r="X171" s="170">
        <v>29711.693473444564</v>
      </c>
      <c r="Y171" s="170">
        <v>30335.639036386896</v>
      </c>
      <c r="Z171" s="170">
        <v>30972.687456151016</v>
      </c>
      <c r="AB171" s="96" t="s">
        <v>27</v>
      </c>
      <c r="AC171" s="96">
        <v>565</v>
      </c>
      <c r="AE171" s="96">
        <f t="shared" si="166"/>
        <v>45.334053097345119</v>
      </c>
      <c r="AF171" s="96">
        <f t="shared" si="167"/>
        <v>46.4220703716814</v>
      </c>
      <c r="AG171" s="96">
        <f t="shared" si="168"/>
        <v>47.396933849486707</v>
      </c>
      <c r="AH171" s="96">
        <f t="shared" si="169"/>
        <v>48.392269460325927</v>
      </c>
      <c r="AI171" s="96">
        <f t="shared" si="170"/>
        <v>49.408507118992759</v>
      </c>
      <c r="AJ171" s="96">
        <f t="shared" si="171"/>
        <v>50.446085768491606</v>
      </c>
      <c r="AK171" s="96">
        <f t="shared" si="172"/>
        <v>51.505453569629921</v>
      </c>
      <c r="AL171" s="96">
        <f t="shared" si="173"/>
        <v>52.587068094592148</v>
      </c>
      <c r="AM171" s="96">
        <f t="shared" si="174"/>
        <v>53.691396524578579</v>
      </c>
      <c r="AN171" s="96">
        <f t="shared" si="175"/>
        <v>54.818915851594717</v>
      </c>
      <c r="AS171" s="96" t="s">
        <v>27</v>
      </c>
      <c r="AT171" s="96">
        <f t="shared" si="145"/>
        <v>5.5035540460176975</v>
      </c>
      <c r="AU171" s="96">
        <f t="shared" si="146"/>
        <v>5.6356393431221221</v>
      </c>
      <c r="AV171" s="96">
        <f t="shared" si="147"/>
        <v>5.7539877693276864</v>
      </c>
      <c r="AW171" s="96">
        <f t="shared" si="148"/>
        <v>5.8748215124835674</v>
      </c>
      <c r="AX171" s="96">
        <f t="shared" si="149"/>
        <v>5.9981927642457205</v>
      </c>
      <c r="AY171" s="96">
        <f t="shared" si="150"/>
        <v>6.124154812294881</v>
      </c>
      <c r="AZ171" s="96">
        <f t="shared" si="151"/>
        <v>6.2527620633530718</v>
      </c>
      <c r="BA171" s="96">
        <f t="shared" si="152"/>
        <v>6.3840700666834866</v>
      </c>
      <c r="BB171" s="96">
        <f t="shared" si="153"/>
        <v>6.5181355380838388</v>
      </c>
      <c r="BC171" s="96">
        <f t="shared" si="154"/>
        <v>6.6550163843835985</v>
      </c>
      <c r="BE171" s="169">
        <f t="shared" si="155"/>
        <v>5.9864571117907621</v>
      </c>
      <c r="BQ171" s="81" t="s">
        <v>34</v>
      </c>
      <c r="BR171" s="173">
        <f t="shared" si="156"/>
        <v>31.649846105717703</v>
      </c>
      <c r="BS171" s="173">
        <f t="shared" si="157"/>
        <v>32.409442412254933</v>
      </c>
      <c r="BT171" s="173">
        <f t="shared" si="158"/>
        <v>33.09004070291229</v>
      </c>
      <c r="BU171" s="173">
        <f t="shared" si="159"/>
        <v>33.784931557673438</v>
      </c>
      <c r="BV171" s="173">
        <f t="shared" si="160"/>
        <v>34.494415120384573</v>
      </c>
      <c r="BW171" s="173">
        <f t="shared" si="161"/>
        <v>35.218797837912653</v>
      </c>
      <c r="BX171" s="173">
        <f t="shared" si="162"/>
        <v>35.958392592508815</v>
      </c>
      <c r="BY171" s="173">
        <f t="shared" si="163"/>
        <v>36.713518836951494</v>
      </c>
      <c r="BZ171" s="173">
        <f t="shared" si="164"/>
        <v>37.484502732527474</v>
      </c>
      <c r="CA171" s="173">
        <f t="shared" si="165"/>
        <v>38.271677289910535</v>
      </c>
    </row>
    <row r="172" spans="16:79">
      <c r="P172" s="96" t="s">
        <v>28</v>
      </c>
      <c r="Q172" s="170">
        <v>88918.040000000023</v>
      </c>
      <c r="R172" s="170">
        <v>91052.07296000002</v>
      </c>
      <c r="S172" s="170">
        <v>92964.166492160017</v>
      </c>
      <c r="T172" s="170">
        <v>94916.413988495377</v>
      </c>
      <c r="U172" s="170">
        <v>96909.658682253765</v>
      </c>
      <c r="V172" s="170">
        <v>98944.761514581085</v>
      </c>
      <c r="W172" s="170">
        <v>101022.60150638728</v>
      </c>
      <c r="X172" s="170">
        <v>103144.0761380214</v>
      </c>
      <c r="Y172" s="170">
        <v>105310.10173691984</v>
      </c>
      <c r="Z172" s="170">
        <v>107521.61387339514</v>
      </c>
      <c r="AB172" s="96" t="s">
        <v>28</v>
      </c>
      <c r="AC172" s="96">
        <v>500</v>
      </c>
      <c r="AE172" s="96">
        <f t="shared" si="166"/>
        <v>177.83608000000004</v>
      </c>
      <c r="AF172" s="96">
        <f t="shared" si="167"/>
        <v>182.10414592000004</v>
      </c>
      <c r="AG172" s="96">
        <f t="shared" si="168"/>
        <v>185.92833298432004</v>
      </c>
      <c r="AH172" s="96">
        <f t="shared" si="169"/>
        <v>189.83282797699076</v>
      </c>
      <c r="AI172" s="96">
        <f t="shared" si="170"/>
        <v>193.81931736450753</v>
      </c>
      <c r="AJ172" s="96">
        <f t="shared" si="171"/>
        <v>197.88952302916218</v>
      </c>
      <c r="AK172" s="96">
        <f t="shared" si="172"/>
        <v>202.04520301277455</v>
      </c>
      <c r="AL172" s="96">
        <f t="shared" si="173"/>
        <v>206.28815227604278</v>
      </c>
      <c r="AM172" s="96">
        <f t="shared" si="174"/>
        <v>210.62020347383967</v>
      </c>
      <c r="AN172" s="96">
        <f t="shared" si="175"/>
        <v>215.04322774679028</v>
      </c>
      <c r="AS172" s="96" t="s">
        <v>28</v>
      </c>
      <c r="AT172" s="96">
        <f t="shared" si="145"/>
        <v>21.589300112000004</v>
      </c>
      <c r="AU172" s="96">
        <f t="shared" si="146"/>
        <v>22.107443314688002</v>
      </c>
      <c r="AV172" s="96">
        <f t="shared" si="147"/>
        <v>22.57169962429645</v>
      </c>
      <c r="AW172" s="96">
        <f t="shared" si="148"/>
        <v>23.045705316406675</v>
      </c>
      <c r="AX172" s="96">
        <f t="shared" si="149"/>
        <v>23.529665128051214</v>
      </c>
      <c r="AY172" s="96">
        <f t="shared" si="150"/>
        <v>24.023788095740287</v>
      </c>
      <c r="AZ172" s="96">
        <f t="shared" si="151"/>
        <v>24.528287645750829</v>
      </c>
      <c r="BA172" s="96">
        <f t="shared" si="152"/>
        <v>25.043381686311591</v>
      </c>
      <c r="BB172" s="96">
        <f t="shared" si="153"/>
        <v>25.569292701724134</v>
      </c>
      <c r="BC172" s="96">
        <f t="shared" si="154"/>
        <v>26.106247848460338</v>
      </c>
      <c r="BE172" s="169">
        <f t="shared" si="155"/>
        <v>23.483628599520422</v>
      </c>
      <c r="BQ172" s="81" t="s">
        <v>71</v>
      </c>
      <c r="BR172" s="173">
        <f t="shared" si="156"/>
        <v>0</v>
      </c>
      <c r="BS172" s="173">
        <f t="shared" si="157"/>
        <v>0</v>
      </c>
      <c r="BT172" s="173">
        <f t="shared" si="158"/>
        <v>0</v>
      </c>
      <c r="BU172" s="173">
        <f t="shared" si="159"/>
        <v>0</v>
      </c>
      <c r="BV172" s="173">
        <f t="shared" si="160"/>
        <v>0</v>
      </c>
      <c r="BW172" s="173">
        <f t="shared" si="161"/>
        <v>0</v>
      </c>
      <c r="BX172" s="173">
        <f t="shared" si="162"/>
        <v>0</v>
      </c>
      <c r="BY172" s="173">
        <f t="shared" si="163"/>
        <v>0</v>
      </c>
      <c r="BZ172" s="173">
        <f t="shared" si="164"/>
        <v>0</v>
      </c>
      <c r="CA172" s="173">
        <f t="shared" si="165"/>
        <v>0</v>
      </c>
    </row>
    <row r="173" spans="16:79">
      <c r="P173" s="96" t="s">
        <v>29</v>
      </c>
      <c r="Q173" s="170">
        <v>58046.420000000006</v>
      </c>
      <c r="R173" s="170">
        <v>59439.534080000005</v>
      </c>
      <c r="S173" s="170">
        <v>60687.764295680005</v>
      </c>
      <c r="T173" s="170">
        <v>61962.207345889277</v>
      </c>
      <c r="U173" s="170">
        <v>63263.413700152945</v>
      </c>
      <c r="V173" s="170">
        <v>64591.945387856154</v>
      </c>
      <c r="W173" s="170">
        <v>65948.376241001126</v>
      </c>
      <c r="X173" s="170">
        <v>67333.292142062142</v>
      </c>
      <c r="Y173" s="170">
        <v>68747.291277045442</v>
      </c>
      <c r="Z173" s="170">
        <v>70190.984393863386</v>
      </c>
      <c r="AB173" s="96" t="s">
        <v>29</v>
      </c>
      <c r="AC173" s="96">
        <v>491</v>
      </c>
      <c r="AE173" s="96">
        <f t="shared" si="166"/>
        <v>118.22081466395113</v>
      </c>
      <c r="AF173" s="96">
        <f t="shared" si="167"/>
        <v>121.05811421588595</v>
      </c>
      <c r="AG173" s="96">
        <f t="shared" si="168"/>
        <v>123.60033461441957</v>
      </c>
      <c r="AH173" s="96">
        <f t="shared" si="169"/>
        <v>126.19594164132236</v>
      </c>
      <c r="AI173" s="96">
        <f t="shared" si="170"/>
        <v>128.84605641579012</v>
      </c>
      <c r="AJ173" s="96">
        <f t="shared" si="171"/>
        <v>131.55182360052169</v>
      </c>
      <c r="AK173" s="96">
        <f t="shared" si="172"/>
        <v>134.31441189613264</v>
      </c>
      <c r="AL173" s="96">
        <f t="shared" si="173"/>
        <v>137.13501454595141</v>
      </c>
      <c r="AM173" s="96">
        <f t="shared" si="174"/>
        <v>140.01484985141639</v>
      </c>
      <c r="AN173" s="96">
        <f t="shared" si="175"/>
        <v>142.95516169829611</v>
      </c>
      <c r="AS173" s="96" t="s">
        <v>29</v>
      </c>
      <c r="AT173" s="96">
        <f t="shared" si="145"/>
        <v>14.352006900203667</v>
      </c>
      <c r="AU173" s="96">
        <f t="shared" si="146"/>
        <v>14.696455065808554</v>
      </c>
      <c r="AV173" s="96">
        <f t="shared" si="147"/>
        <v>15.005080622190535</v>
      </c>
      <c r="AW173" s="96">
        <f t="shared" si="148"/>
        <v>15.320187315256534</v>
      </c>
      <c r="AX173" s="96">
        <f t="shared" si="149"/>
        <v>15.641911248876919</v>
      </c>
      <c r="AY173" s="96">
        <f t="shared" si="150"/>
        <v>15.970391385103332</v>
      </c>
      <c r="AZ173" s="96">
        <f t="shared" si="151"/>
        <v>16.305769604190502</v>
      </c>
      <c r="BA173" s="96">
        <f t="shared" si="152"/>
        <v>16.6481907658785</v>
      </c>
      <c r="BB173" s="96">
        <f t="shared" si="153"/>
        <v>16.997802771961947</v>
      </c>
      <c r="BC173" s="96">
        <f t="shared" si="154"/>
        <v>17.354756630173146</v>
      </c>
      <c r="BE173" s="169">
        <f t="shared" si="155"/>
        <v>15.61130735844473</v>
      </c>
      <c r="BQ173" s="81" t="s">
        <v>35</v>
      </c>
      <c r="BR173" s="173">
        <f t="shared" si="156"/>
        <v>0</v>
      </c>
      <c r="BS173" s="173">
        <f t="shared" si="157"/>
        <v>0</v>
      </c>
      <c r="BT173" s="173">
        <f t="shared" si="158"/>
        <v>0</v>
      </c>
      <c r="BU173" s="173">
        <f t="shared" si="159"/>
        <v>0</v>
      </c>
      <c r="BV173" s="173">
        <f t="shared" si="160"/>
        <v>0</v>
      </c>
      <c r="BW173" s="173">
        <f t="shared" si="161"/>
        <v>0</v>
      </c>
      <c r="BX173" s="173">
        <f t="shared" si="162"/>
        <v>0</v>
      </c>
      <c r="BY173" s="173">
        <f t="shared" si="163"/>
        <v>0</v>
      </c>
      <c r="BZ173" s="173">
        <f t="shared" si="164"/>
        <v>0</v>
      </c>
      <c r="CA173" s="173">
        <f t="shared" si="165"/>
        <v>0</v>
      </c>
    </row>
    <row r="174" spans="16:79">
      <c r="P174" s="96" t="s">
        <v>29</v>
      </c>
      <c r="Q174" s="170">
        <v>79387.240000000005</v>
      </c>
      <c r="R174" s="170">
        <v>81292.533760000006</v>
      </c>
      <c r="S174" s="170">
        <v>82999.676968960004</v>
      </c>
      <c r="T174" s="170">
        <v>84742.670185308147</v>
      </c>
      <c r="U174" s="170">
        <v>86522.266259199605</v>
      </c>
      <c r="V174" s="170">
        <v>88339.233850642806</v>
      </c>
      <c r="W174" s="170">
        <v>90194.357761506297</v>
      </c>
      <c r="X174" s="170">
        <v>92088.439274497912</v>
      </c>
      <c r="Y174" s="170">
        <v>94022.29649926236</v>
      </c>
      <c r="Z174" s="170">
        <v>95996.764725746849</v>
      </c>
      <c r="AB174" s="96" t="s">
        <v>29</v>
      </c>
      <c r="AC174" s="96">
        <v>1130</v>
      </c>
      <c r="AE174" s="96">
        <f t="shared" si="166"/>
        <v>70.254194690265493</v>
      </c>
      <c r="AF174" s="96">
        <f t="shared" si="167"/>
        <v>71.940295362831861</v>
      </c>
      <c r="AG174" s="96">
        <f t="shared" si="168"/>
        <v>73.451041565451334</v>
      </c>
      <c r="AH174" s="96">
        <f t="shared" si="169"/>
        <v>74.993513438325792</v>
      </c>
      <c r="AI174" s="96">
        <f t="shared" si="170"/>
        <v>76.568377220530621</v>
      </c>
      <c r="AJ174" s="96">
        <f t="shared" si="171"/>
        <v>78.176313142161774</v>
      </c>
      <c r="AK174" s="96">
        <f t="shared" si="172"/>
        <v>79.818015718147166</v>
      </c>
      <c r="AL174" s="96">
        <f t="shared" si="173"/>
        <v>81.494194048228238</v>
      </c>
      <c r="AM174" s="96">
        <f t="shared" si="174"/>
        <v>83.205572123241026</v>
      </c>
      <c r="AN174" s="96">
        <f t="shared" si="175"/>
        <v>84.952889137829075</v>
      </c>
      <c r="AS174" s="96" t="s">
        <v>29</v>
      </c>
      <c r="AT174" s="96">
        <f t="shared" si="145"/>
        <v>8.5288592353982295</v>
      </c>
      <c r="AU174" s="96">
        <f t="shared" si="146"/>
        <v>8.7335518570477877</v>
      </c>
      <c r="AV174" s="96">
        <f t="shared" si="147"/>
        <v>8.9169564460457913</v>
      </c>
      <c r="AW174" s="96">
        <f t="shared" si="148"/>
        <v>9.1042125314127507</v>
      </c>
      <c r="AX174" s="96">
        <f t="shared" si="149"/>
        <v>9.2954009945724163</v>
      </c>
      <c r="AY174" s="96">
        <f t="shared" si="150"/>
        <v>9.4906044154584386</v>
      </c>
      <c r="AZ174" s="96">
        <f t="shared" si="151"/>
        <v>9.6899071081830659</v>
      </c>
      <c r="BA174" s="96">
        <f t="shared" si="152"/>
        <v>9.8933951574549077</v>
      </c>
      <c r="BB174" s="96">
        <f t="shared" si="153"/>
        <v>10.10115645576146</v>
      </c>
      <c r="BC174" s="96">
        <f t="shared" si="154"/>
        <v>10.313280741332449</v>
      </c>
      <c r="BE174" s="169">
        <f t="shared" si="155"/>
        <v>9.2772142506998261</v>
      </c>
      <c r="BQ174" s="81" t="s">
        <v>36</v>
      </c>
      <c r="BR174" s="173">
        <f t="shared" si="156"/>
        <v>20.141226707627858</v>
      </c>
      <c r="BS174" s="173">
        <f t="shared" si="157"/>
        <v>20.624616148610929</v>
      </c>
      <c r="BT174" s="173">
        <f t="shared" si="158"/>
        <v>21.057733087731759</v>
      </c>
      <c r="BU174" s="173">
        <f t="shared" si="159"/>
        <v>21.499945482574123</v>
      </c>
      <c r="BV174" s="173">
        <f t="shared" si="160"/>
        <v>21.951444337708178</v>
      </c>
      <c r="BW174" s="173">
        <f t="shared" si="161"/>
        <v>22.412424668800043</v>
      </c>
      <c r="BX174" s="173">
        <f t="shared" si="162"/>
        <v>22.883085586844846</v>
      </c>
      <c r="BY174" s="173">
        <f t="shared" si="163"/>
        <v>23.36363038416858</v>
      </c>
      <c r="BZ174" s="173">
        <f t="shared" si="164"/>
        <v>23.854266622236121</v>
      </c>
      <c r="CA174" s="173">
        <f t="shared" si="165"/>
        <v>24.355206221303071</v>
      </c>
    </row>
    <row r="175" spans="16:79">
      <c r="P175" s="96" t="s">
        <v>30</v>
      </c>
      <c r="Q175" s="170">
        <v>363103.58999999985</v>
      </c>
      <c r="R175" s="170">
        <v>371818.07615999988</v>
      </c>
      <c r="S175" s="170">
        <v>379626.25575935986</v>
      </c>
      <c r="T175" s="170">
        <v>387598.40713030635</v>
      </c>
      <c r="U175" s="170">
        <v>395737.97368004272</v>
      </c>
      <c r="V175" s="170">
        <v>404048.47112732363</v>
      </c>
      <c r="W175" s="170">
        <v>412533.48902099737</v>
      </c>
      <c r="X175" s="170">
        <v>421196.69229043828</v>
      </c>
      <c r="Y175" s="170">
        <v>430041.82282853744</v>
      </c>
      <c r="Z175" s="170">
        <v>439072.70110793662</v>
      </c>
      <c r="AB175" s="96" t="s">
        <v>30</v>
      </c>
      <c r="AC175" s="96">
        <v>810</v>
      </c>
      <c r="AE175" s="96">
        <f t="shared" si="166"/>
        <v>448.27603703703687</v>
      </c>
      <c r="AF175" s="96">
        <f t="shared" si="167"/>
        <v>459.03466192592577</v>
      </c>
      <c r="AG175" s="96">
        <f t="shared" si="168"/>
        <v>468.6743898263702</v>
      </c>
      <c r="AH175" s="96">
        <f t="shared" si="169"/>
        <v>478.51655201272388</v>
      </c>
      <c r="AI175" s="96">
        <f t="shared" si="170"/>
        <v>488.565399604991</v>
      </c>
      <c r="AJ175" s="96">
        <f t="shared" si="171"/>
        <v>498.82527299669584</v>
      </c>
      <c r="AK175" s="96">
        <f t="shared" si="172"/>
        <v>509.3006037296264</v>
      </c>
      <c r="AL175" s="96">
        <f t="shared" si="173"/>
        <v>519.99591640794847</v>
      </c>
      <c r="AM175" s="96">
        <f t="shared" si="174"/>
        <v>530.9158306525153</v>
      </c>
      <c r="AN175" s="96">
        <f t="shared" si="175"/>
        <v>542.06506309621807</v>
      </c>
      <c r="AS175" s="96" t="s">
        <v>30</v>
      </c>
      <c r="AT175" s="96">
        <f t="shared" si="145"/>
        <v>54.420710896296271</v>
      </c>
      <c r="AU175" s="96">
        <f t="shared" si="146"/>
        <v>55.726807957807388</v>
      </c>
      <c r="AV175" s="96">
        <f t="shared" si="147"/>
        <v>56.897070924921337</v>
      </c>
      <c r="AW175" s="96">
        <f t="shared" si="148"/>
        <v>58.091909414344677</v>
      </c>
      <c r="AX175" s="96">
        <f t="shared" si="149"/>
        <v>59.311839512045907</v>
      </c>
      <c r="AY175" s="96">
        <f t="shared" si="150"/>
        <v>60.557388141798874</v>
      </c>
      <c r="AZ175" s="96">
        <f t="shared" si="151"/>
        <v>61.829093292776641</v>
      </c>
      <c r="BA175" s="96">
        <f t="shared" si="152"/>
        <v>63.12750425192494</v>
      </c>
      <c r="BB175" s="96">
        <f t="shared" si="153"/>
        <v>64.453181841215354</v>
      </c>
      <c r="BC175" s="96">
        <f t="shared" si="154"/>
        <v>65.806698659880865</v>
      </c>
      <c r="BE175" s="169">
        <f t="shared" si="155"/>
        <v>59.195794035960724</v>
      </c>
      <c r="BQ175" s="81" t="s">
        <v>72</v>
      </c>
      <c r="BR175" s="173">
        <f t="shared" si="156"/>
        <v>0</v>
      </c>
      <c r="BS175" s="173">
        <f t="shared" si="157"/>
        <v>0</v>
      </c>
      <c r="BT175" s="173">
        <f t="shared" si="158"/>
        <v>0</v>
      </c>
      <c r="BU175" s="173">
        <f t="shared" si="159"/>
        <v>0</v>
      </c>
      <c r="BV175" s="173">
        <f t="shared" si="160"/>
        <v>0</v>
      </c>
      <c r="BW175" s="173">
        <f t="shared" si="161"/>
        <v>0</v>
      </c>
      <c r="BX175" s="173">
        <f t="shared" si="162"/>
        <v>0</v>
      </c>
      <c r="BY175" s="173">
        <f t="shared" si="163"/>
        <v>0</v>
      </c>
      <c r="BZ175" s="173">
        <f t="shared" si="164"/>
        <v>0</v>
      </c>
      <c r="CA175" s="173">
        <f t="shared" si="165"/>
        <v>0</v>
      </c>
    </row>
    <row r="176" spans="16:79">
      <c r="P176" s="96" t="s">
        <v>40</v>
      </c>
      <c r="Q176" s="170">
        <v>64227</v>
      </c>
      <c r="R176" s="170">
        <v>65768.448000000004</v>
      </c>
      <c r="S176" s="170">
        <v>67149.585407999999</v>
      </c>
      <c r="T176" s="170">
        <v>68559.726701567997</v>
      </c>
      <c r="U176" s="170">
        <v>69999.480962300906</v>
      </c>
      <c r="V176" s="170">
        <v>71469.470062509223</v>
      </c>
      <c r="W176" s="170">
        <v>72970.328933821904</v>
      </c>
      <c r="X176" s="170">
        <v>74502.705841432165</v>
      </c>
      <c r="Y176" s="170">
        <v>76067.262664102236</v>
      </c>
      <c r="Z176" s="170">
        <v>77664.675180048362</v>
      </c>
      <c r="AB176" s="96" t="s">
        <v>40</v>
      </c>
      <c r="AC176" s="96">
        <v>42</v>
      </c>
      <c r="AE176" s="96">
        <f t="shared" si="166"/>
        <v>1529.2142857142858</v>
      </c>
      <c r="AF176" s="96">
        <f t="shared" si="167"/>
        <v>1565.9154285714287</v>
      </c>
      <c r="AG176" s="96">
        <f t="shared" si="168"/>
        <v>1598.7996525714286</v>
      </c>
      <c r="AH176" s="96">
        <f t="shared" si="169"/>
        <v>1632.3744452754286</v>
      </c>
      <c r="AI176" s="96">
        <f t="shared" si="170"/>
        <v>1666.654308626212</v>
      </c>
      <c r="AJ176" s="96">
        <f t="shared" si="171"/>
        <v>1701.6540491073624</v>
      </c>
      <c r="AK176" s="96">
        <f t="shared" si="172"/>
        <v>1737.3887841386168</v>
      </c>
      <c r="AL176" s="96">
        <f t="shared" si="173"/>
        <v>1773.8739486055279</v>
      </c>
      <c r="AM176" s="96">
        <f t="shared" si="174"/>
        <v>1811.1253015262437</v>
      </c>
      <c r="AN176" s="96">
        <f t="shared" si="175"/>
        <v>1849.1589328582943</v>
      </c>
      <c r="AS176" s="96" t="s">
        <v>40</v>
      </c>
      <c r="AT176" s="96">
        <f t="shared" si="145"/>
        <v>185.64661428571429</v>
      </c>
      <c r="AU176" s="96">
        <f t="shared" si="146"/>
        <v>190.10213302857144</v>
      </c>
      <c r="AV176" s="96">
        <f t="shared" si="147"/>
        <v>194.09427782217142</v>
      </c>
      <c r="AW176" s="96">
        <f t="shared" si="148"/>
        <v>198.17025765643703</v>
      </c>
      <c r="AX176" s="96">
        <f t="shared" si="149"/>
        <v>202.33183306722214</v>
      </c>
      <c r="AY176" s="96">
        <f t="shared" si="150"/>
        <v>206.58080156163379</v>
      </c>
      <c r="AZ176" s="96">
        <f t="shared" si="151"/>
        <v>210.91899839442806</v>
      </c>
      <c r="BA176" s="96">
        <f t="shared" si="152"/>
        <v>215.34829736071106</v>
      </c>
      <c r="BB176" s="96">
        <f t="shared" si="153"/>
        <v>219.87061160528597</v>
      </c>
      <c r="BC176" s="96">
        <f t="shared" si="154"/>
        <v>224.48789444899691</v>
      </c>
      <c r="BE176" s="169">
        <f t="shared" si="155"/>
        <v>201.93596448367052</v>
      </c>
      <c r="BQ176" s="81" t="s">
        <v>73</v>
      </c>
      <c r="BR176" s="173">
        <f t="shared" si="156"/>
        <v>0</v>
      </c>
      <c r="BS176" s="173">
        <f t="shared" si="157"/>
        <v>0</v>
      </c>
      <c r="BT176" s="173">
        <f t="shared" si="158"/>
        <v>0</v>
      </c>
      <c r="BU176" s="173">
        <f t="shared" si="159"/>
        <v>0</v>
      </c>
      <c r="BV176" s="173">
        <f t="shared" si="160"/>
        <v>0</v>
      </c>
      <c r="BW176" s="173">
        <f t="shared" si="161"/>
        <v>0</v>
      </c>
      <c r="BX176" s="173">
        <f t="shared" si="162"/>
        <v>0</v>
      </c>
      <c r="BY176" s="173">
        <f t="shared" si="163"/>
        <v>0</v>
      </c>
      <c r="BZ176" s="173">
        <f t="shared" si="164"/>
        <v>0</v>
      </c>
      <c r="CA176" s="173">
        <f t="shared" si="165"/>
        <v>0</v>
      </c>
    </row>
    <row r="177" spans="16:79">
      <c r="P177" s="96" t="s">
        <v>44</v>
      </c>
      <c r="Q177" s="170">
        <v>73143.520000000004</v>
      </c>
      <c r="R177" s="170">
        <v>74898.96448000001</v>
      </c>
      <c r="S177" s="170">
        <v>76471.842734079997</v>
      </c>
      <c r="T177" s="170">
        <v>78077.751431495679</v>
      </c>
      <c r="U177" s="170">
        <v>79717.384211557073</v>
      </c>
      <c r="V177" s="170">
        <v>81391.449279999768</v>
      </c>
      <c r="W177" s="170">
        <v>83100.669714879754</v>
      </c>
      <c r="X177" s="170">
        <v>84845.783778892219</v>
      </c>
      <c r="Y177" s="170">
        <v>86627.545238248946</v>
      </c>
      <c r="Z177" s="170">
        <v>88446.723688252168</v>
      </c>
      <c r="AB177" s="96" t="s">
        <v>44</v>
      </c>
      <c r="AC177" s="96">
        <v>2230</v>
      </c>
      <c r="AE177" s="96">
        <f t="shared" si="166"/>
        <v>32.799784753363234</v>
      </c>
      <c r="AF177" s="96">
        <f t="shared" si="167"/>
        <v>33.586979587443949</v>
      </c>
      <c r="AG177" s="96">
        <f t="shared" si="168"/>
        <v>34.292306158780271</v>
      </c>
      <c r="AH177" s="96">
        <f t="shared" si="169"/>
        <v>35.012444588114654</v>
      </c>
      <c r="AI177" s="96">
        <f t="shared" si="170"/>
        <v>35.747705924465052</v>
      </c>
      <c r="AJ177" s="96">
        <f t="shared" si="171"/>
        <v>36.498407748878819</v>
      </c>
      <c r="AK177" s="96">
        <f t="shared" si="172"/>
        <v>37.264874311605269</v>
      </c>
      <c r="AL177" s="96">
        <f t="shared" si="173"/>
        <v>38.047436672148976</v>
      </c>
      <c r="AM177" s="96">
        <f t="shared" si="174"/>
        <v>38.8464328422641</v>
      </c>
      <c r="AN177" s="96">
        <f t="shared" si="175"/>
        <v>39.662207931951642</v>
      </c>
      <c r="AS177" s="96" t="s">
        <v>44</v>
      </c>
      <c r="AT177" s="96">
        <f t="shared" si="145"/>
        <v>3.9818938690582963</v>
      </c>
      <c r="AU177" s="96">
        <f t="shared" si="146"/>
        <v>4.0774593219156952</v>
      </c>
      <c r="AV177" s="96">
        <f t="shared" si="147"/>
        <v>4.1630859676759249</v>
      </c>
      <c r="AW177" s="96">
        <f t="shared" si="148"/>
        <v>4.250510772997119</v>
      </c>
      <c r="AX177" s="96">
        <f t="shared" si="149"/>
        <v>4.3397714992300571</v>
      </c>
      <c r="AY177" s="96">
        <f t="shared" si="150"/>
        <v>4.430906700713888</v>
      </c>
      <c r="AZ177" s="96">
        <f t="shared" si="151"/>
        <v>4.5239557414288791</v>
      </c>
      <c r="BA177" s="96">
        <f t="shared" si="152"/>
        <v>4.6189588119988851</v>
      </c>
      <c r="BB177" s="96">
        <f t="shared" si="153"/>
        <v>4.7159569470508611</v>
      </c>
      <c r="BC177" s="96">
        <f t="shared" si="154"/>
        <v>4.814992042938929</v>
      </c>
      <c r="BE177" s="169">
        <f t="shared" si="155"/>
        <v>4.3312806000458099</v>
      </c>
      <c r="BQ177" s="81" t="s">
        <v>37</v>
      </c>
      <c r="BR177" s="173">
        <f t="shared" ref="BR177:BR213" si="176">IFERROR(SUMIFS(Q$137:Q$242,$P$137:$P$242,$BQ177)/SUMIFS($AC$137:$AC$242,$P$137:$P$242,$BQ177),0)*$AQ$5</f>
        <v>0</v>
      </c>
      <c r="BS177" s="173">
        <f t="shared" ref="BS177:BS213" si="177">IFERROR(SUMIFS(R$137:R$242,$P$137:$P$242,$BQ177)/SUMIFS($AC$137:$AC$242,$P$137:$P$242,$BQ177),0)*$AQ$5</f>
        <v>0</v>
      </c>
      <c r="BT177" s="173">
        <f t="shared" ref="BT177:BT213" si="178">IFERROR(SUMIFS(S$137:S$242,$P$137:$P$242,$BQ177)/SUMIFS($AC$137:$AC$242,$P$137:$P$242,$BQ177),0)*$AQ$5</f>
        <v>0</v>
      </c>
      <c r="BU177" s="173">
        <f t="shared" ref="BU177:BU213" si="179">IFERROR(SUMIFS(T$137:T$242,$P$137:$P$242,$BQ177)/SUMIFS($AC$137:$AC$242,$P$137:$P$242,$BQ177),0)*$AQ$5</f>
        <v>0</v>
      </c>
      <c r="BV177" s="173">
        <f t="shared" ref="BV177:BV213" si="180">IFERROR(SUMIFS(U$137:U$242,$P$137:$P$242,$BQ177)/SUMIFS($AC$137:$AC$242,$P$137:$P$242,$BQ177),0)*$AQ$5</f>
        <v>0</v>
      </c>
      <c r="BW177" s="173">
        <f t="shared" ref="BW177:BW213" si="181">IFERROR(SUMIFS(V$137:V$242,$P$137:$P$242,$BQ177)/SUMIFS($AC$137:$AC$242,$P$137:$P$242,$BQ177),0)*$AQ$5</f>
        <v>0</v>
      </c>
      <c r="BX177" s="173">
        <f t="shared" ref="BX177:BX213" si="182">IFERROR(SUMIFS(W$137:W$242,$P$137:$P$242,$BQ177)/SUMIFS($AC$137:$AC$242,$P$137:$P$242,$BQ177),0)*$AQ$5</f>
        <v>0</v>
      </c>
      <c r="BY177" s="173">
        <f t="shared" ref="BY177:BY213" si="183">IFERROR(SUMIFS(X$137:X$242,$P$137:$P$242,$BQ177)/SUMIFS($AC$137:$AC$242,$P$137:$P$242,$BQ177),0)*$AQ$5</f>
        <v>0</v>
      </c>
      <c r="BZ177" s="173">
        <f t="shared" ref="BZ177:BZ213" si="184">IFERROR(SUMIFS(Y$137:Y$242,$P$137:$P$242,$BQ177)/SUMIFS($AC$137:$AC$242,$P$137:$P$242,$BQ177),0)*$AQ$5</f>
        <v>0</v>
      </c>
      <c r="CA177" s="173">
        <f t="shared" ref="CA177:CA213" si="185">IFERROR(SUMIFS(Z$137:Z$242,$P$137:$P$242,$BQ177)/SUMIFS($AC$137:$AC$242,$P$137:$P$242,$BQ177),0)*$AQ$5</f>
        <v>0</v>
      </c>
    </row>
    <row r="178" spans="16:79">
      <c r="P178" s="96" t="s">
        <v>56</v>
      </c>
      <c r="Q178" s="170">
        <v>23852.939999999995</v>
      </c>
      <c r="R178" s="170">
        <v>24425.410559999997</v>
      </c>
      <c r="S178" s="170">
        <v>24938.344181759996</v>
      </c>
      <c r="T178" s="170">
        <v>25462.04940957695</v>
      </c>
      <c r="U178" s="170">
        <v>25996.752447178063</v>
      </c>
      <c r="V178" s="170">
        <v>26542.684248568803</v>
      </c>
      <c r="W178" s="170">
        <v>27100.080617788743</v>
      </c>
      <c r="X178" s="170">
        <v>27669.182310762306</v>
      </c>
      <c r="Y178" s="170">
        <v>28250.23513928831</v>
      </c>
      <c r="Z178" s="170">
        <v>28843.490077213359</v>
      </c>
      <c r="AB178" s="96" t="s">
        <v>56</v>
      </c>
      <c r="AC178" s="96">
        <v>264</v>
      </c>
      <c r="AE178" s="96">
        <f t="shared" si="166"/>
        <v>90.352045454545433</v>
      </c>
      <c r="AF178" s="96">
        <f t="shared" si="167"/>
        <v>92.52049454545454</v>
      </c>
      <c r="AG178" s="96">
        <f t="shared" si="168"/>
        <v>94.463424930909071</v>
      </c>
      <c r="AH178" s="96">
        <f t="shared" si="169"/>
        <v>96.447156854458143</v>
      </c>
      <c r="AI178" s="96">
        <f t="shared" si="170"/>
        <v>98.472547148401759</v>
      </c>
      <c r="AJ178" s="96">
        <f t="shared" si="171"/>
        <v>100.54047063851819</v>
      </c>
      <c r="AK178" s="96">
        <f t="shared" si="172"/>
        <v>102.65182052192705</v>
      </c>
      <c r="AL178" s="96">
        <f t="shared" si="173"/>
        <v>104.80750875288753</v>
      </c>
      <c r="AM178" s="96">
        <f t="shared" si="174"/>
        <v>107.00846643669814</v>
      </c>
      <c r="AN178" s="96">
        <f t="shared" si="175"/>
        <v>109.25564423186879</v>
      </c>
      <c r="AS178" s="96" t="s">
        <v>56</v>
      </c>
      <c r="AT178" s="96">
        <f t="shared" si="145"/>
        <v>10.968738318181815</v>
      </c>
      <c r="AU178" s="96">
        <f t="shared" si="146"/>
        <v>11.23198803781818</v>
      </c>
      <c r="AV178" s="96">
        <f t="shared" si="147"/>
        <v>11.46785978661236</v>
      </c>
      <c r="AW178" s="96">
        <f t="shared" si="148"/>
        <v>11.708684842131218</v>
      </c>
      <c r="AX178" s="96">
        <f t="shared" si="149"/>
        <v>11.954567223815973</v>
      </c>
      <c r="AY178" s="96">
        <f t="shared" si="150"/>
        <v>12.205613135516108</v>
      </c>
      <c r="AZ178" s="96">
        <f t="shared" si="151"/>
        <v>12.461931011361942</v>
      </c>
      <c r="BA178" s="96">
        <f t="shared" si="152"/>
        <v>12.723631562600545</v>
      </c>
      <c r="BB178" s="96">
        <f t="shared" si="153"/>
        <v>12.990827825415154</v>
      </c>
      <c r="BC178" s="96">
        <f t="shared" si="154"/>
        <v>13.26363520974887</v>
      </c>
      <c r="BE178" s="169">
        <f t="shared" si="155"/>
        <v>11.93117773773203</v>
      </c>
      <c r="BQ178" s="81" t="s">
        <v>38</v>
      </c>
      <c r="BR178" s="173">
        <f t="shared" si="176"/>
        <v>0</v>
      </c>
      <c r="BS178" s="173">
        <f t="shared" si="177"/>
        <v>0</v>
      </c>
      <c r="BT178" s="173">
        <f t="shared" si="178"/>
        <v>0</v>
      </c>
      <c r="BU178" s="173">
        <f t="shared" si="179"/>
        <v>0</v>
      </c>
      <c r="BV178" s="173">
        <f t="shared" si="180"/>
        <v>0</v>
      </c>
      <c r="BW178" s="173">
        <f t="shared" si="181"/>
        <v>0</v>
      </c>
      <c r="BX178" s="173">
        <f t="shared" si="182"/>
        <v>0</v>
      </c>
      <c r="BY178" s="173">
        <f t="shared" si="183"/>
        <v>0</v>
      </c>
      <c r="BZ178" s="173">
        <f t="shared" si="184"/>
        <v>0</v>
      </c>
      <c r="CA178" s="173">
        <f t="shared" si="185"/>
        <v>0</v>
      </c>
    </row>
    <row r="179" spans="16:79">
      <c r="P179" s="96" t="s">
        <v>58</v>
      </c>
      <c r="Q179" s="170">
        <v>190027.29</v>
      </c>
      <c r="R179" s="170">
        <v>194587.94496000002</v>
      </c>
      <c r="S179" s="170">
        <v>198674.29180416002</v>
      </c>
      <c r="T179" s="170">
        <v>202846.45193204735</v>
      </c>
      <c r="U179" s="170">
        <v>207106.22742262032</v>
      </c>
      <c r="V179" s="170">
        <v>211455.45819849533</v>
      </c>
      <c r="W179" s="170">
        <v>215896.0228206637</v>
      </c>
      <c r="X179" s="170">
        <v>220429.83929989763</v>
      </c>
      <c r="Y179" s="170">
        <v>225058.86592519545</v>
      </c>
      <c r="Z179" s="170">
        <v>229785.10210962451</v>
      </c>
      <c r="AB179" s="96" t="s">
        <v>58</v>
      </c>
      <c r="AC179" s="96">
        <v>494.7</v>
      </c>
      <c r="AE179" s="96">
        <f t="shared" si="166"/>
        <v>384.12631898120077</v>
      </c>
      <c r="AF179" s="96">
        <f t="shared" si="167"/>
        <v>393.34535063674957</v>
      </c>
      <c r="AG179" s="96">
        <f t="shared" si="168"/>
        <v>401.60560300012133</v>
      </c>
      <c r="AH179" s="96">
        <f t="shared" si="169"/>
        <v>410.03932066312382</v>
      </c>
      <c r="AI179" s="96">
        <f t="shared" si="170"/>
        <v>418.65014639704935</v>
      </c>
      <c r="AJ179" s="96">
        <f t="shared" si="171"/>
        <v>427.44179947138736</v>
      </c>
      <c r="AK179" s="96">
        <f t="shared" si="172"/>
        <v>436.41807726028645</v>
      </c>
      <c r="AL179" s="96">
        <f t="shared" si="173"/>
        <v>445.58285688275248</v>
      </c>
      <c r="AM179" s="96">
        <f t="shared" si="174"/>
        <v>454.94009687729022</v>
      </c>
      <c r="AN179" s="96">
        <f t="shared" si="175"/>
        <v>464.49383891171317</v>
      </c>
      <c r="AS179" s="96" t="s">
        <v>58</v>
      </c>
      <c r="AT179" s="96">
        <f t="shared" si="145"/>
        <v>46.632935124317768</v>
      </c>
      <c r="AU179" s="96">
        <f t="shared" si="146"/>
        <v>47.752125567301398</v>
      </c>
      <c r="AV179" s="96">
        <f t="shared" si="147"/>
        <v>48.754920204214727</v>
      </c>
      <c r="AW179" s="96">
        <f t="shared" si="148"/>
        <v>49.77877352850323</v>
      </c>
      <c r="AX179" s="96">
        <f t="shared" si="149"/>
        <v>50.824127772601791</v>
      </c>
      <c r="AY179" s="96">
        <f t="shared" si="150"/>
        <v>51.89143445582642</v>
      </c>
      <c r="AZ179" s="96">
        <f t="shared" si="151"/>
        <v>52.981154579398776</v>
      </c>
      <c r="BA179" s="96">
        <f t="shared" si="152"/>
        <v>54.093758825566148</v>
      </c>
      <c r="BB179" s="96">
        <f t="shared" si="153"/>
        <v>55.229727760903032</v>
      </c>
      <c r="BC179" s="96">
        <f t="shared" si="154"/>
        <v>56.389552043881977</v>
      </c>
      <c r="BE179" s="169">
        <f t="shared" si="155"/>
        <v>50.724688771004345</v>
      </c>
      <c r="BQ179" s="81" t="s">
        <v>39</v>
      </c>
      <c r="BR179" s="173">
        <f t="shared" si="176"/>
        <v>0</v>
      </c>
      <c r="BS179" s="173">
        <f t="shared" si="177"/>
        <v>0</v>
      </c>
      <c r="BT179" s="173">
        <f t="shared" si="178"/>
        <v>0</v>
      </c>
      <c r="BU179" s="173">
        <f t="shared" si="179"/>
        <v>0</v>
      </c>
      <c r="BV179" s="173">
        <f t="shared" si="180"/>
        <v>0</v>
      </c>
      <c r="BW179" s="173">
        <f t="shared" si="181"/>
        <v>0</v>
      </c>
      <c r="BX179" s="173">
        <f t="shared" si="182"/>
        <v>0</v>
      </c>
      <c r="BY179" s="173">
        <f t="shared" si="183"/>
        <v>0</v>
      </c>
      <c r="BZ179" s="173">
        <f t="shared" si="184"/>
        <v>0</v>
      </c>
      <c r="CA179" s="173">
        <f t="shared" si="185"/>
        <v>0</v>
      </c>
    </row>
    <row r="180" spans="16:79">
      <c r="P180" s="96" t="s">
        <v>58</v>
      </c>
      <c r="Q180" s="170">
        <v>19993.609999999997</v>
      </c>
      <c r="R180" s="170">
        <v>20473.456639999997</v>
      </c>
      <c r="S180" s="170">
        <v>20903.399229439998</v>
      </c>
      <c r="T180" s="170">
        <v>21342.370613258234</v>
      </c>
      <c r="U180" s="170">
        <v>21790.560396136654</v>
      </c>
      <c r="V180" s="170">
        <v>22248.162164455523</v>
      </c>
      <c r="W180" s="170">
        <v>22715.373569909087</v>
      </c>
      <c r="X180" s="170">
        <v>23192.396414877174</v>
      </c>
      <c r="Y180" s="170">
        <v>23679.436739589593</v>
      </c>
      <c r="Z180" s="170">
        <v>24176.704911120971</v>
      </c>
      <c r="AB180" s="96" t="s">
        <v>58</v>
      </c>
      <c r="AC180" s="96">
        <v>1866.6</v>
      </c>
      <c r="AE180" s="96">
        <f t="shared" si="166"/>
        <v>10.711245044465873</v>
      </c>
      <c r="AF180" s="96">
        <f t="shared" si="167"/>
        <v>10.968314925533054</v>
      </c>
      <c r="AG180" s="96">
        <f t="shared" si="168"/>
        <v>11.198649538969248</v>
      </c>
      <c r="AH180" s="96">
        <f t="shared" si="169"/>
        <v>11.4338211792876</v>
      </c>
      <c r="AI180" s="96">
        <f t="shared" si="170"/>
        <v>11.673931424052638</v>
      </c>
      <c r="AJ180" s="96">
        <f t="shared" si="171"/>
        <v>11.919083983957744</v>
      </c>
      <c r="AK180" s="96">
        <f t="shared" si="172"/>
        <v>12.169384747620855</v>
      </c>
      <c r="AL180" s="96">
        <f t="shared" si="173"/>
        <v>12.424941827320891</v>
      </c>
      <c r="AM180" s="96">
        <f t="shared" si="174"/>
        <v>12.685865605694628</v>
      </c>
      <c r="AN180" s="96">
        <f t="shared" si="175"/>
        <v>12.952268783414214</v>
      </c>
      <c r="AS180" s="96" t="s">
        <v>58</v>
      </c>
      <c r="AT180" s="96">
        <f t="shared" si="145"/>
        <v>1.300345148398157</v>
      </c>
      <c r="AU180" s="96">
        <f t="shared" si="146"/>
        <v>1.3315534319597127</v>
      </c>
      <c r="AV180" s="96">
        <f t="shared" si="147"/>
        <v>1.3595160540308666</v>
      </c>
      <c r="AW180" s="96">
        <f t="shared" si="148"/>
        <v>1.3880658911655146</v>
      </c>
      <c r="AX180" s="96">
        <f t="shared" si="149"/>
        <v>1.4172152748799902</v>
      </c>
      <c r="AY180" s="96">
        <f t="shared" si="150"/>
        <v>1.4469767956524702</v>
      </c>
      <c r="AZ180" s="96">
        <f t="shared" si="151"/>
        <v>1.4773633083611717</v>
      </c>
      <c r="BA180" s="96">
        <f t="shared" si="152"/>
        <v>1.5083879378367562</v>
      </c>
      <c r="BB180" s="96">
        <f t="shared" si="153"/>
        <v>1.5400640845313278</v>
      </c>
      <c r="BC180" s="96">
        <f t="shared" si="154"/>
        <v>1.5724054303064854</v>
      </c>
      <c r="BE180" s="169">
        <f t="shared" si="155"/>
        <v>1.4144424487015803</v>
      </c>
      <c r="BQ180" s="81" t="s">
        <v>74</v>
      </c>
      <c r="BR180" s="173">
        <f t="shared" si="176"/>
        <v>0</v>
      </c>
      <c r="BS180" s="173">
        <f t="shared" si="177"/>
        <v>0</v>
      </c>
      <c r="BT180" s="173">
        <f t="shared" si="178"/>
        <v>0</v>
      </c>
      <c r="BU180" s="173">
        <f t="shared" si="179"/>
        <v>0</v>
      </c>
      <c r="BV180" s="173">
        <f t="shared" si="180"/>
        <v>0</v>
      </c>
      <c r="BW180" s="173">
        <f t="shared" si="181"/>
        <v>0</v>
      </c>
      <c r="BX180" s="173">
        <f t="shared" si="182"/>
        <v>0</v>
      </c>
      <c r="BY180" s="173">
        <f t="shared" si="183"/>
        <v>0</v>
      </c>
      <c r="BZ180" s="173">
        <f t="shared" si="184"/>
        <v>0</v>
      </c>
      <c r="CA180" s="173">
        <f t="shared" si="185"/>
        <v>0</v>
      </c>
    </row>
    <row r="181" spans="16:79">
      <c r="P181" s="96" t="s">
        <v>58</v>
      </c>
      <c r="Q181" s="170">
        <v>7457.38</v>
      </c>
      <c r="R181" s="170">
        <v>7636.3571200000006</v>
      </c>
      <c r="S181" s="170">
        <v>7796.7206195199997</v>
      </c>
      <c r="T181" s="170">
        <v>7960.4517525299188</v>
      </c>
      <c r="U181" s="170">
        <v>8127.6212393330461</v>
      </c>
      <c r="V181" s="170">
        <v>8298.3012853590408</v>
      </c>
      <c r="W181" s="170">
        <v>8472.5656123515782</v>
      </c>
      <c r="X181" s="170">
        <v>8650.4894902109609</v>
      </c>
      <c r="Y181" s="170">
        <v>8832.1497695053913</v>
      </c>
      <c r="Z181" s="170">
        <v>9017.6249146650025</v>
      </c>
      <c r="AB181" s="96" t="s">
        <v>58</v>
      </c>
      <c r="AC181" s="96">
        <v>361.25</v>
      </c>
      <c r="AE181" s="96">
        <f t="shared" si="166"/>
        <v>20.64326643598616</v>
      </c>
      <c r="AF181" s="96">
        <f t="shared" si="167"/>
        <v>21.138704830449829</v>
      </c>
      <c r="AG181" s="96">
        <f t="shared" si="168"/>
        <v>21.582617631889274</v>
      </c>
      <c r="AH181" s="96">
        <f t="shared" si="169"/>
        <v>22.035852602158943</v>
      </c>
      <c r="AI181" s="96">
        <f t="shared" si="170"/>
        <v>22.498605506804282</v>
      </c>
      <c r="AJ181" s="96">
        <f t="shared" si="171"/>
        <v>22.97107622244717</v>
      </c>
      <c r="AK181" s="96">
        <f t="shared" si="172"/>
        <v>23.453468823118556</v>
      </c>
      <c r="AL181" s="96">
        <f t="shared" si="173"/>
        <v>23.945991668404044</v>
      </c>
      <c r="AM181" s="96">
        <f t="shared" si="174"/>
        <v>24.448857493440528</v>
      </c>
      <c r="AN181" s="96">
        <f t="shared" si="175"/>
        <v>24.962283500802776</v>
      </c>
      <c r="AS181" s="96" t="s">
        <v>58</v>
      </c>
      <c r="AT181" s="96">
        <f t="shared" si="145"/>
        <v>2.5060925453287197</v>
      </c>
      <c r="AU181" s="96">
        <f t="shared" si="146"/>
        <v>2.5662387664166091</v>
      </c>
      <c r="AV181" s="96">
        <f t="shared" si="147"/>
        <v>2.6201297805113577</v>
      </c>
      <c r="AW181" s="96">
        <f t="shared" si="148"/>
        <v>2.6751525059020955</v>
      </c>
      <c r="AX181" s="96">
        <f t="shared" si="149"/>
        <v>2.7313307085260399</v>
      </c>
      <c r="AY181" s="96">
        <f t="shared" si="150"/>
        <v>2.7886886534050861</v>
      </c>
      <c r="AZ181" s="96">
        <f t="shared" si="151"/>
        <v>2.8472511151265927</v>
      </c>
      <c r="BA181" s="96">
        <f t="shared" si="152"/>
        <v>2.9070433885442508</v>
      </c>
      <c r="BB181" s="96">
        <f t="shared" si="153"/>
        <v>2.9680912997036799</v>
      </c>
      <c r="BC181" s="96">
        <f t="shared" si="154"/>
        <v>3.0304212169974569</v>
      </c>
      <c r="BE181" s="169">
        <f t="shared" si="155"/>
        <v>2.7259867742453867</v>
      </c>
      <c r="BQ181" s="81" t="s">
        <v>40</v>
      </c>
      <c r="BR181" s="173">
        <f t="shared" si="176"/>
        <v>185.64661428571429</v>
      </c>
      <c r="BS181" s="173">
        <f t="shared" si="177"/>
        <v>190.10213302857144</v>
      </c>
      <c r="BT181" s="173">
        <f t="shared" si="178"/>
        <v>194.09427782217142</v>
      </c>
      <c r="BU181" s="173">
        <f t="shared" si="179"/>
        <v>198.17025765643703</v>
      </c>
      <c r="BV181" s="173">
        <f t="shared" si="180"/>
        <v>202.33183306722214</v>
      </c>
      <c r="BW181" s="173">
        <f t="shared" si="181"/>
        <v>206.58080156163379</v>
      </c>
      <c r="BX181" s="173">
        <f t="shared" si="182"/>
        <v>210.91899839442806</v>
      </c>
      <c r="BY181" s="173">
        <f t="shared" si="183"/>
        <v>215.34829736071106</v>
      </c>
      <c r="BZ181" s="173">
        <f t="shared" si="184"/>
        <v>219.87061160528597</v>
      </c>
      <c r="CA181" s="173">
        <f t="shared" si="185"/>
        <v>224.48789444899691</v>
      </c>
    </row>
    <row r="182" spans="16:79">
      <c r="P182" s="96" t="s">
        <v>58</v>
      </c>
      <c r="Q182" s="170">
        <v>60382.95</v>
      </c>
      <c r="R182" s="170">
        <v>61832.140800000001</v>
      </c>
      <c r="S182" s="170">
        <v>63130.615756799998</v>
      </c>
      <c r="T182" s="170">
        <v>64456.358687692787</v>
      </c>
      <c r="U182" s="170">
        <v>65809.942220134326</v>
      </c>
      <c r="V182" s="170">
        <v>67191.951006757139</v>
      </c>
      <c r="W182" s="170">
        <v>68602.981977899035</v>
      </c>
      <c r="X182" s="170">
        <v>70043.64459943492</v>
      </c>
      <c r="Y182" s="170">
        <v>71514.56113602304</v>
      </c>
      <c r="Z182" s="170">
        <v>73016.366919879511</v>
      </c>
      <c r="AB182" s="96" t="s">
        <v>58</v>
      </c>
      <c r="AC182" s="96">
        <v>361.25</v>
      </c>
      <c r="AE182" s="96">
        <f t="shared" si="166"/>
        <v>167.15003460207612</v>
      </c>
      <c r="AF182" s="96">
        <f t="shared" si="167"/>
        <v>171.16163543252594</v>
      </c>
      <c r="AG182" s="96">
        <f t="shared" si="168"/>
        <v>174.75602977660898</v>
      </c>
      <c r="AH182" s="96">
        <f t="shared" si="169"/>
        <v>178.42590640191776</v>
      </c>
      <c r="AI182" s="96">
        <f t="shared" si="170"/>
        <v>182.172850436358</v>
      </c>
      <c r="AJ182" s="96">
        <f t="shared" si="171"/>
        <v>185.99848029552149</v>
      </c>
      <c r="AK182" s="96">
        <f t="shared" si="172"/>
        <v>189.90444838172743</v>
      </c>
      <c r="AL182" s="96">
        <f t="shared" si="173"/>
        <v>193.89244179774371</v>
      </c>
      <c r="AM182" s="96">
        <f t="shared" si="174"/>
        <v>197.96418307549629</v>
      </c>
      <c r="AN182" s="96">
        <f t="shared" si="175"/>
        <v>202.12143092008168</v>
      </c>
      <c r="AS182" s="96" t="s">
        <v>58</v>
      </c>
      <c r="AT182" s="96">
        <f t="shared" si="145"/>
        <v>20.292014200692041</v>
      </c>
      <c r="AU182" s="96">
        <f t="shared" si="146"/>
        <v>20.779022541508649</v>
      </c>
      <c r="AV182" s="96">
        <f t="shared" si="147"/>
        <v>21.21538201488033</v>
      </c>
      <c r="AW182" s="96">
        <f t="shared" si="148"/>
        <v>21.660905037192816</v>
      </c>
      <c r="AX182" s="96">
        <f t="shared" si="149"/>
        <v>22.115784042973861</v>
      </c>
      <c r="AY182" s="96">
        <f t="shared" si="150"/>
        <v>22.580215507876307</v>
      </c>
      <c r="AZ182" s="96">
        <f t="shared" si="151"/>
        <v>23.054400033541711</v>
      </c>
      <c r="BA182" s="96">
        <f t="shared" si="152"/>
        <v>23.538542434246086</v>
      </c>
      <c r="BB182" s="96">
        <f t="shared" si="153"/>
        <v>24.032851825365249</v>
      </c>
      <c r="BC182" s="96">
        <f t="shared" si="154"/>
        <v>24.537541713697916</v>
      </c>
      <c r="BE182" s="169">
        <f t="shared" si="155"/>
        <v>22.072513817174457</v>
      </c>
      <c r="BQ182" s="81" t="s">
        <v>75</v>
      </c>
      <c r="BR182" s="173">
        <f t="shared" si="176"/>
        <v>0</v>
      </c>
      <c r="BS182" s="173">
        <f t="shared" si="177"/>
        <v>0</v>
      </c>
      <c r="BT182" s="173">
        <f t="shared" si="178"/>
        <v>0</v>
      </c>
      <c r="BU182" s="173">
        <f t="shared" si="179"/>
        <v>0</v>
      </c>
      <c r="BV182" s="173">
        <f t="shared" si="180"/>
        <v>0</v>
      </c>
      <c r="BW182" s="173">
        <f t="shared" si="181"/>
        <v>0</v>
      </c>
      <c r="BX182" s="173">
        <f t="shared" si="182"/>
        <v>0</v>
      </c>
      <c r="BY182" s="173">
        <f t="shared" si="183"/>
        <v>0</v>
      </c>
      <c r="BZ182" s="173">
        <f t="shared" si="184"/>
        <v>0</v>
      </c>
      <c r="CA182" s="173">
        <f t="shared" si="185"/>
        <v>0</v>
      </c>
    </row>
    <row r="183" spans="16:79">
      <c r="P183" s="96" t="s">
        <v>58</v>
      </c>
      <c r="Q183" s="170">
        <v>131890.1</v>
      </c>
      <c r="R183" s="170">
        <v>135055.46240000002</v>
      </c>
      <c r="S183" s="170">
        <v>137891.6271104</v>
      </c>
      <c r="T183" s="170">
        <v>140787.35127971839</v>
      </c>
      <c r="U183" s="170">
        <v>143743.88565659247</v>
      </c>
      <c r="V183" s="170">
        <v>146762.50725538089</v>
      </c>
      <c r="W183" s="170">
        <v>149844.51990774387</v>
      </c>
      <c r="X183" s="170">
        <v>152991.25482580648</v>
      </c>
      <c r="Y183" s="170">
        <v>156204.07117714841</v>
      </c>
      <c r="Z183" s="170">
        <v>159484.3566718685</v>
      </c>
      <c r="AB183" s="96" t="s">
        <v>58</v>
      </c>
      <c r="AC183" s="96">
        <v>361.25</v>
      </c>
      <c r="AE183" s="96">
        <f t="shared" si="166"/>
        <v>365.09370242214533</v>
      </c>
      <c r="AF183" s="96">
        <f t="shared" si="167"/>
        <v>373.85595128027688</v>
      </c>
      <c r="AG183" s="96">
        <f t="shared" si="168"/>
        <v>381.70692625716265</v>
      </c>
      <c r="AH183" s="96">
        <f t="shared" si="169"/>
        <v>389.72277170856302</v>
      </c>
      <c r="AI183" s="96">
        <f t="shared" si="170"/>
        <v>397.90694991444281</v>
      </c>
      <c r="AJ183" s="96">
        <f t="shared" si="171"/>
        <v>406.26299586264605</v>
      </c>
      <c r="AK183" s="96">
        <f t="shared" si="172"/>
        <v>414.79451877576156</v>
      </c>
      <c r="AL183" s="96">
        <f t="shared" si="173"/>
        <v>423.50520367005254</v>
      </c>
      <c r="AM183" s="96">
        <f t="shared" si="174"/>
        <v>432.39881294712359</v>
      </c>
      <c r="AN183" s="96">
        <f t="shared" si="175"/>
        <v>441.47918801901318</v>
      </c>
      <c r="AS183" s="96" t="s">
        <v>58</v>
      </c>
      <c r="AT183" s="96">
        <f t="shared" si="145"/>
        <v>44.322375474048442</v>
      </c>
      <c r="AU183" s="96">
        <f t="shared" si="146"/>
        <v>45.386112485425613</v>
      </c>
      <c r="AV183" s="96">
        <f t="shared" si="147"/>
        <v>46.339220847619544</v>
      </c>
      <c r="AW183" s="96">
        <f t="shared" si="148"/>
        <v>47.312344485419551</v>
      </c>
      <c r="AX183" s="96">
        <f t="shared" si="149"/>
        <v>48.305903719613354</v>
      </c>
      <c r="AY183" s="96">
        <f t="shared" si="150"/>
        <v>49.320327697725226</v>
      </c>
      <c r="AZ183" s="96">
        <f t="shared" si="151"/>
        <v>50.356054579377449</v>
      </c>
      <c r="BA183" s="96">
        <f t="shared" si="152"/>
        <v>51.413531725544374</v>
      </c>
      <c r="BB183" s="96">
        <f t="shared" si="153"/>
        <v>52.4932158917808</v>
      </c>
      <c r="BC183" s="96">
        <f t="shared" si="154"/>
        <v>53.595573425508199</v>
      </c>
      <c r="BE183" s="169">
        <f t="shared" si="155"/>
        <v>48.211391702434561</v>
      </c>
      <c r="BQ183" s="81" t="s">
        <v>41</v>
      </c>
      <c r="BR183" s="173">
        <f t="shared" si="176"/>
        <v>0</v>
      </c>
      <c r="BS183" s="173">
        <f t="shared" si="177"/>
        <v>0</v>
      </c>
      <c r="BT183" s="173">
        <f t="shared" si="178"/>
        <v>0</v>
      </c>
      <c r="BU183" s="173">
        <f t="shared" si="179"/>
        <v>0</v>
      </c>
      <c r="BV183" s="173">
        <f t="shared" si="180"/>
        <v>0</v>
      </c>
      <c r="BW183" s="173">
        <f t="shared" si="181"/>
        <v>0</v>
      </c>
      <c r="BX183" s="173">
        <f t="shared" si="182"/>
        <v>0</v>
      </c>
      <c r="BY183" s="173">
        <f t="shared" si="183"/>
        <v>0</v>
      </c>
      <c r="BZ183" s="173">
        <f t="shared" si="184"/>
        <v>0</v>
      </c>
      <c r="CA183" s="173">
        <f t="shared" si="185"/>
        <v>0</v>
      </c>
    </row>
    <row r="184" spans="16:79">
      <c r="P184" s="96" t="s">
        <v>58</v>
      </c>
      <c r="Q184" s="170">
        <v>100983.6</v>
      </c>
      <c r="R184" s="170">
        <v>103407.20640000001</v>
      </c>
      <c r="S184" s="170">
        <v>105578.7577344</v>
      </c>
      <c r="T184" s="170">
        <v>107795.91164682239</v>
      </c>
      <c r="U184" s="170">
        <v>110059.62579140565</v>
      </c>
      <c r="V184" s="170">
        <v>112370.87793302516</v>
      </c>
      <c r="W184" s="170">
        <v>114730.66636961867</v>
      </c>
      <c r="X184" s="170">
        <v>117140.01036338066</v>
      </c>
      <c r="Y184" s="170">
        <v>119599.95058101164</v>
      </c>
      <c r="Z184" s="170">
        <v>122111.54954321287</v>
      </c>
      <c r="AB184" s="96" t="s">
        <v>58</v>
      </c>
      <c r="AC184" s="96">
        <v>361.25</v>
      </c>
      <c r="AE184" s="96">
        <f t="shared" si="166"/>
        <v>279.53937716262976</v>
      </c>
      <c r="AF184" s="96">
        <f t="shared" si="167"/>
        <v>286.24832221453289</v>
      </c>
      <c r="AG184" s="96">
        <f t="shared" si="168"/>
        <v>292.25953698103808</v>
      </c>
      <c r="AH184" s="96">
        <f t="shared" si="169"/>
        <v>298.39698725763986</v>
      </c>
      <c r="AI184" s="96">
        <f t="shared" si="170"/>
        <v>304.66332399005023</v>
      </c>
      <c r="AJ184" s="96">
        <f t="shared" si="171"/>
        <v>311.06125379384127</v>
      </c>
      <c r="AK184" s="96">
        <f t="shared" si="172"/>
        <v>317.5935401235119</v>
      </c>
      <c r="AL184" s="96">
        <f t="shared" si="173"/>
        <v>324.2630044661056</v>
      </c>
      <c r="AM184" s="96">
        <f t="shared" si="174"/>
        <v>331.07252755989379</v>
      </c>
      <c r="AN184" s="96">
        <f t="shared" si="175"/>
        <v>338.02505063865152</v>
      </c>
      <c r="AS184" s="96" t="s">
        <v>58</v>
      </c>
      <c r="AT184" s="96">
        <f t="shared" si="145"/>
        <v>33.93608038754325</v>
      </c>
      <c r="AU184" s="96">
        <f t="shared" si="146"/>
        <v>34.750546316844293</v>
      </c>
      <c r="AV184" s="96">
        <f t="shared" si="147"/>
        <v>35.480307789498021</v>
      </c>
      <c r="AW184" s="96">
        <f t="shared" si="148"/>
        <v>36.225394253077475</v>
      </c>
      <c r="AX184" s="96">
        <f t="shared" si="149"/>
        <v>36.986127532392096</v>
      </c>
      <c r="AY184" s="96">
        <f t="shared" si="150"/>
        <v>37.762836210572331</v>
      </c>
      <c r="AZ184" s="96">
        <f t="shared" si="151"/>
        <v>38.555855770994341</v>
      </c>
      <c r="BA184" s="96">
        <f t="shared" si="152"/>
        <v>39.365528742185219</v>
      </c>
      <c r="BB184" s="96">
        <f t="shared" si="153"/>
        <v>40.192204845771101</v>
      </c>
      <c r="BC184" s="96">
        <f t="shared" si="154"/>
        <v>41.036241147532294</v>
      </c>
      <c r="BE184" s="169">
        <f t="shared" si="155"/>
        <v>36.913763012705068</v>
      </c>
      <c r="BQ184" s="81" t="s">
        <v>42</v>
      </c>
      <c r="BR184" s="173">
        <f t="shared" si="176"/>
        <v>21.641363953565499</v>
      </c>
      <c r="BS184" s="173">
        <f t="shared" si="177"/>
        <v>22.160756688451073</v>
      </c>
      <c r="BT184" s="173">
        <f t="shared" si="178"/>
        <v>22.626132578908546</v>
      </c>
      <c r="BU184" s="173">
        <f t="shared" si="179"/>
        <v>23.101281363065624</v>
      </c>
      <c r="BV184" s="173">
        <f t="shared" si="180"/>
        <v>23.586408271689997</v>
      </c>
      <c r="BW184" s="173">
        <f t="shared" si="181"/>
        <v>24.08172284539549</v>
      </c>
      <c r="BX184" s="173">
        <f t="shared" si="182"/>
        <v>24.58743902514879</v>
      </c>
      <c r="BY184" s="173">
        <f t="shared" si="183"/>
        <v>25.10377524467691</v>
      </c>
      <c r="BZ184" s="173">
        <f t="shared" si="184"/>
        <v>25.630954524815127</v>
      </c>
      <c r="CA184" s="173">
        <f t="shared" si="185"/>
        <v>26.169204569836239</v>
      </c>
    </row>
    <row r="185" spans="16:79">
      <c r="P185" s="96" t="s">
        <v>58</v>
      </c>
      <c r="Q185" s="170">
        <v>150701.4</v>
      </c>
      <c r="R185" s="170">
        <v>154318.23360000001</v>
      </c>
      <c r="S185" s="170">
        <v>157558.91650560001</v>
      </c>
      <c r="T185" s="170">
        <v>160867.65375221756</v>
      </c>
      <c r="U185" s="170">
        <v>164245.87448101412</v>
      </c>
      <c r="V185" s="170">
        <v>167695.03784511541</v>
      </c>
      <c r="W185" s="170">
        <v>171216.63363986282</v>
      </c>
      <c r="X185" s="170">
        <v>174812.18294629993</v>
      </c>
      <c r="Y185" s="170">
        <v>178483.2387881722</v>
      </c>
      <c r="Z185" s="170">
        <v>182231.38680272378</v>
      </c>
      <c r="AB185" s="96" t="s">
        <v>58</v>
      </c>
      <c r="AC185" s="96">
        <v>361.25</v>
      </c>
      <c r="AE185" s="96">
        <f t="shared" si="166"/>
        <v>417.1665051903114</v>
      </c>
      <c r="AF185" s="96">
        <f t="shared" si="167"/>
        <v>427.17850131487893</v>
      </c>
      <c r="AG185" s="96">
        <f t="shared" si="168"/>
        <v>436.14924984249137</v>
      </c>
      <c r="AH185" s="96">
        <f t="shared" si="169"/>
        <v>445.30838408918356</v>
      </c>
      <c r="AI185" s="96">
        <f t="shared" si="170"/>
        <v>454.65986015505638</v>
      </c>
      <c r="AJ185" s="96">
        <f t="shared" si="171"/>
        <v>464.20771721831255</v>
      </c>
      <c r="AK185" s="96">
        <f t="shared" si="172"/>
        <v>473.9560792798971</v>
      </c>
      <c r="AL185" s="96">
        <f t="shared" si="173"/>
        <v>483.90915694477491</v>
      </c>
      <c r="AM185" s="96">
        <f t="shared" si="174"/>
        <v>494.07124924061509</v>
      </c>
      <c r="AN185" s="96">
        <f t="shared" si="175"/>
        <v>504.44674547466792</v>
      </c>
      <c r="AS185" s="96" t="s">
        <v>58</v>
      </c>
      <c r="AT185" s="96">
        <f t="shared" si="145"/>
        <v>50.644013730103801</v>
      </c>
      <c r="AU185" s="96">
        <f t="shared" si="146"/>
        <v>51.859470059626297</v>
      </c>
      <c r="AV185" s="96">
        <f t="shared" si="147"/>
        <v>52.94851893087845</v>
      </c>
      <c r="AW185" s="96">
        <f t="shared" si="148"/>
        <v>54.060437828426885</v>
      </c>
      <c r="AX185" s="96">
        <f t="shared" si="149"/>
        <v>55.195707022823839</v>
      </c>
      <c r="AY185" s="96">
        <f t="shared" si="150"/>
        <v>56.354816870303139</v>
      </c>
      <c r="AZ185" s="96">
        <f t="shared" si="151"/>
        <v>57.538268024579502</v>
      </c>
      <c r="BA185" s="96">
        <f t="shared" si="152"/>
        <v>58.746571653095671</v>
      </c>
      <c r="BB185" s="96">
        <f t="shared" si="153"/>
        <v>59.980249657810667</v>
      </c>
      <c r="BC185" s="96">
        <f t="shared" si="154"/>
        <v>61.239834900624686</v>
      </c>
      <c r="BE185" s="169">
        <f t="shared" si="155"/>
        <v>55.087714889178748</v>
      </c>
      <c r="BQ185" s="81" t="s">
        <v>44</v>
      </c>
      <c r="BR185" s="173">
        <f t="shared" si="176"/>
        <v>3.9818938690582963</v>
      </c>
      <c r="BS185" s="173">
        <f t="shared" si="177"/>
        <v>4.0774593219156952</v>
      </c>
      <c r="BT185" s="173">
        <f t="shared" si="178"/>
        <v>4.1630859676759249</v>
      </c>
      <c r="BU185" s="173">
        <f t="shared" si="179"/>
        <v>4.250510772997119</v>
      </c>
      <c r="BV185" s="173">
        <f t="shared" si="180"/>
        <v>4.3397714992300571</v>
      </c>
      <c r="BW185" s="173">
        <f t="shared" si="181"/>
        <v>4.430906700713888</v>
      </c>
      <c r="BX185" s="173">
        <f t="shared" si="182"/>
        <v>4.5239557414288791</v>
      </c>
      <c r="BY185" s="173">
        <f t="shared" si="183"/>
        <v>4.6189588119988851</v>
      </c>
      <c r="BZ185" s="173">
        <f t="shared" si="184"/>
        <v>4.7159569470508611</v>
      </c>
      <c r="CA185" s="173">
        <f t="shared" si="185"/>
        <v>4.814992042938929</v>
      </c>
    </row>
    <row r="186" spans="16:79">
      <c r="P186" s="96" t="s">
        <v>60</v>
      </c>
      <c r="Q186" s="170">
        <v>297170.52999999991</v>
      </c>
      <c r="R186" s="170">
        <v>304302.62271999993</v>
      </c>
      <c r="S186" s="170">
        <v>310692.97779711988</v>
      </c>
      <c r="T186" s="170">
        <v>317217.53033085936</v>
      </c>
      <c r="U186" s="170">
        <v>323879.0984678074</v>
      </c>
      <c r="V186" s="170">
        <v>330680.55953563133</v>
      </c>
      <c r="W186" s="170">
        <v>337624.85128587956</v>
      </c>
      <c r="X186" s="170">
        <v>344714.97316288302</v>
      </c>
      <c r="Y186" s="170">
        <v>351953.98759930348</v>
      </c>
      <c r="Z186" s="170">
        <v>359345.02133888879</v>
      </c>
      <c r="AB186" s="96" t="s">
        <v>60</v>
      </c>
      <c r="AC186" s="96">
        <v>2440</v>
      </c>
      <c r="AE186" s="96">
        <f t="shared" si="166"/>
        <v>121.7912008196721</v>
      </c>
      <c r="AF186" s="96">
        <f t="shared" si="167"/>
        <v>124.71418963934423</v>
      </c>
      <c r="AG186" s="96">
        <f t="shared" si="168"/>
        <v>127.33318762177043</v>
      </c>
      <c r="AH186" s="96">
        <f t="shared" si="169"/>
        <v>130.00718456182761</v>
      </c>
      <c r="AI186" s="96">
        <f t="shared" si="170"/>
        <v>132.73733543762597</v>
      </c>
      <c r="AJ186" s="96">
        <f t="shared" si="171"/>
        <v>135.52481948181611</v>
      </c>
      <c r="AK186" s="96">
        <f t="shared" si="172"/>
        <v>138.37084069093424</v>
      </c>
      <c r="AL186" s="96">
        <f t="shared" si="173"/>
        <v>141.27662834544387</v>
      </c>
      <c r="AM186" s="96">
        <f t="shared" si="174"/>
        <v>144.24343754069815</v>
      </c>
      <c r="AN186" s="96">
        <f t="shared" si="175"/>
        <v>147.2725497290528</v>
      </c>
      <c r="AS186" s="96" t="s">
        <v>60</v>
      </c>
      <c r="AT186" s="96">
        <f t="shared" si="145"/>
        <v>14.785451779508191</v>
      </c>
      <c r="AU186" s="96">
        <f t="shared" si="146"/>
        <v>15.140302622216389</v>
      </c>
      <c r="AV186" s="96">
        <f t="shared" si="147"/>
        <v>15.458248977282929</v>
      </c>
      <c r="AW186" s="96">
        <f t="shared" si="148"/>
        <v>15.782872205805871</v>
      </c>
      <c r="AX186" s="96">
        <f t="shared" si="149"/>
        <v>16.114312522127793</v>
      </c>
      <c r="AY186" s="96">
        <f t="shared" si="150"/>
        <v>16.452713085092476</v>
      </c>
      <c r="AZ186" s="96">
        <f t="shared" si="151"/>
        <v>16.798220059879416</v>
      </c>
      <c r="BA186" s="96">
        <f t="shared" si="152"/>
        <v>17.150982681136885</v>
      </c>
      <c r="BB186" s="96">
        <f t="shared" si="153"/>
        <v>17.511153317440755</v>
      </c>
      <c r="BC186" s="96">
        <f t="shared" si="154"/>
        <v>17.878887537107008</v>
      </c>
      <c r="BE186" s="169">
        <f t="shared" si="155"/>
        <v>16.082784363773573</v>
      </c>
      <c r="BQ186" s="81" t="s">
        <v>46</v>
      </c>
      <c r="BR186" s="173">
        <f t="shared" si="176"/>
        <v>0</v>
      </c>
      <c r="BS186" s="173">
        <f t="shared" si="177"/>
        <v>0</v>
      </c>
      <c r="BT186" s="173">
        <f t="shared" si="178"/>
        <v>0</v>
      </c>
      <c r="BU186" s="173">
        <f t="shared" si="179"/>
        <v>0</v>
      </c>
      <c r="BV186" s="173">
        <f t="shared" si="180"/>
        <v>0</v>
      </c>
      <c r="BW186" s="173">
        <f t="shared" si="181"/>
        <v>0</v>
      </c>
      <c r="BX186" s="173">
        <f t="shared" si="182"/>
        <v>0</v>
      </c>
      <c r="BY186" s="173">
        <f t="shared" si="183"/>
        <v>0</v>
      </c>
      <c r="BZ186" s="173">
        <f t="shared" si="184"/>
        <v>0</v>
      </c>
      <c r="CA186" s="173">
        <f t="shared" si="185"/>
        <v>0</v>
      </c>
    </row>
    <row r="187" spans="16:79">
      <c r="P187" s="96" t="s">
        <v>62</v>
      </c>
      <c r="Q187" s="170">
        <v>356727.28000000014</v>
      </c>
      <c r="R187" s="170">
        <v>365288.73472000018</v>
      </c>
      <c r="S187" s="170">
        <v>372959.79814912012</v>
      </c>
      <c r="T187" s="170">
        <v>380791.95391025161</v>
      </c>
      <c r="U187" s="170">
        <v>388788.58494236687</v>
      </c>
      <c r="V187" s="170">
        <v>396953.14522615657</v>
      </c>
      <c r="W187" s="170">
        <v>405289.16127590579</v>
      </c>
      <c r="X187" s="170">
        <v>413800.23366269976</v>
      </c>
      <c r="Y187" s="170">
        <v>422490.03856961644</v>
      </c>
      <c r="Z187" s="170">
        <v>431362.3293795783</v>
      </c>
      <c r="AB187" s="96" t="s">
        <v>62</v>
      </c>
      <c r="AC187" s="96">
        <v>2752</v>
      </c>
      <c r="AE187" s="96">
        <f t="shared" si="166"/>
        <v>129.62473837209308</v>
      </c>
      <c r="AF187" s="96">
        <f t="shared" si="167"/>
        <v>132.73573209302333</v>
      </c>
      <c r="AG187" s="96">
        <f t="shared" si="168"/>
        <v>135.52318246697678</v>
      </c>
      <c r="AH187" s="96">
        <f t="shared" si="169"/>
        <v>138.36916929878328</v>
      </c>
      <c r="AI187" s="96">
        <f t="shared" si="170"/>
        <v>141.27492185405774</v>
      </c>
      <c r="AJ187" s="96">
        <f t="shared" si="171"/>
        <v>144.24169521299294</v>
      </c>
      <c r="AK187" s="96">
        <f t="shared" si="172"/>
        <v>147.27077081246577</v>
      </c>
      <c r="AL187" s="96">
        <f t="shared" si="173"/>
        <v>150.36345699952753</v>
      </c>
      <c r="AM187" s="96">
        <f t="shared" si="174"/>
        <v>153.52108959651761</v>
      </c>
      <c r="AN187" s="96">
        <f t="shared" si="175"/>
        <v>156.74503247804444</v>
      </c>
      <c r="AS187" s="96" t="s">
        <v>62</v>
      </c>
      <c r="AT187" s="96">
        <f t="shared" si="145"/>
        <v>15.736443238372098</v>
      </c>
      <c r="AU187" s="96">
        <f t="shared" si="146"/>
        <v>16.114117876093033</v>
      </c>
      <c r="AV187" s="96">
        <f t="shared" si="147"/>
        <v>16.452514351490979</v>
      </c>
      <c r="AW187" s="96">
        <f t="shared" si="148"/>
        <v>16.798017152872291</v>
      </c>
      <c r="AX187" s="96">
        <f t="shared" si="149"/>
        <v>17.150775513082607</v>
      </c>
      <c r="AY187" s="96">
        <f t="shared" si="150"/>
        <v>17.510941798857342</v>
      </c>
      <c r="AZ187" s="96">
        <f t="shared" si="151"/>
        <v>17.878671576633344</v>
      </c>
      <c r="BA187" s="96">
        <f t="shared" si="152"/>
        <v>18.254123679742641</v>
      </c>
      <c r="BB187" s="96">
        <f t="shared" si="153"/>
        <v>18.637460277017237</v>
      </c>
      <c r="BC187" s="96">
        <f t="shared" si="154"/>
        <v>19.028846942834594</v>
      </c>
      <c r="BE187" s="169">
        <f t="shared" si="155"/>
        <v>17.1172194823471</v>
      </c>
      <c r="BQ187" s="81" t="s">
        <v>47</v>
      </c>
      <c r="BR187" s="173">
        <f t="shared" si="176"/>
        <v>39.968161424318019</v>
      </c>
      <c r="BS187" s="173">
        <f t="shared" si="177"/>
        <v>40.92739729850166</v>
      </c>
      <c r="BT187" s="173">
        <f t="shared" si="178"/>
        <v>41.786872641770195</v>
      </c>
      <c r="BU187" s="173">
        <f t="shared" si="179"/>
        <v>42.664396967247356</v>
      </c>
      <c r="BV187" s="173">
        <f t="shared" si="180"/>
        <v>43.560349303559548</v>
      </c>
      <c r="BW187" s="173">
        <f t="shared" si="181"/>
        <v>44.475116638934296</v>
      </c>
      <c r="BX187" s="173">
        <f t="shared" si="182"/>
        <v>45.409094088351914</v>
      </c>
      <c r="BY187" s="173">
        <f t="shared" si="183"/>
        <v>46.362685064207298</v>
      </c>
      <c r="BZ187" s="173">
        <f t="shared" si="184"/>
        <v>47.336301450555645</v>
      </c>
      <c r="CA187" s="173">
        <f t="shared" si="185"/>
        <v>48.330363781017297</v>
      </c>
    </row>
    <row r="188" spans="16:79">
      <c r="P188" s="96" t="s">
        <v>21</v>
      </c>
      <c r="Q188" s="170">
        <v>601494.74000000011</v>
      </c>
      <c r="R188" s="170">
        <v>615930.61376000009</v>
      </c>
      <c r="S188" s="170">
        <v>628865.15664896008</v>
      </c>
      <c r="T188" s="170">
        <v>642071.32493858819</v>
      </c>
      <c r="U188" s="170">
        <v>655554.8227622984</v>
      </c>
      <c r="V188" s="170">
        <v>669321.47404030664</v>
      </c>
      <c r="W188" s="170">
        <v>683377.22499515302</v>
      </c>
      <c r="X188" s="170">
        <v>697728.14672005118</v>
      </c>
      <c r="Y188" s="170">
        <v>712380.43780117226</v>
      </c>
      <c r="Z188" s="170">
        <v>727340.42699499673</v>
      </c>
      <c r="AB188" s="96" t="s">
        <v>21</v>
      </c>
      <c r="AC188" s="96">
        <v>207</v>
      </c>
      <c r="AE188" s="96">
        <f t="shared" si="166"/>
        <v>2905.7716908212565</v>
      </c>
      <c r="AF188" s="96">
        <f t="shared" si="167"/>
        <v>2975.5102114009665</v>
      </c>
      <c r="AG188" s="96">
        <f t="shared" si="168"/>
        <v>3037.9959258403869</v>
      </c>
      <c r="AH188" s="96">
        <f t="shared" si="169"/>
        <v>3101.7938402830346</v>
      </c>
      <c r="AI188" s="96">
        <f t="shared" si="170"/>
        <v>3166.9315109289778</v>
      </c>
      <c r="AJ188" s="96">
        <f t="shared" si="171"/>
        <v>3233.4370726584862</v>
      </c>
      <c r="AK188" s="96">
        <f t="shared" si="172"/>
        <v>3301.339251184314</v>
      </c>
      <c r="AL188" s="96">
        <f t="shared" si="173"/>
        <v>3370.6673754591843</v>
      </c>
      <c r="AM188" s="96">
        <f t="shared" si="174"/>
        <v>3441.4513903438274</v>
      </c>
      <c r="AN188" s="96">
        <f t="shared" si="175"/>
        <v>3513.721869541047</v>
      </c>
      <c r="AS188" s="96" t="s">
        <v>21</v>
      </c>
      <c r="AT188" s="96">
        <f t="shared" si="145"/>
        <v>352.76068326570049</v>
      </c>
      <c r="AU188" s="96">
        <f t="shared" si="146"/>
        <v>361.22693966407729</v>
      </c>
      <c r="AV188" s="96">
        <f t="shared" si="147"/>
        <v>368.81270539702297</v>
      </c>
      <c r="AW188" s="96">
        <f t="shared" si="148"/>
        <v>376.55777221036038</v>
      </c>
      <c r="AX188" s="96">
        <f t="shared" si="149"/>
        <v>384.46548542677789</v>
      </c>
      <c r="AY188" s="96">
        <f t="shared" si="150"/>
        <v>392.53926062074021</v>
      </c>
      <c r="AZ188" s="96">
        <f t="shared" si="151"/>
        <v>400.78258509377571</v>
      </c>
      <c r="BA188" s="96">
        <f t="shared" si="152"/>
        <v>409.19901938074497</v>
      </c>
      <c r="BB188" s="96">
        <f t="shared" si="153"/>
        <v>417.79219878774063</v>
      </c>
      <c r="BC188" s="96">
        <f t="shared" si="154"/>
        <v>426.56583496228308</v>
      </c>
      <c r="BE188" s="169">
        <f t="shared" si="155"/>
        <v>383.71326663434581</v>
      </c>
      <c r="BQ188" s="81" t="s">
        <v>48</v>
      </c>
      <c r="BR188" s="173">
        <f t="shared" si="176"/>
        <v>9.4708162435651655</v>
      </c>
      <c r="BS188" s="173">
        <f t="shared" si="177"/>
        <v>9.698115833410732</v>
      </c>
      <c r="BT188" s="173">
        <f t="shared" si="178"/>
        <v>9.9017762659123552</v>
      </c>
      <c r="BU188" s="173">
        <f t="shared" si="179"/>
        <v>10.109713567496515</v>
      </c>
      <c r="BV188" s="173">
        <f t="shared" si="180"/>
        <v>10.322017552413939</v>
      </c>
      <c r="BW188" s="173">
        <f t="shared" si="181"/>
        <v>10.538779921014632</v>
      </c>
      <c r="BX188" s="173">
        <f t="shared" si="182"/>
        <v>10.760094299355938</v>
      </c>
      <c r="BY188" s="173">
        <f t="shared" si="183"/>
        <v>10.986056279642412</v>
      </c>
      <c r="BZ188" s="173">
        <f t="shared" si="184"/>
        <v>11.216763461514903</v>
      </c>
      <c r="CA188" s="173">
        <f t="shared" si="185"/>
        <v>11.452315494206713</v>
      </c>
    </row>
    <row r="189" spans="16:79">
      <c r="P189" s="96" t="s">
        <v>21</v>
      </c>
      <c r="Q189" s="170">
        <v>118145.76</v>
      </c>
      <c r="R189" s="170">
        <v>120981.25824</v>
      </c>
      <c r="S189" s="170">
        <v>123521.86466303999</v>
      </c>
      <c r="T189" s="170">
        <v>126115.82382096382</v>
      </c>
      <c r="U189" s="170">
        <v>128764.25612120403</v>
      </c>
      <c r="V189" s="170">
        <v>131468.30549974932</v>
      </c>
      <c r="W189" s="170">
        <v>134229.13991524404</v>
      </c>
      <c r="X189" s="170">
        <v>137047.95185346415</v>
      </c>
      <c r="Y189" s="170">
        <v>139925.9588423869</v>
      </c>
      <c r="Z189" s="170">
        <v>142864.403978077</v>
      </c>
      <c r="AB189" s="96" t="s">
        <v>21</v>
      </c>
      <c r="AC189" s="96">
        <v>214</v>
      </c>
      <c r="AE189" s="96">
        <f t="shared" si="166"/>
        <v>552.08299065420556</v>
      </c>
      <c r="AF189" s="96">
        <f t="shared" si="167"/>
        <v>565.33298242990656</v>
      </c>
      <c r="AG189" s="96">
        <f t="shared" si="168"/>
        <v>577.20497506093454</v>
      </c>
      <c r="AH189" s="96">
        <f t="shared" si="169"/>
        <v>589.32627953721408</v>
      </c>
      <c r="AI189" s="96">
        <f t="shared" si="170"/>
        <v>601.70213140749547</v>
      </c>
      <c r="AJ189" s="96">
        <f t="shared" si="171"/>
        <v>614.33787616705285</v>
      </c>
      <c r="AK189" s="96">
        <f t="shared" si="172"/>
        <v>627.23897156656096</v>
      </c>
      <c r="AL189" s="96">
        <f t="shared" si="173"/>
        <v>640.41098996945868</v>
      </c>
      <c r="AM189" s="96">
        <f t="shared" si="174"/>
        <v>653.8596207588173</v>
      </c>
      <c r="AN189" s="96">
        <f t="shared" si="175"/>
        <v>667.59067279475232</v>
      </c>
      <c r="AS189" s="96" t="s">
        <v>21</v>
      </c>
      <c r="AT189" s="96">
        <f t="shared" si="145"/>
        <v>67.02287506542055</v>
      </c>
      <c r="AU189" s="96">
        <f t="shared" si="146"/>
        <v>68.631424066990647</v>
      </c>
      <c r="AV189" s="96">
        <f t="shared" si="147"/>
        <v>70.072683972397456</v>
      </c>
      <c r="AW189" s="96">
        <f t="shared" si="148"/>
        <v>71.54421033581778</v>
      </c>
      <c r="AX189" s="96">
        <f t="shared" si="149"/>
        <v>73.046638752869953</v>
      </c>
      <c r="AY189" s="96">
        <f t="shared" si="150"/>
        <v>74.58061816668021</v>
      </c>
      <c r="AZ189" s="96">
        <f t="shared" si="151"/>
        <v>76.146811148180504</v>
      </c>
      <c r="BA189" s="96">
        <f t="shared" si="152"/>
        <v>77.745894182292275</v>
      </c>
      <c r="BB189" s="96">
        <f t="shared" si="153"/>
        <v>79.378557960120418</v>
      </c>
      <c r="BC189" s="96">
        <f t="shared" si="154"/>
        <v>81.045507677282927</v>
      </c>
      <c r="BE189" s="169">
        <f t="shared" si="155"/>
        <v>72.903720710869621</v>
      </c>
      <c r="BQ189" s="81" t="s">
        <v>76</v>
      </c>
      <c r="BR189" s="173">
        <f t="shared" si="176"/>
        <v>0</v>
      </c>
      <c r="BS189" s="173">
        <f t="shared" si="177"/>
        <v>0</v>
      </c>
      <c r="BT189" s="173">
        <f t="shared" si="178"/>
        <v>0</v>
      </c>
      <c r="BU189" s="173">
        <f t="shared" si="179"/>
        <v>0</v>
      </c>
      <c r="BV189" s="173">
        <f t="shared" si="180"/>
        <v>0</v>
      </c>
      <c r="BW189" s="173">
        <f t="shared" si="181"/>
        <v>0</v>
      </c>
      <c r="BX189" s="173">
        <f t="shared" si="182"/>
        <v>0</v>
      </c>
      <c r="BY189" s="173">
        <f t="shared" si="183"/>
        <v>0</v>
      </c>
      <c r="BZ189" s="173">
        <f t="shared" si="184"/>
        <v>0</v>
      </c>
      <c r="CA189" s="173">
        <f t="shared" si="185"/>
        <v>0</v>
      </c>
    </row>
    <row r="190" spans="16:79">
      <c r="P190" s="96" t="s">
        <v>21</v>
      </c>
      <c r="Q190" s="170">
        <v>60917.15</v>
      </c>
      <c r="R190" s="170">
        <v>62379.161599999999</v>
      </c>
      <c r="S190" s="170">
        <v>63689.123993599998</v>
      </c>
      <c r="T190" s="170">
        <v>65026.595597465595</v>
      </c>
      <c r="U190" s="170">
        <v>66392.154105012363</v>
      </c>
      <c r="V190" s="170">
        <v>67786.389341217611</v>
      </c>
      <c r="W190" s="170">
        <v>69209.90351738318</v>
      </c>
      <c r="X190" s="170">
        <v>70663.311491248227</v>
      </c>
      <c r="Y190" s="170">
        <v>72147.24103256443</v>
      </c>
      <c r="Z190" s="170">
        <v>73662.333094248272</v>
      </c>
      <c r="AB190" s="96" t="s">
        <v>21</v>
      </c>
      <c r="AC190" s="96">
        <v>313</v>
      </c>
      <c r="AE190" s="96">
        <f t="shared" si="166"/>
        <v>194.62348242811501</v>
      </c>
      <c r="AF190" s="96">
        <f t="shared" si="167"/>
        <v>199.29444600638976</v>
      </c>
      <c r="AG190" s="96">
        <f t="shared" si="168"/>
        <v>203.47962937252396</v>
      </c>
      <c r="AH190" s="96">
        <f t="shared" si="169"/>
        <v>207.75270158934694</v>
      </c>
      <c r="AI190" s="96">
        <f t="shared" si="170"/>
        <v>212.1155083227232</v>
      </c>
      <c r="AJ190" s="96">
        <f t="shared" si="171"/>
        <v>216.56993399750036</v>
      </c>
      <c r="AK190" s="96">
        <f t="shared" si="172"/>
        <v>221.11790261144785</v>
      </c>
      <c r="AL190" s="96">
        <f t="shared" si="173"/>
        <v>225.76137856628827</v>
      </c>
      <c r="AM190" s="96">
        <f t="shared" si="174"/>
        <v>230.5023675161803</v>
      </c>
      <c r="AN190" s="96">
        <f t="shared" si="175"/>
        <v>235.34291723402004</v>
      </c>
      <c r="AS190" s="96" t="s">
        <v>21</v>
      </c>
      <c r="AT190" s="96">
        <f t="shared" si="145"/>
        <v>23.627290766773161</v>
      </c>
      <c r="AU190" s="96">
        <f t="shared" si="146"/>
        <v>24.194345745175717</v>
      </c>
      <c r="AV190" s="96">
        <f t="shared" si="147"/>
        <v>24.702427005824408</v>
      </c>
      <c r="AW190" s="96">
        <f t="shared" si="148"/>
        <v>25.221177972946716</v>
      </c>
      <c r="AX190" s="96">
        <f t="shared" si="149"/>
        <v>25.750822710378596</v>
      </c>
      <c r="AY190" s="96">
        <f t="shared" si="150"/>
        <v>26.291589987296543</v>
      </c>
      <c r="AZ190" s="96">
        <f t="shared" si="151"/>
        <v>26.843713377029768</v>
      </c>
      <c r="BA190" s="96">
        <f t="shared" si="152"/>
        <v>27.407431357947395</v>
      </c>
      <c r="BB190" s="96">
        <f t="shared" si="153"/>
        <v>27.982987416464287</v>
      </c>
      <c r="BC190" s="96">
        <f t="shared" si="154"/>
        <v>28.570630152210033</v>
      </c>
      <c r="BE190" s="169">
        <f t="shared" si="155"/>
        <v>25.70044041730532</v>
      </c>
      <c r="BQ190" s="81" t="s">
        <v>49</v>
      </c>
      <c r="BR190" s="173">
        <f t="shared" si="176"/>
        <v>37.211593362526919</v>
      </c>
      <c r="BS190" s="173">
        <f t="shared" si="177"/>
        <v>38.104671603227565</v>
      </c>
      <c r="BT190" s="173">
        <f t="shared" si="178"/>
        <v>38.904869706895347</v>
      </c>
      <c r="BU190" s="173">
        <f t="shared" si="179"/>
        <v>39.721871970740153</v>
      </c>
      <c r="BV190" s="173">
        <f t="shared" si="180"/>
        <v>40.556031282125687</v>
      </c>
      <c r="BW190" s="173">
        <f t="shared" si="181"/>
        <v>41.407707939050319</v>
      </c>
      <c r="BX190" s="173">
        <f t="shared" si="182"/>
        <v>42.277269805770374</v>
      </c>
      <c r="BY190" s="173">
        <f t="shared" si="183"/>
        <v>43.165092471691551</v>
      </c>
      <c r="BZ190" s="173">
        <f t="shared" si="184"/>
        <v>44.071559413597065</v>
      </c>
      <c r="CA190" s="173">
        <f t="shared" si="185"/>
        <v>44.997062161282592</v>
      </c>
    </row>
    <row r="191" spans="16:79">
      <c r="P191" s="96" t="s">
        <v>21</v>
      </c>
      <c r="Q191" s="170">
        <v>3172.1000000000013</v>
      </c>
      <c r="R191" s="170">
        <v>3248.2304000000013</v>
      </c>
      <c r="S191" s="170">
        <v>3316.4432384000015</v>
      </c>
      <c r="T191" s="170">
        <v>3386.0885464064008</v>
      </c>
      <c r="U191" s="170">
        <v>3457.1964058809349</v>
      </c>
      <c r="V191" s="170">
        <v>3529.7975304044344</v>
      </c>
      <c r="W191" s="170">
        <v>3603.9232785429272</v>
      </c>
      <c r="X191" s="170">
        <v>3679.6056673923281</v>
      </c>
      <c r="Y191" s="170">
        <v>3756.8773864075665</v>
      </c>
      <c r="Z191" s="170">
        <v>3835.7718115221251</v>
      </c>
      <c r="AB191" s="96" t="s">
        <v>21</v>
      </c>
      <c r="AC191" s="96">
        <v>400</v>
      </c>
      <c r="AE191" s="96">
        <f t="shared" si="166"/>
        <v>7.9302500000000036</v>
      </c>
      <c r="AF191" s="96">
        <f t="shared" si="167"/>
        <v>8.1205760000000033</v>
      </c>
      <c r="AG191" s="96">
        <f t="shared" si="168"/>
        <v>8.2911080960000039</v>
      </c>
      <c r="AH191" s="96">
        <f t="shared" si="169"/>
        <v>8.4652213660160029</v>
      </c>
      <c r="AI191" s="96">
        <f t="shared" si="170"/>
        <v>8.6429910147023374</v>
      </c>
      <c r="AJ191" s="96">
        <f t="shared" si="171"/>
        <v>8.8244938260110857</v>
      </c>
      <c r="AK191" s="96">
        <f t="shared" si="172"/>
        <v>9.0098081963573176</v>
      </c>
      <c r="AL191" s="96">
        <f t="shared" si="173"/>
        <v>9.1990141684808204</v>
      </c>
      <c r="AM191" s="96">
        <f t="shared" si="174"/>
        <v>9.3921934660189166</v>
      </c>
      <c r="AN191" s="96">
        <f t="shared" si="175"/>
        <v>9.5894295288053133</v>
      </c>
      <c r="AS191" s="96" t="s">
        <v>21</v>
      </c>
      <c r="AT191" s="96">
        <f t="shared" si="145"/>
        <v>0.96273235000000035</v>
      </c>
      <c r="AU191" s="96">
        <f t="shared" si="146"/>
        <v>0.98583792640000034</v>
      </c>
      <c r="AV191" s="96">
        <f t="shared" si="147"/>
        <v>1.0065405228544004</v>
      </c>
      <c r="AW191" s="96">
        <f t="shared" si="148"/>
        <v>1.0276778738343426</v>
      </c>
      <c r="AX191" s="96">
        <f t="shared" si="149"/>
        <v>1.0492591091848638</v>
      </c>
      <c r="AY191" s="96">
        <f t="shared" si="150"/>
        <v>1.0712935504777457</v>
      </c>
      <c r="AZ191" s="96">
        <f t="shared" si="151"/>
        <v>1.0937907150377784</v>
      </c>
      <c r="BA191" s="96">
        <f t="shared" si="152"/>
        <v>1.1167603200535716</v>
      </c>
      <c r="BB191" s="96">
        <f t="shared" si="153"/>
        <v>1.1402122867746964</v>
      </c>
      <c r="BC191" s="96">
        <f t="shared" si="154"/>
        <v>1.164156744796965</v>
      </c>
      <c r="BE191" s="169">
        <f t="shared" si="155"/>
        <v>1.0472062007965253</v>
      </c>
      <c r="BQ191" s="81" t="s">
        <v>50</v>
      </c>
      <c r="BR191" s="173">
        <f t="shared" si="176"/>
        <v>20.74504514503818</v>
      </c>
      <c r="BS191" s="173">
        <f t="shared" si="177"/>
        <v>21.242926228519099</v>
      </c>
      <c r="BT191" s="173">
        <f t="shared" si="178"/>
        <v>21.689027679317995</v>
      </c>
      <c r="BU191" s="173">
        <f t="shared" si="179"/>
        <v>22.14449726058367</v>
      </c>
      <c r="BV191" s="173">
        <f t="shared" si="180"/>
        <v>22.609531703055922</v>
      </c>
      <c r="BW191" s="173">
        <f t="shared" si="181"/>
        <v>23.084331868820097</v>
      </c>
      <c r="BX191" s="173">
        <f t="shared" si="182"/>
        <v>23.569102838065316</v>
      </c>
      <c r="BY191" s="173">
        <f t="shared" si="183"/>
        <v>24.064053997664686</v>
      </c>
      <c r="BZ191" s="173">
        <f t="shared" si="184"/>
        <v>24.569399131615643</v>
      </c>
      <c r="CA191" s="173">
        <f t="shared" si="185"/>
        <v>25.085356513379569</v>
      </c>
    </row>
    <row r="192" spans="16:79">
      <c r="P192" s="96" t="s">
        <v>23</v>
      </c>
      <c r="Q192" s="170">
        <v>133179.54999999999</v>
      </c>
      <c r="R192" s="170">
        <v>136375.85919999998</v>
      </c>
      <c r="S192" s="170">
        <v>139239.7522432</v>
      </c>
      <c r="T192" s="170">
        <v>142163.78704030716</v>
      </c>
      <c r="U192" s="170">
        <v>145149.22656815359</v>
      </c>
      <c r="V192" s="170">
        <v>148197.36032608483</v>
      </c>
      <c r="W192" s="170">
        <v>151309.50489293257</v>
      </c>
      <c r="X192" s="170">
        <v>154487.00449568414</v>
      </c>
      <c r="Y192" s="170">
        <v>157731.23159009349</v>
      </c>
      <c r="Z192" s="170">
        <v>161043.58745348544</v>
      </c>
      <c r="AB192" s="96" t="s">
        <v>23</v>
      </c>
      <c r="AC192" s="96">
        <v>1177.25</v>
      </c>
      <c r="AE192" s="96">
        <f t="shared" si="166"/>
        <v>113.12767041834783</v>
      </c>
      <c r="AF192" s="96">
        <f t="shared" si="167"/>
        <v>115.84273450838818</v>
      </c>
      <c r="AG192" s="96">
        <f t="shared" si="168"/>
        <v>118.27543193306434</v>
      </c>
      <c r="AH192" s="96">
        <f t="shared" si="169"/>
        <v>120.75921600365866</v>
      </c>
      <c r="AI192" s="96">
        <f t="shared" si="170"/>
        <v>123.29515953973548</v>
      </c>
      <c r="AJ192" s="96">
        <f t="shared" si="171"/>
        <v>125.88435789006994</v>
      </c>
      <c r="AK192" s="96">
        <f t="shared" si="172"/>
        <v>128.52792940576137</v>
      </c>
      <c r="AL192" s="96">
        <f t="shared" si="173"/>
        <v>131.22701592328235</v>
      </c>
      <c r="AM192" s="96">
        <f t="shared" si="174"/>
        <v>133.98278325767126</v>
      </c>
      <c r="AN192" s="96">
        <f t="shared" si="175"/>
        <v>136.79642170608236</v>
      </c>
      <c r="AS192" s="96" t="s">
        <v>23</v>
      </c>
      <c r="AT192" s="96">
        <f t="shared" si="145"/>
        <v>13.733699188787426</v>
      </c>
      <c r="AU192" s="96">
        <f t="shared" si="146"/>
        <v>14.063307969318323</v>
      </c>
      <c r="AV192" s="96">
        <f t="shared" si="147"/>
        <v>14.358637436674011</v>
      </c>
      <c r="AW192" s="96">
        <f t="shared" si="148"/>
        <v>14.660168822844161</v>
      </c>
      <c r="AX192" s="96">
        <f t="shared" si="149"/>
        <v>14.968032368123886</v>
      </c>
      <c r="AY192" s="96">
        <f t="shared" si="150"/>
        <v>15.28236104785449</v>
      </c>
      <c r="AZ192" s="96">
        <f t="shared" si="151"/>
        <v>15.60329062985943</v>
      </c>
      <c r="BA192" s="96">
        <f t="shared" si="152"/>
        <v>15.930959733086477</v>
      </c>
      <c r="BB192" s="96">
        <f t="shared" si="153"/>
        <v>16.26550988748129</v>
      </c>
      <c r="BC192" s="96">
        <f t="shared" si="154"/>
        <v>16.607085595118399</v>
      </c>
      <c r="BE192" s="169">
        <f t="shared" si="155"/>
        <v>14.938746942878147</v>
      </c>
      <c r="BQ192" s="81" t="s">
        <v>51</v>
      </c>
      <c r="BR192" s="173">
        <f t="shared" si="176"/>
        <v>0</v>
      </c>
      <c r="BS192" s="173">
        <f t="shared" si="177"/>
        <v>0</v>
      </c>
      <c r="BT192" s="173">
        <f t="shared" si="178"/>
        <v>0</v>
      </c>
      <c r="BU192" s="173">
        <f t="shared" si="179"/>
        <v>0</v>
      </c>
      <c r="BV192" s="173">
        <f t="shared" si="180"/>
        <v>0</v>
      </c>
      <c r="BW192" s="173">
        <f t="shared" si="181"/>
        <v>0</v>
      </c>
      <c r="BX192" s="173">
        <f t="shared" si="182"/>
        <v>0</v>
      </c>
      <c r="BY192" s="173">
        <f t="shared" si="183"/>
        <v>0</v>
      </c>
      <c r="BZ192" s="173">
        <f t="shared" si="184"/>
        <v>0</v>
      </c>
      <c r="CA192" s="173">
        <f t="shared" si="185"/>
        <v>0</v>
      </c>
    </row>
    <row r="193" spans="16:79">
      <c r="P193" s="96" t="s">
        <v>34</v>
      </c>
      <c r="Q193" s="170">
        <v>362835.8600000001</v>
      </c>
      <c r="R193" s="170">
        <v>371543.92064000008</v>
      </c>
      <c r="S193" s="170">
        <v>379346.34297344013</v>
      </c>
      <c r="T193" s="170">
        <v>387312.61617588229</v>
      </c>
      <c r="U193" s="170">
        <v>395446.18111557578</v>
      </c>
      <c r="V193" s="170">
        <v>403750.55091900285</v>
      </c>
      <c r="W193" s="170">
        <v>412229.31248830183</v>
      </c>
      <c r="X193" s="170">
        <v>420886.12805055617</v>
      </c>
      <c r="Y193" s="170">
        <v>429724.73673961777</v>
      </c>
      <c r="Z193" s="170">
        <v>438748.95621114969</v>
      </c>
      <c r="AB193" s="96" t="s">
        <v>34</v>
      </c>
      <c r="AC193" s="96">
        <v>1057.3999999999999</v>
      </c>
      <c r="AE193" s="96">
        <f t="shared" si="166"/>
        <v>343.13964441081913</v>
      </c>
      <c r="AF193" s="96">
        <f t="shared" si="167"/>
        <v>351.37499587667878</v>
      </c>
      <c r="AG193" s="96">
        <f t="shared" si="168"/>
        <v>358.75387079008908</v>
      </c>
      <c r="AH193" s="96">
        <f t="shared" si="169"/>
        <v>366.28770207668083</v>
      </c>
      <c r="AI193" s="96">
        <f t="shared" si="170"/>
        <v>373.97974382029111</v>
      </c>
      <c r="AJ193" s="96">
        <f t="shared" si="171"/>
        <v>381.83331844051719</v>
      </c>
      <c r="AK193" s="96">
        <f t="shared" si="172"/>
        <v>389.85181812776801</v>
      </c>
      <c r="AL193" s="96">
        <f t="shared" si="173"/>
        <v>398.03870630845114</v>
      </c>
      <c r="AM193" s="96">
        <f t="shared" si="174"/>
        <v>406.39751914092852</v>
      </c>
      <c r="AN193" s="96">
        <f t="shared" si="175"/>
        <v>414.93186704288797</v>
      </c>
      <c r="AS193" s="96" t="s">
        <v>34</v>
      </c>
      <c r="AT193" s="96">
        <f t="shared" si="145"/>
        <v>41.657152831473439</v>
      </c>
      <c r="AU193" s="96">
        <f t="shared" si="146"/>
        <v>42.656924499428804</v>
      </c>
      <c r="AV193" s="96">
        <f t="shared" si="147"/>
        <v>43.55271991391681</v>
      </c>
      <c r="AW193" s="96">
        <f t="shared" si="148"/>
        <v>44.467327032109054</v>
      </c>
      <c r="AX193" s="96">
        <f t="shared" si="149"/>
        <v>45.401140899783336</v>
      </c>
      <c r="AY193" s="96">
        <f t="shared" si="150"/>
        <v>46.354564858678785</v>
      </c>
      <c r="AZ193" s="96">
        <f t="shared" si="151"/>
        <v>47.328010720711035</v>
      </c>
      <c r="BA193" s="96">
        <f t="shared" si="152"/>
        <v>48.321898945845966</v>
      </c>
      <c r="BB193" s="96">
        <f t="shared" si="153"/>
        <v>49.336658823708717</v>
      </c>
      <c r="BC193" s="96">
        <f t="shared" si="154"/>
        <v>50.372728659006597</v>
      </c>
      <c r="BE193" s="169">
        <f t="shared" si="155"/>
        <v>45.312312142255827</v>
      </c>
      <c r="BQ193" s="81" t="s">
        <v>77</v>
      </c>
      <c r="BR193" s="173">
        <f t="shared" si="176"/>
        <v>0</v>
      </c>
      <c r="BS193" s="173">
        <f t="shared" si="177"/>
        <v>0</v>
      </c>
      <c r="BT193" s="173">
        <f t="shared" si="178"/>
        <v>0</v>
      </c>
      <c r="BU193" s="173">
        <f t="shared" si="179"/>
        <v>0</v>
      </c>
      <c r="BV193" s="173">
        <f t="shared" si="180"/>
        <v>0</v>
      </c>
      <c r="BW193" s="173">
        <f t="shared" si="181"/>
        <v>0</v>
      </c>
      <c r="BX193" s="173">
        <f t="shared" si="182"/>
        <v>0</v>
      </c>
      <c r="BY193" s="173">
        <f t="shared" si="183"/>
        <v>0</v>
      </c>
      <c r="BZ193" s="173">
        <f t="shared" si="184"/>
        <v>0</v>
      </c>
      <c r="CA193" s="173">
        <f t="shared" si="185"/>
        <v>0</v>
      </c>
    </row>
    <row r="194" spans="16:79">
      <c r="P194" s="96" t="s">
        <v>34</v>
      </c>
      <c r="Q194" s="170">
        <v>352996.51000000007</v>
      </c>
      <c r="R194" s="170">
        <v>361468.42624000006</v>
      </c>
      <c r="S194" s="170">
        <v>369059.26319104008</v>
      </c>
      <c r="T194" s="170">
        <v>376809.50771805184</v>
      </c>
      <c r="U194" s="170">
        <v>384722.50738013088</v>
      </c>
      <c r="V194" s="170">
        <v>392801.68003511365</v>
      </c>
      <c r="W194" s="170">
        <v>401050.51531585096</v>
      </c>
      <c r="X194" s="170">
        <v>409472.57613748382</v>
      </c>
      <c r="Y194" s="170">
        <v>418071.50023637095</v>
      </c>
      <c r="Z194" s="170">
        <v>426851.00174133462</v>
      </c>
      <c r="AB194" s="96" t="s">
        <v>34</v>
      </c>
      <c r="AC194" s="96">
        <v>1347.25</v>
      </c>
      <c r="AE194" s="96">
        <f t="shared" si="166"/>
        <v>262.01262571905738</v>
      </c>
      <c r="AF194" s="96">
        <f t="shared" si="167"/>
        <v>268.30092873631475</v>
      </c>
      <c r="AG194" s="96">
        <f t="shared" si="168"/>
        <v>273.93524823977737</v>
      </c>
      <c r="AH194" s="96">
        <f t="shared" si="169"/>
        <v>279.68788845281267</v>
      </c>
      <c r="AI194" s="96">
        <f t="shared" si="170"/>
        <v>285.5613341103217</v>
      </c>
      <c r="AJ194" s="96">
        <f t="shared" si="171"/>
        <v>291.55812212663847</v>
      </c>
      <c r="AK194" s="96">
        <f t="shared" si="172"/>
        <v>297.68084269129781</v>
      </c>
      <c r="AL194" s="96">
        <f t="shared" si="173"/>
        <v>303.93214038781502</v>
      </c>
      <c r="AM194" s="96">
        <f t="shared" si="174"/>
        <v>310.31471533595914</v>
      </c>
      <c r="AN194" s="96">
        <f t="shared" si="175"/>
        <v>316.83132435801417</v>
      </c>
      <c r="AS194" s="96" t="s">
        <v>34</v>
      </c>
      <c r="AT194" s="96">
        <f t="shared" si="145"/>
        <v>31.808332762293563</v>
      </c>
      <c r="AU194" s="96">
        <f t="shared" si="146"/>
        <v>32.571732748588609</v>
      </c>
      <c r="AV194" s="96">
        <f t="shared" si="147"/>
        <v>33.255739136308968</v>
      </c>
      <c r="AW194" s="96">
        <f t="shared" si="148"/>
        <v>33.954109658171454</v>
      </c>
      <c r="AX194" s="96">
        <f t="shared" si="149"/>
        <v>34.667145960993054</v>
      </c>
      <c r="AY194" s="96">
        <f t="shared" si="150"/>
        <v>35.395156026173908</v>
      </c>
      <c r="AZ194" s="96">
        <f t="shared" si="151"/>
        <v>36.138454302723552</v>
      </c>
      <c r="BA194" s="96">
        <f t="shared" si="152"/>
        <v>36.897361843080745</v>
      </c>
      <c r="BB194" s="96">
        <f t="shared" si="153"/>
        <v>37.672206441785434</v>
      </c>
      <c r="BC194" s="96">
        <f t="shared" si="154"/>
        <v>38.46332277706292</v>
      </c>
      <c r="BE194" s="169">
        <f t="shared" si="155"/>
        <v>34.59931860155428</v>
      </c>
      <c r="BQ194" s="81" t="s">
        <v>52</v>
      </c>
      <c r="BR194" s="173">
        <f t="shared" si="176"/>
        <v>36.800839957714047</v>
      </c>
      <c r="BS194" s="173">
        <f t="shared" si="177"/>
        <v>37.684060116699179</v>
      </c>
      <c r="BT194" s="173">
        <f t="shared" si="178"/>
        <v>38.475425379149861</v>
      </c>
      <c r="BU194" s="173">
        <f t="shared" si="179"/>
        <v>39.283409312112006</v>
      </c>
      <c r="BV194" s="173">
        <f t="shared" si="180"/>
        <v>40.108360907666345</v>
      </c>
      <c r="BW194" s="173">
        <f t="shared" si="181"/>
        <v>40.950636486727348</v>
      </c>
      <c r="BX194" s="173">
        <f t="shared" si="182"/>
        <v>41.810599852948613</v>
      </c>
      <c r="BY194" s="173">
        <f t="shared" si="183"/>
        <v>42.688622449860524</v>
      </c>
      <c r="BZ194" s="173">
        <f t="shared" si="184"/>
        <v>43.585083521307595</v>
      </c>
      <c r="CA194" s="173">
        <f t="shared" si="185"/>
        <v>44.500370275255044</v>
      </c>
    </row>
    <row r="195" spans="16:79">
      <c r="P195" s="96" t="s">
        <v>34</v>
      </c>
      <c r="Q195" s="170">
        <v>123370.85999999997</v>
      </c>
      <c r="R195" s="170">
        <v>126331.76063999998</v>
      </c>
      <c r="S195" s="170">
        <v>128984.72761343997</v>
      </c>
      <c r="T195" s="170">
        <v>131693.40689332219</v>
      </c>
      <c r="U195" s="170">
        <v>134458.96843808194</v>
      </c>
      <c r="V195" s="170">
        <v>137282.60677528166</v>
      </c>
      <c r="W195" s="170">
        <v>140165.54151756255</v>
      </c>
      <c r="X195" s="170">
        <v>143109.01788943136</v>
      </c>
      <c r="Y195" s="170">
        <v>146114.30726510941</v>
      </c>
      <c r="Z195" s="170">
        <v>149182.70771767668</v>
      </c>
      <c r="AB195" s="96" t="s">
        <v>34</v>
      </c>
      <c r="AC195" s="96">
        <v>814.3</v>
      </c>
      <c r="AE195" s="96">
        <f t="shared" si="166"/>
        <v>151.50541569446148</v>
      </c>
      <c r="AF195" s="96">
        <f t="shared" si="167"/>
        <v>155.14154567112857</v>
      </c>
      <c r="AG195" s="96">
        <f t="shared" si="168"/>
        <v>158.39951813022225</v>
      </c>
      <c r="AH195" s="96">
        <f t="shared" si="169"/>
        <v>161.72590801095689</v>
      </c>
      <c r="AI195" s="96">
        <f t="shared" si="170"/>
        <v>165.12215207918698</v>
      </c>
      <c r="AJ195" s="96">
        <f t="shared" si="171"/>
        <v>168.5897172728499</v>
      </c>
      <c r="AK195" s="96">
        <f t="shared" si="172"/>
        <v>172.13010133557972</v>
      </c>
      <c r="AL195" s="96">
        <f t="shared" si="173"/>
        <v>175.74483346362689</v>
      </c>
      <c r="AM195" s="96">
        <f t="shared" si="174"/>
        <v>179.43547496636305</v>
      </c>
      <c r="AN195" s="96">
        <f t="shared" si="175"/>
        <v>183.20361994065661</v>
      </c>
      <c r="AS195" s="96" t="s">
        <v>34</v>
      </c>
      <c r="AT195" s="96">
        <f t="shared" si="145"/>
        <v>18.392757465307621</v>
      </c>
      <c r="AU195" s="96">
        <f t="shared" si="146"/>
        <v>18.834183644475008</v>
      </c>
      <c r="AV195" s="96">
        <f t="shared" si="147"/>
        <v>19.229701501008979</v>
      </c>
      <c r="AW195" s="96">
        <f t="shared" si="148"/>
        <v>19.633525232530165</v>
      </c>
      <c r="AX195" s="96">
        <f t="shared" si="149"/>
        <v>20.045829262413299</v>
      </c>
      <c r="AY195" s="96">
        <f t="shared" si="150"/>
        <v>20.466791676923975</v>
      </c>
      <c r="AZ195" s="96">
        <f t="shared" si="151"/>
        <v>20.896594302139377</v>
      </c>
      <c r="BA195" s="96">
        <f t="shared" si="152"/>
        <v>21.335422782484304</v>
      </c>
      <c r="BB195" s="96">
        <f t="shared" si="153"/>
        <v>21.783466660916474</v>
      </c>
      <c r="BC195" s="96">
        <f t="shared" si="154"/>
        <v>22.240919460795713</v>
      </c>
      <c r="BE195" s="169">
        <f t="shared" si="155"/>
        <v>20.006608968127761</v>
      </c>
      <c r="BQ195" s="81" t="s">
        <v>78</v>
      </c>
      <c r="BR195" s="173">
        <f t="shared" si="176"/>
        <v>0</v>
      </c>
      <c r="BS195" s="173">
        <f t="shared" si="177"/>
        <v>0</v>
      </c>
      <c r="BT195" s="173">
        <f t="shared" si="178"/>
        <v>0</v>
      </c>
      <c r="BU195" s="173">
        <f t="shared" si="179"/>
        <v>0</v>
      </c>
      <c r="BV195" s="173">
        <f t="shared" si="180"/>
        <v>0</v>
      </c>
      <c r="BW195" s="173">
        <f t="shared" si="181"/>
        <v>0</v>
      </c>
      <c r="BX195" s="173">
        <f t="shared" si="182"/>
        <v>0</v>
      </c>
      <c r="BY195" s="173">
        <f t="shared" si="183"/>
        <v>0</v>
      </c>
      <c r="BZ195" s="173">
        <f t="shared" si="184"/>
        <v>0</v>
      </c>
      <c r="CA195" s="173">
        <f t="shared" si="185"/>
        <v>0</v>
      </c>
    </row>
    <row r="196" spans="16:79">
      <c r="P196" s="96" t="s">
        <v>47</v>
      </c>
      <c r="Q196" s="170">
        <v>78551.73000000001</v>
      </c>
      <c r="R196" s="170">
        <v>80436.971520000006</v>
      </c>
      <c r="S196" s="170">
        <v>82126.147921920012</v>
      </c>
      <c r="T196" s="170">
        <v>83850.797028280314</v>
      </c>
      <c r="U196" s="170">
        <v>85611.663765874197</v>
      </c>
      <c r="V196" s="170">
        <v>87409.508704957552</v>
      </c>
      <c r="W196" s="170">
        <v>89245.108387761647</v>
      </c>
      <c r="X196" s="170">
        <v>91119.255663904638</v>
      </c>
      <c r="Y196" s="170">
        <v>93032.760032846621</v>
      </c>
      <c r="Z196" s="170">
        <v>94986.447993536392</v>
      </c>
      <c r="AB196" s="96" t="s">
        <v>47</v>
      </c>
      <c r="AC196" s="96">
        <v>520.19999999999993</v>
      </c>
      <c r="AE196" s="96">
        <f t="shared" si="166"/>
        <v>151.00294117647061</v>
      </c>
      <c r="AF196" s="96">
        <f t="shared" si="167"/>
        <v>154.62701176470591</v>
      </c>
      <c r="AG196" s="96">
        <f t="shared" si="168"/>
        <v>157.87417901176474</v>
      </c>
      <c r="AH196" s="96">
        <f t="shared" si="169"/>
        <v>161.18953677101177</v>
      </c>
      <c r="AI196" s="96">
        <f t="shared" si="170"/>
        <v>164.574517043203</v>
      </c>
      <c r="AJ196" s="96">
        <f t="shared" si="171"/>
        <v>168.03058190111028</v>
      </c>
      <c r="AK196" s="96">
        <f t="shared" si="172"/>
        <v>171.55922412103357</v>
      </c>
      <c r="AL196" s="96">
        <f t="shared" si="173"/>
        <v>175.16196782757527</v>
      </c>
      <c r="AM196" s="96">
        <f t="shared" si="174"/>
        <v>178.84036915195432</v>
      </c>
      <c r="AN196" s="96">
        <f t="shared" si="175"/>
        <v>182.59601690414533</v>
      </c>
      <c r="AS196" s="96" t="s">
        <v>47</v>
      </c>
      <c r="AT196" s="96">
        <f t="shared" si="145"/>
        <v>18.331757058823531</v>
      </c>
      <c r="AU196" s="96">
        <f t="shared" si="146"/>
        <v>18.771719228235298</v>
      </c>
      <c r="AV196" s="96">
        <f t="shared" si="147"/>
        <v>19.165925332028237</v>
      </c>
      <c r="AW196" s="96">
        <f t="shared" si="148"/>
        <v>19.56840976400083</v>
      </c>
      <c r="AX196" s="96">
        <f t="shared" si="149"/>
        <v>19.979346369044844</v>
      </c>
      <c r="AY196" s="96">
        <f t="shared" si="150"/>
        <v>20.398912642794787</v>
      </c>
      <c r="AZ196" s="96">
        <f t="shared" si="151"/>
        <v>20.827289808293475</v>
      </c>
      <c r="BA196" s="96">
        <f t="shared" si="152"/>
        <v>21.264662894267637</v>
      </c>
      <c r="BB196" s="96">
        <f t="shared" si="153"/>
        <v>21.711220815047252</v>
      </c>
      <c r="BC196" s="96">
        <f t="shared" si="154"/>
        <v>22.16715645216324</v>
      </c>
      <c r="BE196" s="169">
        <f t="shared" si="155"/>
        <v>19.940256150627391</v>
      </c>
      <c r="BQ196" s="81" t="s">
        <v>79</v>
      </c>
      <c r="BR196" s="173">
        <f t="shared" si="176"/>
        <v>0</v>
      </c>
      <c r="BS196" s="173">
        <f t="shared" si="177"/>
        <v>0</v>
      </c>
      <c r="BT196" s="173">
        <f t="shared" si="178"/>
        <v>0</v>
      </c>
      <c r="BU196" s="173">
        <f t="shared" si="179"/>
        <v>0</v>
      </c>
      <c r="BV196" s="173">
        <f t="shared" si="180"/>
        <v>0</v>
      </c>
      <c r="BW196" s="173">
        <f t="shared" si="181"/>
        <v>0</v>
      </c>
      <c r="BX196" s="173">
        <f t="shared" si="182"/>
        <v>0</v>
      </c>
      <c r="BY196" s="173">
        <f t="shared" si="183"/>
        <v>0</v>
      </c>
      <c r="BZ196" s="173">
        <f t="shared" si="184"/>
        <v>0</v>
      </c>
      <c r="CA196" s="173">
        <f t="shared" si="185"/>
        <v>0</v>
      </c>
    </row>
    <row r="197" spans="16:79">
      <c r="P197" s="96" t="s">
        <v>47</v>
      </c>
      <c r="Q197" s="170">
        <v>176894.9</v>
      </c>
      <c r="R197" s="170">
        <v>181140.37760000001</v>
      </c>
      <c r="S197" s="170">
        <v>184944.3255296</v>
      </c>
      <c r="T197" s="170">
        <v>188828.15636572157</v>
      </c>
      <c r="U197" s="170">
        <v>192793.54764940168</v>
      </c>
      <c r="V197" s="170">
        <v>196842.21215003912</v>
      </c>
      <c r="W197" s="170">
        <v>200975.89860518993</v>
      </c>
      <c r="X197" s="170">
        <v>205196.3924758989</v>
      </c>
      <c r="Y197" s="170">
        <v>209505.51671789275</v>
      </c>
      <c r="Z197" s="170">
        <v>213905.13256896846</v>
      </c>
      <c r="AB197" s="96" t="s">
        <v>47</v>
      </c>
      <c r="AC197" s="96">
        <v>361.25</v>
      </c>
      <c r="AE197" s="96">
        <f t="shared" si="166"/>
        <v>489.67446366782008</v>
      </c>
      <c r="AF197" s="96">
        <f t="shared" si="167"/>
        <v>501.42665079584776</v>
      </c>
      <c r="AG197" s="96">
        <f t="shared" si="168"/>
        <v>511.95661046256055</v>
      </c>
      <c r="AH197" s="96">
        <f t="shared" si="169"/>
        <v>522.70769928227423</v>
      </c>
      <c r="AI197" s="96">
        <f t="shared" si="170"/>
        <v>533.68456096720183</v>
      </c>
      <c r="AJ197" s="96">
        <f t="shared" si="171"/>
        <v>544.89193674751311</v>
      </c>
      <c r="AK197" s="96">
        <f t="shared" si="172"/>
        <v>556.33466741921086</v>
      </c>
      <c r="AL197" s="96">
        <f t="shared" si="173"/>
        <v>568.01769543501428</v>
      </c>
      <c r="AM197" s="96">
        <f t="shared" si="174"/>
        <v>579.94606703914951</v>
      </c>
      <c r="AN197" s="96">
        <f t="shared" si="175"/>
        <v>592.12493444697157</v>
      </c>
      <c r="AS197" s="96" t="s">
        <v>47</v>
      </c>
      <c r="AT197" s="96">
        <f t="shared" si="145"/>
        <v>59.446479889273355</v>
      </c>
      <c r="AU197" s="96">
        <f t="shared" si="146"/>
        <v>60.873195406615913</v>
      </c>
      <c r="AV197" s="96">
        <f t="shared" si="147"/>
        <v>62.151532510154844</v>
      </c>
      <c r="AW197" s="96">
        <f t="shared" si="148"/>
        <v>63.45671469286809</v>
      </c>
      <c r="AX197" s="96">
        <f t="shared" si="149"/>
        <v>64.7893057014183</v>
      </c>
      <c r="AY197" s="96">
        <f t="shared" si="150"/>
        <v>66.149881121148084</v>
      </c>
      <c r="AZ197" s="96">
        <f t="shared" si="151"/>
        <v>67.539028624692193</v>
      </c>
      <c r="BA197" s="96">
        <f t="shared" si="152"/>
        <v>68.957348225810733</v>
      </c>
      <c r="BB197" s="96">
        <f t="shared" si="153"/>
        <v>70.405452538552751</v>
      </c>
      <c r="BC197" s="96">
        <f t="shared" si="154"/>
        <v>71.883967041862348</v>
      </c>
      <c r="BE197" s="169">
        <f t="shared" si="155"/>
        <v>64.662543390769983</v>
      </c>
      <c r="BQ197" s="81" t="s">
        <v>80</v>
      </c>
      <c r="BR197" s="173">
        <f t="shared" si="176"/>
        <v>0</v>
      </c>
      <c r="BS197" s="173">
        <f t="shared" si="177"/>
        <v>0</v>
      </c>
      <c r="BT197" s="173">
        <f t="shared" si="178"/>
        <v>0</v>
      </c>
      <c r="BU197" s="173">
        <f t="shared" si="179"/>
        <v>0</v>
      </c>
      <c r="BV197" s="173">
        <f t="shared" si="180"/>
        <v>0</v>
      </c>
      <c r="BW197" s="173">
        <f t="shared" si="181"/>
        <v>0</v>
      </c>
      <c r="BX197" s="173">
        <f t="shared" si="182"/>
        <v>0</v>
      </c>
      <c r="BY197" s="173">
        <f t="shared" si="183"/>
        <v>0</v>
      </c>
      <c r="BZ197" s="173">
        <f t="shared" si="184"/>
        <v>0</v>
      </c>
      <c r="CA197" s="173">
        <f t="shared" si="185"/>
        <v>0</v>
      </c>
    </row>
    <row r="198" spans="16:79">
      <c r="P198" s="96" t="s">
        <v>47</v>
      </c>
      <c r="Q198" s="170">
        <v>153683.79999999999</v>
      </c>
      <c r="R198" s="170">
        <v>157372.21119999999</v>
      </c>
      <c r="S198" s="170">
        <v>160677.02763519998</v>
      </c>
      <c r="T198" s="170">
        <v>164051.24521553915</v>
      </c>
      <c r="U198" s="170">
        <v>167496.32136506547</v>
      </c>
      <c r="V198" s="170">
        <v>171013.74411373184</v>
      </c>
      <c r="W198" s="170">
        <v>174605.03274012019</v>
      </c>
      <c r="X198" s="170">
        <v>178271.7384276627</v>
      </c>
      <c r="Y198" s="170">
        <v>182015.4449346436</v>
      </c>
      <c r="Z198" s="170">
        <v>185837.76927827107</v>
      </c>
      <c r="AB198" s="96" t="s">
        <v>47</v>
      </c>
      <c r="AC198" s="96">
        <v>361.25</v>
      </c>
      <c r="AE198" s="96">
        <f t="shared" si="166"/>
        <v>425.4222837370242</v>
      </c>
      <c r="AF198" s="96">
        <f t="shared" si="167"/>
        <v>435.63241854671276</v>
      </c>
      <c r="AG198" s="96">
        <f t="shared" si="168"/>
        <v>444.78069933619372</v>
      </c>
      <c r="AH198" s="96">
        <f t="shared" si="169"/>
        <v>454.12109402225371</v>
      </c>
      <c r="AI198" s="96">
        <f t="shared" si="170"/>
        <v>463.65763699672101</v>
      </c>
      <c r="AJ198" s="96">
        <f t="shared" si="171"/>
        <v>473.39444737365216</v>
      </c>
      <c r="AK198" s="96">
        <f t="shared" si="172"/>
        <v>483.33573076849882</v>
      </c>
      <c r="AL198" s="96">
        <f t="shared" si="173"/>
        <v>493.48578111463723</v>
      </c>
      <c r="AM198" s="96">
        <f t="shared" si="174"/>
        <v>503.84898251804458</v>
      </c>
      <c r="AN198" s="96">
        <f t="shared" si="175"/>
        <v>514.42981115092334</v>
      </c>
      <c r="AS198" s="96" t="s">
        <v>47</v>
      </c>
      <c r="AT198" s="96">
        <f t="shared" si="145"/>
        <v>51.646265245674734</v>
      </c>
      <c r="AU198" s="96">
        <f t="shared" si="146"/>
        <v>52.885775611570928</v>
      </c>
      <c r="AV198" s="96">
        <f t="shared" si="147"/>
        <v>53.996376899413917</v>
      </c>
      <c r="AW198" s="96">
        <f t="shared" si="148"/>
        <v>55.130300814301599</v>
      </c>
      <c r="AX198" s="96">
        <f t="shared" si="149"/>
        <v>56.288037131401929</v>
      </c>
      <c r="AY198" s="96">
        <f t="shared" si="150"/>
        <v>57.47008591116137</v>
      </c>
      <c r="AZ198" s="96">
        <f t="shared" si="151"/>
        <v>58.676957715295757</v>
      </c>
      <c r="BA198" s="96">
        <f t="shared" si="152"/>
        <v>59.909173827316955</v>
      </c>
      <c r="BB198" s="96">
        <f t="shared" si="153"/>
        <v>61.16726647769061</v>
      </c>
      <c r="BC198" s="96">
        <f t="shared" si="154"/>
        <v>62.451779073722093</v>
      </c>
      <c r="BE198" s="169">
        <f t="shared" si="155"/>
        <v>56.17790781960597</v>
      </c>
      <c r="BQ198" s="81" t="s">
        <v>53</v>
      </c>
      <c r="BR198" s="173">
        <f t="shared" si="176"/>
        <v>45.845569286089244</v>
      </c>
      <c r="BS198" s="173">
        <f t="shared" si="177"/>
        <v>46.94586294895538</v>
      </c>
      <c r="BT198" s="173">
        <f t="shared" si="178"/>
        <v>47.93172607088345</v>
      </c>
      <c r="BU198" s="173">
        <f t="shared" si="179"/>
        <v>48.938292318371992</v>
      </c>
      <c r="BV198" s="173">
        <f t="shared" si="180"/>
        <v>49.965996457057805</v>
      </c>
      <c r="BW198" s="173">
        <f t="shared" si="181"/>
        <v>51.015282382656004</v>
      </c>
      <c r="BX198" s="173">
        <f t="shared" si="182"/>
        <v>52.086603312691771</v>
      </c>
      <c r="BY198" s="173">
        <f t="shared" si="183"/>
        <v>53.180421982258302</v>
      </c>
      <c r="BZ198" s="173">
        <f t="shared" si="184"/>
        <v>54.297210843885722</v>
      </c>
      <c r="CA198" s="173">
        <f t="shared" si="185"/>
        <v>55.43745227160732</v>
      </c>
    </row>
    <row r="199" spans="16:79">
      <c r="P199" s="96" t="s">
        <v>48</v>
      </c>
      <c r="Q199" s="170">
        <v>15745.369999999999</v>
      </c>
      <c r="R199" s="170">
        <v>16123.258879999999</v>
      </c>
      <c r="S199" s="170">
        <v>16461.847316479998</v>
      </c>
      <c r="T199" s="170">
        <v>16807.546110126077</v>
      </c>
      <c r="U199" s="170">
        <v>17160.504578438722</v>
      </c>
      <c r="V199" s="170">
        <v>17520.875174585934</v>
      </c>
      <c r="W199" s="170">
        <v>17888.813553252236</v>
      </c>
      <c r="X199" s="170">
        <v>18264.478637870532</v>
      </c>
      <c r="Y199" s="170">
        <v>18648.032689265812</v>
      </c>
      <c r="Z199" s="170">
        <v>19039.64137574039</v>
      </c>
      <c r="AB199" s="96" t="s">
        <v>48</v>
      </c>
      <c r="AC199" s="96">
        <v>3388.1</v>
      </c>
      <c r="AE199" s="96">
        <f t="shared" si="166"/>
        <v>4.6472565744812728</v>
      </c>
      <c r="AF199" s="96">
        <f t="shared" si="167"/>
        <v>4.7587907322688228</v>
      </c>
      <c r="AG199" s="96">
        <f t="shared" si="168"/>
        <v>4.8587253376464679</v>
      </c>
      <c r="AH199" s="96">
        <f t="shared" si="169"/>
        <v>4.9607585697370435</v>
      </c>
      <c r="AI199" s="96">
        <f t="shared" si="170"/>
        <v>5.0649344997015211</v>
      </c>
      <c r="AJ199" s="96">
        <f t="shared" si="171"/>
        <v>5.1712981241952525</v>
      </c>
      <c r="AK199" s="96">
        <f t="shared" si="172"/>
        <v>5.2798953848033516</v>
      </c>
      <c r="AL199" s="96">
        <f t="shared" si="173"/>
        <v>5.3907731878842222</v>
      </c>
      <c r="AM199" s="96">
        <f t="shared" si="174"/>
        <v>5.5039794248297902</v>
      </c>
      <c r="AN199" s="96">
        <f t="shared" si="175"/>
        <v>5.6195629927512147</v>
      </c>
      <c r="AS199" s="96" t="s">
        <v>48</v>
      </c>
      <c r="AT199" s="96">
        <f t="shared" si="145"/>
        <v>0.56417694814202646</v>
      </c>
      <c r="AU199" s="96">
        <f t="shared" si="146"/>
        <v>0.577717194897435</v>
      </c>
      <c r="AV199" s="96">
        <f t="shared" si="147"/>
        <v>0.58984925599028115</v>
      </c>
      <c r="AW199" s="96">
        <f t="shared" si="148"/>
        <v>0.60223609036607706</v>
      </c>
      <c r="AX199" s="96">
        <f t="shared" si="149"/>
        <v>0.61488304826376461</v>
      </c>
      <c r="AY199" s="96">
        <f t="shared" si="150"/>
        <v>0.62779559227730364</v>
      </c>
      <c r="AZ199" s="96">
        <f t="shared" si="151"/>
        <v>0.6409792997151269</v>
      </c>
      <c r="BA199" s="96">
        <f t="shared" si="152"/>
        <v>0.65443986500914453</v>
      </c>
      <c r="BB199" s="96">
        <f t="shared" si="153"/>
        <v>0.66818310217433652</v>
      </c>
      <c r="BC199" s="96">
        <f t="shared" si="154"/>
        <v>0.68221494731999743</v>
      </c>
      <c r="BE199" s="169">
        <f t="shared" si="155"/>
        <v>0.61368001027574204</v>
      </c>
      <c r="BQ199" s="81" t="s">
        <v>81</v>
      </c>
      <c r="BR199" s="173">
        <f t="shared" si="176"/>
        <v>0</v>
      </c>
      <c r="BS199" s="173">
        <f t="shared" si="177"/>
        <v>0</v>
      </c>
      <c r="BT199" s="173">
        <f t="shared" si="178"/>
        <v>0</v>
      </c>
      <c r="BU199" s="173">
        <f t="shared" si="179"/>
        <v>0</v>
      </c>
      <c r="BV199" s="173">
        <f t="shared" si="180"/>
        <v>0</v>
      </c>
      <c r="BW199" s="173">
        <f t="shared" si="181"/>
        <v>0</v>
      </c>
      <c r="BX199" s="173">
        <f t="shared" si="182"/>
        <v>0</v>
      </c>
      <c r="BY199" s="173">
        <f t="shared" si="183"/>
        <v>0</v>
      </c>
      <c r="BZ199" s="173">
        <f t="shared" si="184"/>
        <v>0</v>
      </c>
      <c r="CA199" s="173">
        <f t="shared" si="185"/>
        <v>0</v>
      </c>
    </row>
    <row r="200" spans="16:79">
      <c r="P200" s="96" t="s">
        <v>48</v>
      </c>
      <c r="Q200" s="170">
        <v>242300.71000000002</v>
      </c>
      <c r="R200" s="170">
        <v>248115.92704000004</v>
      </c>
      <c r="S200" s="170">
        <v>253326.36150784002</v>
      </c>
      <c r="T200" s="170">
        <v>258646.21509950462</v>
      </c>
      <c r="U200" s="170">
        <v>264077.78561659419</v>
      </c>
      <c r="V200" s="170">
        <v>269623.41911454266</v>
      </c>
      <c r="W200" s="170">
        <v>275285.51091594802</v>
      </c>
      <c r="X200" s="170">
        <v>281066.5066451829</v>
      </c>
      <c r="Y200" s="170">
        <v>286968.90328473173</v>
      </c>
      <c r="Z200" s="170">
        <v>292995.25025371101</v>
      </c>
      <c r="AB200" s="96" t="s">
        <v>48</v>
      </c>
      <c r="AC200" s="96">
        <v>532.1</v>
      </c>
      <c r="AE200" s="96">
        <f t="shared" si="166"/>
        <v>455.36686713023869</v>
      </c>
      <c r="AF200" s="96">
        <f t="shared" si="167"/>
        <v>466.29567194136445</v>
      </c>
      <c r="AG200" s="96">
        <f t="shared" si="168"/>
        <v>476.08788105213307</v>
      </c>
      <c r="AH200" s="96">
        <f t="shared" si="169"/>
        <v>486.08572655422779</v>
      </c>
      <c r="AI200" s="96">
        <f t="shared" si="170"/>
        <v>496.29352681186651</v>
      </c>
      <c r="AJ200" s="96">
        <f t="shared" si="171"/>
        <v>506.71569087491571</v>
      </c>
      <c r="AK200" s="96">
        <f t="shared" si="172"/>
        <v>517.35672038328892</v>
      </c>
      <c r="AL200" s="96">
        <f t="shared" si="173"/>
        <v>528.22121151133786</v>
      </c>
      <c r="AM200" s="96">
        <f t="shared" si="174"/>
        <v>539.31385695307597</v>
      </c>
      <c r="AN200" s="96">
        <f t="shared" si="175"/>
        <v>550.63944794909037</v>
      </c>
      <c r="AS200" s="96" t="s">
        <v>48</v>
      </c>
      <c r="AT200" s="96">
        <f t="shared" si="145"/>
        <v>55.281537669610977</v>
      </c>
      <c r="AU200" s="96">
        <f t="shared" si="146"/>
        <v>56.60829457368164</v>
      </c>
      <c r="AV200" s="96">
        <f t="shared" si="147"/>
        <v>57.797068759728951</v>
      </c>
      <c r="AW200" s="96">
        <f t="shared" si="148"/>
        <v>59.01080720368325</v>
      </c>
      <c r="AX200" s="96">
        <f t="shared" si="149"/>
        <v>60.250034154960595</v>
      </c>
      <c r="AY200" s="96">
        <f t="shared" si="150"/>
        <v>61.515284872214764</v>
      </c>
      <c r="AZ200" s="96">
        <f t="shared" si="151"/>
        <v>62.807105854531272</v>
      </c>
      <c r="BA200" s="96">
        <f t="shared" si="152"/>
        <v>64.126055077476408</v>
      </c>
      <c r="BB200" s="96">
        <f t="shared" si="153"/>
        <v>65.472702234103423</v>
      </c>
      <c r="BC200" s="96">
        <f t="shared" si="154"/>
        <v>66.847628981019568</v>
      </c>
      <c r="BE200" s="169">
        <f t="shared" si="155"/>
        <v>60.132153071602168</v>
      </c>
      <c r="BQ200" s="81" t="s">
        <v>55</v>
      </c>
      <c r="BR200" s="173">
        <f t="shared" si="176"/>
        <v>0</v>
      </c>
      <c r="BS200" s="173">
        <f t="shared" si="177"/>
        <v>0</v>
      </c>
      <c r="BT200" s="173">
        <f t="shared" si="178"/>
        <v>0</v>
      </c>
      <c r="BU200" s="173">
        <f t="shared" si="179"/>
        <v>0</v>
      </c>
      <c r="BV200" s="173">
        <f t="shared" si="180"/>
        <v>0</v>
      </c>
      <c r="BW200" s="173">
        <f t="shared" si="181"/>
        <v>0</v>
      </c>
      <c r="BX200" s="173">
        <f t="shared" si="182"/>
        <v>0</v>
      </c>
      <c r="BY200" s="173">
        <f t="shared" si="183"/>
        <v>0</v>
      </c>
      <c r="BZ200" s="173">
        <f t="shared" si="184"/>
        <v>0</v>
      </c>
      <c r="CA200" s="173">
        <f t="shared" si="185"/>
        <v>0</v>
      </c>
    </row>
    <row r="201" spans="16:79">
      <c r="P201" s="96" t="s">
        <v>48</v>
      </c>
      <c r="Q201" s="170">
        <v>39180.85</v>
      </c>
      <c r="R201" s="170">
        <v>40121.190399999999</v>
      </c>
      <c r="S201" s="170">
        <v>40963.7353984</v>
      </c>
      <c r="T201" s="170">
        <v>41823.97384176639</v>
      </c>
      <c r="U201" s="170">
        <v>42702.277292443483</v>
      </c>
      <c r="V201" s="170">
        <v>43599.025115584795</v>
      </c>
      <c r="W201" s="170">
        <v>44514.60464301207</v>
      </c>
      <c r="X201" s="170">
        <v>45449.411340515318</v>
      </c>
      <c r="Y201" s="170">
        <v>46403.848978666138</v>
      </c>
      <c r="Z201" s="170">
        <v>47378.329807218113</v>
      </c>
      <c r="AB201" s="96" t="s">
        <v>48</v>
      </c>
      <c r="AC201" s="96">
        <v>361.25</v>
      </c>
      <c r="AE201" s="96">
        <f t="shared" si="166"/>
        <v>108.45910034602076</v>
      </c>
      <c r="AF201" s="96">
        <f t="shared" si="167"/>
        <v>111.06211875432525</v>
      </c>
      <c r="AG201" s="96">
        <f t="shared" si="168"/>
        <v>113.39442324816609</v>
      </c>
      <c r="AH201" s="96">
        <f t="shared" si="169"/>
        <v>115.77570613637755</v>
      </c>
      <c r="AI201" s="96">
        <f t="shared" si="170"/>
        <v>118.20699596524148</v>
      </c>
      <c r="AJ201" s="96">
        <f t="shared" si="171"/>
        <v>120.68934288051155</v>
      </c>
      <c r="AK201" s="96">
        <f t="shared" si="172"/>
        <v>123.22381908100228</v>
      </c>
      <c r="AL201" s="96">
        <f t="shared" si="173"/>
        <v>125.8115192817033</v>
      </c>
      <c r="AM201" s="96">
        <f t="shared" si="174"/>
        <v>128.45356118661905</v>
      </c>
      <c r="AN201" s="96">
        <f t="shared" si="175"/>
        <v>131.15108597153804</v>
      </c>
      <c r="AS201" s="96" t="s">
        <v>48</v>
      </c>
      <c r="AT201" s="96">
        <f t="shared" si="145"/>
        <v>13.166934782006919</v>
      </c>
      <c r="AU201" s="96">
        <f t="shared" si="146"/>
        <v>13.482941216775085</v>
      </c>
      <c r="AV201" s="96">
        <f t="shared" si="147"/>
        <v>13.766082982327363</v>
      </c>
      <c r="AW201" s="96">
        <f t="shared" si="148"/>
        <v>14.055170724956234</v>
      </c>
      <c r="AX201" s="96">
        <f t="shared" si="149"/>
        <v>14.350329310180314</v>
      </c>
      <c r="AY201" s="96">
        <f t="shared" si="150"/>
        <v>14.651686225694101</v>
      </c>
      <c r="AZ201" s="96">
        <f t="shared" si="151"/>
        <v>14.959371636433676</v>
      </c>
      <c r="BA201" s="96">
        <f t="shared" si="152"/>
        <v>15.27351844079878</v>
      </c>
      <c r="BB201" s="96">
        <f t="shared" si="153"/>
        <v>15.594262328055553</v>
      </c>
      <c r="BC201" s="96">
        <f t="shared" si="154"/>
        <v>15.921741836944717</v>
      </c>
      <c r="BE201" s="169">
        <f t="shared" si="155"/>
        <v>14.322252440360067</v>
      </c>
      <c r="BQ201" s="81" t="s">
        <v>56</v>
      </c>
      <c r="BR201" s="173">
        <f t="shared" si="176"/>
        <v>10.968738318181815</v>
      </c>
      <c r="BS201" s="173">
        <f t="shared" si="177"/>
        <v>11.23198803781818</v>
      </c>
      <c r="BT201" s="173">
        <f t="shared" si="178"/>
        <v>11.46785978661236</v>
      </c>
      <c r="BU201" s="173">
        <f t="shared" si="179"/>
        <v>11.708684842131218</v>
      </c>
      <c r="BV201" s="173">
        <f t="shared" si="180"/>
        <v>11.954567223815973</v>
      </c>
      <c r="BW201" s="173">
        <f t="shared" si="181"/>
        <v>12.205613135516108</v>
      </c>
      <c r="BX201" s="173">
        <f t="shared" si="182"/>
        <v>12.461931011361942</v>
      </c>
      <c r="BY201" s="173">
        <f t="shared" si="183"/>
        <v>12.723631562600545</v>
      </c>
      <c r="BZ201" s="173">
        <f t="shared" si="184"/>
        <v>12.990827825415154</v>
      </c>
      <c r="CA201" s="173">
        <f t="shared" si="185"/>
        <v>13.26363520974887</v>
      </c>
    </row>
    <row r="202" spans="16:79">
      <c r="P202" s="96" t="s">
        <v>48</v>
      </c>
      <c r="Q202" s="170">
        <v>64965.48</v>
      </c>
      <c r="R202" s="170">
        <v>66524.651519999999</v>
      </c>
      <c r="S202" s="170">
        <v>67921.669201919998</v>
      </c>
      <c r="T202" s="170">
        <v>69348.024255160315</v>
      </c>
      <c r="U202" s="170">
        <v>70804.332764518665</v>
      </c>
      <c r="V202" s="170">
        <v>72291.223752573555</v>
      </c>
      <c r="W202" s="170">
        <v>73809.3394513776</v>
      </c>
      <c r="X202" s="170">
        <v>75359.335579856517</v>
      </c>
      <c r="Y202" s="170">
        <v>76941.881627033494</v>
      </c>
      <c r="Z202" s="170">
        <v>78557.661141201184</v>
      </c>
      <c r="AB202" s="96" t="s">
        <v>48</v>
      </c>
      <c r="AC202" s="96">
        <v>361.25</v>
      </c>
      <c r="AE202" s="96">
        <f t="shared" si="166"/>
        <v>179.83523875432527</v>
      </c>
      <c r="AF202" s="96">
        <f t="shared" si="167"/>
        <v>184.15128448442906</v>
      </c>
      <c r="AG202" s="96">
        <f t="shared" si="168"/>
        <v>188.01846145860208</v>
      </c>
      <c r="AH202" s="96">
        <f t="shared" si="169"/>
        <v>191.9668491492327</v>
      </c>
      <c r="AI202" s="96">
        <f t="shared" si="170"/>
        <v>195.99815298136656</v>
      </c>
      <c r="AJ202" s="96">
        <f t="shared" si="171"/>
        <v>200.11411419397524</v>
      </c>
      <c r="AK202" s="96">
        <f t="shared" si="172"/>
        <v>204.31651059204873</v>
      </c>
      <c r="AL202" s="96">
        <f t="shared" si="173"/>
        <v>208.6071573144817</v>
      </c>
      <c r="AM202" s="96">
        <f t="shared" si="174"/>
        <v>212.98790761808579</v>
      </c>
      <c r="AN202" s="96">
        <f t="shared" si="175"/>
        <v>217.46065367806557</v>
      </c>
      <c r="AS202" s="96" t="s">
        <v>48</v>
      </c>
      <c r="AT202" s="96">
        <f t="shared" ref="AT202:AT242" si="186">AE202*$AQ$5</f>
        <v>21.831997984775086</v>
      </c>
      <c r="AU202" s="96">
        <f t="shared" ref="AU202:AU242" si="187">AF202*$AQ$5</f>
        <v>22.355965936409685</v>
      </c>
      <c r="AV202" s="96">
        <f t="shared" ref="AV202:AV242" si="188">AG202*$AQ$5</f>
        <v>22.825441221074289</v>
      </c>
      <c r="AW202" s="96">
        <f t="shared" ref="AW202:AW242" si="189">AH202*$AQ$5</f>
        <v>23.304775486716849</v>
      </c>
      <c r="AX202" s="96">
        <f t="shared" ref="AX202:AX242" si="190">AI202*$AQ$5</f>
        <v>23.794175771937898</v>
      </c>
      <c r="AY202" s="96">
        <f t="shared" ref="AY202:AY242" si="191">AJ202*$AQ$5</f>
        <v>24.293853463148594</v>
      </c>
      <c r="AZ202" s="96">
        <f t="shared" ref="AZ202:AZ242" si="192">AK202*$AQ$5</f>
        <v>24.804024385874715</v>
      </c>
      <c r="BA202" s="96">
        <f t="shared" ref="BA202:BA242" si="193">AL202*$AQ$5</f>
        <v>25.324908897978077</v>
      </c>
      <c r="BB202" s="96">
        <f t="shared" ref="BB202:BB242" si="194">AM202*$AQ$5</f>
        <v>25.856731984835612</v>
      </c>
      <c r="BC202" s="96">
        <f t="shared" ref="BC202:BC242" si="195">AN202*$AQ$5</f>
        <v>26.399723356517161</v>
      </c>
      <c r="BE202" s="169">
        <f t="shared" si="155"/>
        <v>23.747621720028103</v>
      </c>
      <c r="BQ202" s="81" t="s">
        <v>58</v>
      </c>
      <c r="BR202" s="173">
        <f t="shared" si="176"/>
        <v>19.2675241957505</v>
      </c>
      <c r="BS202" s="173">
        <f t="shared" si="177"/>
        <v>19.729944776448519</v>
      </c>
      <c r="BT202" s="173">
        <f t="shared" si="178"/>
        <v>20.144273616753935</v>
      </c>
      <c r="BU202" s="173">
        <f t="shared" si="179"/>
        <v>20.567303362705765</v>
      </c>
      <c r="BV202" s="173">
        <f t="shared" si="180"/>
        <v>20.999216733322584</v>
      </c>
      <c r="BW202" s="173">
        <f t="shared" si="181"/>
        <v>21.440200284722351</v>
      </c>
      <c r="BX202" s="173">
        <f t="shared" si="182"/>
        <v>21.890444490701526</v>
      </c>
      <c r="BY202" s="173">
        <f t="shared" si="183"/>
        <v>22.350143825006253</v>
      </c>
      <c r="BZ202" s="173">
        <f t="shared" si="184"/>
        <v>22.819496845331379</v>
      </c>
      <c r="CA202" s="173">
        <f t="shared" si="185"/>
        <v>23.298706279083337</v>
      </c>
    </row>
    <row r="203" spans="16:79">
      <c r="P203" s="96" t="s">
        <v>31</v>
      </c>
      <c r="Q203" s="170">
        <v>211245.99</v>
      </c>
      <c r="R203" s="170">
        <v>216315.89376000001</v>
      </c>
      <c r="S203" s="170">
        <v>220858.52752896</v>
      </c>
      <c r="T203" s="170">
        <v>225496.55660706811</v>
      </c>
      <c r="U203" s="170">
        <v>230231.98429581651</v>
      </c>
      <c r="V203" s="170">
        <v>235066.85596602867</v>
      </c>
      <c r="W203" s="170">
        <v>240003.25994131522</v>
      </c>
      <c r="X203" s="170">
        <v>245043.32840008283</v>
      </c>
      <c r="Y203" s="170">
        <v>250189.23829648455</v>
      </c>
      <c r="Z203" s="170">
        <v>255443.21230071067</v>
      </c>
      <c r="AB203" s="96" t="s">
        <v>31</v>
      </c>
      <c r="AC203" s="96">
        <v>117.3</v>
      </c>
      <c r="AE203" s="96">
        <f t="shared" si="166"/>
        <v>1800.9035805626597</v>
      </c>
      <c r="AF203" s="96">
        <f t="shared" si="167"/>
        <v>1844.1252664961637</v>
      </c>
      <c r="AG203" s="96">
        <f t="shared" si="168"/>
        <v>1882.8518970925832</v>
      </c>
      <c r="AH203" s="96">
        <f t="shared" si="169"/>
        <v>1922.3917869315269</v>
      </c>
      <c r="AI203" s="96">
        <f t="shared" si="170"/>
        <v>1962.7620144570888</v>
      </c>
      <c r="AJ203" s="96">
        <f t="shared" si="171"/>
        <v>2003.9800167606877</v>
      </c>
      <c r="AK203" s="96">
        <f t="shared" si="172"/>
        <v>2046.0635971126617</v>
      </c>
      <c r="AL203" s="96">
        <f t="shared" si="173"/>
        <v>2089.0309326520278</v>
      </c>
      <c r="AM203" s="96">
        <f t="shared" si="174"/>
        <v>2132.9005822377198</v>
      </c>
      <c r="AN203" s="96">
        <f t="shared" si="175"/>
        <v>2177.6914944647115</v>
      </c>
      <c r="AS203" s="96" t="s">
        <v>31</v>
      </c>
      <c r="AT203" s="96">
        <f t="shared" si="186"/>
        <v>218.62969468030687</v>
      </c>
      <c r="AU203" s="96">
        <f t="shared" si="187"/>
        <v>223.87680735263427</v>
      </c>
      <c r="AV203" s="96">
        <f t="shared" si="188"/>
        <v>228.57822030703957</v>
      </c>
      <c r="AW203" s="96">
        <f t="shared" si="189"/>
        <v>233.37836293348735</v>
      </c>
      <c r="AX203" s="96">
        <f t="shared" si="190"/>
        <v>238.27930855509055</v>
      </c>
      <c r="AY203" s="96">
        <f t="shared" si="191"/>
        <v>243.28317403474747</v>
      </c>
      <c r="AZ203" s="96">
        <f t="shared" si="192"/>
        <v>248.39212068947711</v>
      </c>
      <c r="BA203" s="96">
        <f t="shared" si="193"/>
        <v>253.60835522395615</v>
      </c>
      <c r="BB203" s="96">
        <f t="shared" si="194"/>
        <v>258.93413068365919</v>
      </c>
      <c r="BC203" s="96">
        <f t="shared" si="195"/>
        <v>264.37174742801596</v>
      </c>
      <c r="BE203" s="169">
        <f t="shared" ref="BE203:BE266" si="196">NPV($BE$1,AT203:BC203)/((1-(1+$BE$1)^-10)/$BE$1)</f>
        <v>237.81310760718523</v>
      </c>
      <c r="BQ203" s="81" t="s">
        <v>60</v>
      </c>
      <c r="BR203" s="173">
        <f t="shared" si="176"/>
        <v>14.785451779508191</v>
      </c>
      <c r="BS203" s="173">
        <f t="shared" si="177"/>
        <v>15.140302622216389</v>
      </c>
      <c r="BT203" s="173">
        <f t="shared" si="178"/>
        <v>15.458248977282929</v>
      </c>
      <c r="BU203" s="173">
        <f t="shared" si="179"/>
        <v>15.782872205805871</v>
      </c>
      <c r="BV203" s="173">
        <f t="shared" si="180"/>
        <v>16.114312522127793</v>
      </c>
      <c r="BW203" s="173">
        <f t="shared" si="181"/>
        <v>16.452713085092476</v>
      </c>
      <c r="BX203" s="173">
        <f t="shared" si="182"/>
        <v>16.798220059879416</v>
      </c>
      <c r="BY203" s="173">
        <f t="shared" si="183"/>
        <v>17.150982681136885</v>
      </c>
      <c r="BZ203" s="173">
        <f t="shared" si="184"/>
        <v>17.511153317440755</v>
      </c>
      <c r="CA203" s="173">
        <f t="shared" si="185"/>
        <v>17.878887537107008</v>
      </c>
    </row>
    <row r="204" spans="16:79">
      <c r="P204" s="96" t="s">
        <v>31</v>
      </c>
      <c r="Q204" s="170">
        <v>121066.93999999999</v>
      </c>
      <c r="R204" s="170">
        <v>123972.54655999999</v>
      </c>
      <c r="S204" s="170">
        <v>126575.97003775998</v>
      </c>
      <c r="T204" s="170">
        <v>129234.06540855292</v>
      </c>
      <c r="U204" s="170">
        <v>131947.98078213251</v>
      </c>
      <c r="V204" s="170">
        <v>134718.88837855731</v>
      </c>
      <c r="W204" s="170">
        <v>137547.985034507</v>
      </c>
      <c r="X204" s="170">
        <v>140436.49272023162</v>
      </c>
      <c r="Y204" s="170">
        <v>143385.65906735646</v>
      </c>
      <c r="Z204" s="170">
        <v>146396.75790777092</v>
      </c>
      <c r="AB204" s="96" t="s">
        <v>31</v>
      </c>
      <c r="AC204" s="96">
        <v>1348.95</v>
      </c>
      <c r="AE204" s="96">
        <f t="shared" si="166"/>
        <v>89.749019607843124</v>
      </c>
      <c r="AF204" s="96">
        <f t="shared" si="167"/>
        <v>91.902996078431357</v>
      </c>
      <c r="AG204" s="96">
        <f t="shared" si="168"/>
        <v>93.832958996078418</v>
      </c>
      <c r="AH204" s="96">
        <f t="shared" si="169"/>
        <v>95.803451134996052</v>
      </c>
      <c r="AI204" s="96">
        <f t="shared" si="170"/>
        <v>97.815323608830951</v>
      </c>
      <c r="AJ204" s="96">
        <f t="shared" si="171"/>
        <v>99.869445404616414</v>
      </c>
      <c r="AK204" s="96">
        <f t="shared" si="172"/>
        <v>101.96670375811334</v>
      </c>
      <c r="AL204" s="96">
        <f t="shared" si="173"/>
        <v>104.10800453703371</v>
      </c>
      <c r="AM204" s="96">
        <f t="shared" si="174"/>
        <v>106.29427263231139</v>
      </c>
      <c r="AN204" s="96">
        <f t="shared" si="175"/>
        <v>108.52645235758992</v>
      </c>
      <c r="AS204" s="96" t="s">
        <v>31</v>
      </c>
      <c r="AT204" s="96">
        <f t="shared" si="186"/>
        <v>10.895530980392154</v>
      </c>
      <c r="AU204" s="96">
        <f t="shared" si="187"/>
        <v>11.157023723921567</v>
      </c>
      <c r="AV204" s="96">
        <f t="shared" si="188"/>
        <v>11.391321222123919</v>
      </c>
      <c r="AW204" s="96">
        <f t="shared" si="189"/>
        <v>11.630538967788521</v>
      </c>
      <c r="AX204" s="96">
        <f t="shared" si="190"/>
        <v>11.874780286112077</v>
      </c>
      <c r="AY204" s="96">
        <f t="shared" si="191"/>
        <v>12.124150672120432</v>
      </c>
      <c r="AZ204" s="96">
        <f t="shared" si="192"/>
        <v>12.378757836234959</v>
      </c>
      <c r="BA204" s="96">
        <f t="shared" si="193"/>
        <v>12.638711750795892</v>
      </c>
      <c r="BB204" s="96">
        <f t="shared" si="194"/>
        <v>12.904124697562603</v>
      </c>
      <c r="BC204" s="96">
        <f t="shared" si="195"/>
        <v>13.175111316211416</v>
      </c>
      <c r="BE204" s="169">
        <f t="shared" si="196"/>
        <v>11.851546905676642</v>
      </c>
      <c r="BQ204" s="81" t="s">
        <v>82</v>
      </c>
      <c r="BR204" s="173">
        <f t="shared" si="176"/>
        <v>0</v>
      </c>
      <c r="BS204" s="173">
        <f t="shared" si="177"/>
        <v>0</v>
      </c>
      <c r="BT204" s="173">
        <f t="shared" si="178"/>
        <v>0</v>
      </c>
      <c r="BU204" s="173">
        <f t="shared" si="179"/>
        <v>0</v>
      </c>
      <c r="BV204" s="173">
        <f t="shared" si="180"/>
        <v>0</v>
      </c>
      <c r="BW204" s="173">
        <f t="shared" si="181"/>
        <v>0</v>
      </c>
      <c r="BX204" s="173">
        <f t="shared" si="182"/>
        <v>0</v>
      </c>
      <c r="BY204" s="173">
        <f t="shared" si="183"/>
        <v>0</v>
      </c>
      <c r="BZ204" s="173">
        <f t="shared" si="184"/>
        <v>0</v>
      </c>
      <c r="CA204" s="173">
        <f t="shared" si="185"/>
        <v>0</v>
      </c>
    </row>
    <row r="205" spans="16:79">
      <c r="P205" s="96" t="s">
        <v>31</v>
      </c>
      <c r="Q205" s="170">
        <v>84639.049999999988</v>
      </c>
      <c r="R205" s="170">
        <v>86670.387199999983</v>
      </c>
      <c r="S205" s="170">
        <v>88490.465331199986</v>
      </c>
      <c r="T205" s="170">
        <v>90348.76510315518</v>
      </c>
      <c r="U205" s="170">
        <v>92246.089170321415</v>
      </c>
      <c r="V205" s="170">
        <v>94183.257042898171</v>
      </c>
      <c r="W205" s="170">
        <v>96161.105440799016</v>
      </c>
      <c r="X205" s="170">
        <v>98180.488655055786</v>
      </c>
      <c r="Y205" s="170">
        <v>100242.27891681195</v>
      </c>
      <c r="Z205" s="170">
        <v>102347.36677406498</v>
      </c>
      <c r="AB205" s="96" t="s">
        <v>31</v>
      </c>
      <c r="AC205" s="96">
        <v>739.5</v>
      </c>
      <c r="AE205" s="96">
        <f t="shared" si="166"/>
        <v>114.45442866801892</v>
      </c>
      <c r="AF205" s="96">
        <f t="shared" si="167"/>
        <v>117.20133495605137</v>
      </c>
      <c r="AG205" s="96">
        <f t="shared" si="168"/>
        <v>119.66256299012845</v>
      </c>
      <c r="AH205" s="96">
        <f t="shared" si="169"/>
        <v>122.17547681292113</v>
      </c>
      <c r="AI205" s="96">
        <f t="shared" si="170"/>
        <v>124.74116182599245</v>
      </c>
      <c r="AJ205" s="96">
        <f t="shared" si="171"/>
        <v>127.36072622433829</v>
      </c>
      <c r="AK205" s="96">
        <f t="shared" si="172"/>
        <v>130.03530147504938</v>
      </c>
      <c r="AL205" s="96">
        <f t="shared" si="173"/>
        <v>132.76604280602541</v>
      </c>
      <c r="AM205" s="96">
        <f t="shared" si="174"/>
        <v>135.55412970495192</v>
      </c>
      <c r="AN205" s="96">
        <f t="shared" si="175"/>
        <v>138.4007664287559</v>
      </c>
      <c r="AS205" s="96" t="s">
        <v>31</v>
      </c>
      <c r="AT205" s="96">
        <f t="shared" si="186"/>
        <v>13.894767640297497</v>
      </c>
      <c r="AU205" s="96">
        <f t="shared" si="187"/>
        <v>14.228242063664636</v>
      </c>
      <c r="AV205" s="96">
        <f t="shared" si="188"/>
        <v>14.527035147001593</v>
      </c>
      <c r="AW205" s="96">
        <f t="shared" si="189"/>
        <v>14.832102885088625</v>
      </c>
      <c r="AX205" s="96">
        <f t="shared" si="190"/>
        <v>15.143577045675483</v>
      </c>
      <c r="AY205" s="96">
        <f t="shared" si="191"/>
        <v>15.461592163634668</v>
      </c>
      <c r="AZ205" s="96">
        <f t="shared" si="192"/>
        <v>15.786285599070993</v>
      </c>
      <c r="BA205" s="96">
        <f t="shared" si="193"/>
        <v>16.117797596651485</v>
      </c>
      <c r="BB205" s="96">
        <f t="shared" si="194"/>
        <v>16.456271346181161</v>
      </c>
      <c r="BC205" s="96">
        <f t="shared" si="195"/>
        <v>16.801853044450965</v>
      </c>
      <c r="BE205" s="169">
        <f t="shared" si="196"/>
        <v>15.113948161756934</v>
      </c>
      <c r="BQ205" s="81" t="s">
        <v>83</v>
      </c>
      <c r="BR205" s="173">
        <f t="shared" si="176"/>
        <v>0</v>
      </c>
      <c r="BS205" s="173">
        <f t="shared" si="177"/>
        <v>0</v>
      </c>
      <c r="BT205" s="173">
        <f t="shared" si="178"/>
        <v>0</v>
      </c>
      <c r="BU205" s="173">
        <f t="shared" si="179"/>
        <v>0</v>
      </c>
      <c r="BV205" s="173">
        <f t="shared" si="180"/>
        <v>0</v>
      </c>
      <c r="BW205" s="173">
        <f t="shared" si="181"/>
        <v>0</v>
      </c>
      <c r="BX205" s="173">
        <f t="shared" si="182"/>
        <v>0</v>
      </c>
      <c r="BY205" s="173">
        <f t="shared" si="183"/>
        <v>0</v>
      </c>
      <c r="BZ205" s="173">
        <f t="shared" si="184"/>
        <v>0</v>
      </c>
      <c r="CA205" s="173">
        <f t="shared" si="185"/>
        <v>0</v>
      </c>
    </row>
    <row r="206" spans="16:79">
      <c r="P206" s="96" t="s">
        <v>32</v>
      </c>
      <c r="Q206" s="170">
        <v>4854.6800000000012</v>
      </c>
      <c r="R206" s="170">
        <v>4971.192320000001</v>
      </c>
      <c r="S206" s="170">
        <v>5075.5873587200012</v>
      </c>
      <c r="T206" s="170">
        <v>5182.1746932531205</v>
      </c>
      <c r="U206" s="170">
        <v>5291.0003618114351</v>
      </c>
      <c r="V206" s="170">
        <v>5402.1113694094756</v>
      </c>
      <c r="W206" s="170">
        <v>5515.555708167074</v>
      </c>
      <c r="X206" s="170">
        <v>5631.3823780385819</v>
      </c>
      <c r="Y206" s="170">
        <v>5749.6414079773913</v>
      </c>
      <c r="Z206" s="170">
        <v>5870.3838775449158</v>
      </c>
      <c r="AB206" s="96" t="s">
        <v>32</v>
      </c>
      <c r="AC206" s="96">
        <v>727.6</v>
      </c>
      <c r="AE206" s="96">
        <f t="shared" si="166"/>
        <v>6.6721825178669611</v>
      </c>
      <c r="AF206" s="96">
        <f t="shared" si="167"/>
        <v>6.8323148982957678</v>
      </c>
      <c r="AG206" s="96">
        <f t="shared" si="168"/>
        <v>6.9757935111599796</v>
      </c>
      <c r="AH206" s="96">
        <f t="shared" si="169"/>
        <v>7.1222851748943379</v>
      </c>
      <c r="AI206" s="96">
        <f t="shared" si="170"/>
        <v>7.2718531635671182</v>
      </c>
      <c r="AJ206" s="96">
        <f t="shared" si="171"/>
        <v>7.424562080002028</v>
      </c>
      <c r="AK206" s="96">
        <f t="shared" si="172"/>
        <v>7.5804778836820699</v>
      </c>
      <c r="AL206" s="96">
        <f t="shared" si="173"/>
        <v>7.739667919239392</v>
      </c>
      <c r="AM206" s="96">
        <f t="shared" si="174"/>
        <v>7.9022009455434183</v>
      </c>
      <c r="AN206" s="96">
        <f t="shared" si="175"/>
        <v>8.0681471653998287</v>
      </c>
      <c r="AS206" s="96" t="s">
        <v>32</v>
      </c>
      <c r="AT206" s="96">
        <f t="shared" si="186"/>
        <v>0.81000295766904906</v>
      </c>
      <c r="AU206" s="96">
        <f t="shared" si="187"/>
        <v>0.82944302865310615</v>
      </c>
      <c r="AV206" s="96">
        <f t="shared" si="188"/>
        <v>0.84686133225482152</v>
      </c>
      <c r="AW206" s="96">
        <f t="shared" si="189"/>
        <v>0.86464542023217261</v>
      </c>
      <c r="AX206" s="96">
        <f t="shared" si="190"/>
        <v>0.88280297405704811</v>
      </c>
      <c r="AY206" s="96">
        <f t="shared" si="191"/>
        <v>0.9013418365122462</v>
      </c>
      <c r="AZ206" s="96">
        <f t="shared" si="192"/>
        <v>0.92027001507900319</v>
      </c>
      <c r="BA206" s="96">
        <f t="shared" si="193"/>
        <v>0.93959568539566218</v>
      </c>
      <c r="BB206" s="96">
        <f t="shared" si="194"/>
        <v>0.95932719478897099</v>
      </c>
      <c r="BC206" s="96">
        <f t="shared" si="195"/>
        <v>0.9794730658795392</v>
      </c>
      <c r="BE206" s="169">
        <f t="shared" si="196"/>
        <v>0.8810757423229344</v>
      </c>
      <c r="BQ206" s="81" t="s">
        <v>84</v>
      </c>
      <c r="BR206" s="173">
        <f t="shared" si="176"/>
        <v>0</v>
      </c>
      <c r="BS206" s="173">
        <f t="shared" si="177"/>
        <v>0</v>
      </c>
      <c r="BT206" s="173">
        <f t="shared" si="178"/>
        <v>0</v>
      </c>
      <c r="BU206" s="173">
        <f t="shared" si="179"/>
        <v>0</v>
      </c>
      <c r="BV206" s="173">
        <f t="shared" si="180"/>
        <v>0</v>
      </c>
      <c r="BW206" s="173">
        <f t="shared" si="181"/>
        <v>0</v>
      </c>
      <c r="BX206" s="173">
        <f t="shared" si="182"/>
        <v>0</v>
      </c>
      <c r="BY206" s="173">
        <f t="shared" si="183"/>
        <v>0</v>
      </c>
      <c r="BZ206" s="173">
        <f t="shared" si="184"/>
        <v>0</v>
      </c>
      <c r="CA206" s="173">
        <f t="shared" si="185"/>
        <v>0</v>
      </c>
    </row>
    <row r="207" spans="16:79">
      <c r="P207" s="96" t="s">
        <v>32</v>
      </c>
      <c r="Q207" s="170">
        <v>17744.020000000004</v>
      </c>
      <c r="R207" s="170">
        <v>18169.876480000006</v>
      </c>
      <c r="S207" s="170">
        <v>18551.443886080004</v>
      </c>
      <c r="T207" s="170">
        <v>18941.024207687682</v>
      </c>
      <c r="U207" s="170">
        <v>19338.785716049118</v>
      </c>
      <c r="V207" s="170">
        <v>19744.900216086153</v>
      </c>
      <c r="W207" s="170">
        <v>20159.543120623959</v>
      </c>
      <c r="X207" s="170">
        <v>20582.893526157059</v>
      </c>
      <c r="Y207" s="170">
        <v>21015.134290206355</v>
      </c>
      <c r="Z207" s="170">
        <v>21456.452110300685</v>
      </c>
      <c r="AB207" s="96" t="s">
        <v>32</v>
      </c>
      <c r="AC207" s="96">
        <v>113.05</v>
      </c>
      <c r="AE207" s="96">
        <f t="shared" si="166"/>
        <v>156.9572755417957</v>
      </c>
      <c r="AF207" s="96">
        <f t="shared" si="167"/>
        <v>160.72425015479882</v>
      </c>
      <c r="AG207" s="96">
        <f t="shared" si="168"/>
        <v>164.09945940804957</v>
      </c>
      <c r="AH207" s="96">
        <f t="shared" si="169"/>
        <v>167.54554805561861</v>
      </c>
      <c r="AI207" s="96">
        <f t="shared" si="170"/>
        <v>171.06400456478656</v>
      </c>
      <c r="AJ207" s="96">
        <f t="shared" si="171"/>
        <v>174.6563486606471</v>
      </c>
      <c r="AK207" s="96">
        <f t="shared" si="172"/>
        <v>178.32413198252064</v>
      </c>
      <c r="AL207" s="96">
        <f t="shared" si="173"/>
        <v>182.06893875415355</v>
      </c>
      <c r="AM207" s="96">
        <f t="shared" si="174"/>
        <v>185.89238646799078</v>
      </c>
      <c r="AN207" s="96">
        <f t="shared" si="175"/>
        <v>189.79612658381853</v>
      </c>
      <c r="AS207" s="96" t="s">
        <v>32</v>
      </c>
      <c r="AT207" s="96">
        <f t="shared" si="186"/>
        <v>19.054613250773997</v>
      </c>
      <c r="AU207" s="96">
        <f t="shared" si="187"/>
        <v>19.511923968792576</v>
      </c>
      <c r="AV207" s="96">
        <f t="shared" si="188"/>
        <v>19.921674372137218</v>
      </c>
      <c r="AW207" s="96">
        <f t="shared" si="189"/>
        <v>20.340029533952098</v>
      </c>
      <c r="AX207" s="96">
        <f t="shared" si="190"/>
        <v>20.767170154165086</v>
      </c>
      <c r="AY207" s="96">
        <f t="shared" si="191"/>
        <v>21.203280727402557</v>
      </c>
      <c r="AZ207" s="96">
        <f t="shared" si="192"/>
        <v>21.648549622678004</v>
      </c>
      <c r="BA207" s="96">
        <f t="shared" si="193"/>
        <v>22.103169164754238</v>
      </c>
      <c r="BB207" s="96">
        <f t="shared" si="194"/>
        <v>22.567335717214078</v>
      </c>
      <c r="BC207" s="96">
        <f t="shared" si="195"/>
        <v>23.04124976727557</v>
      </c>
      <c r="BE207" s="169">
        <f t="shared" si="196"/>
        <v>20.726538533778523</v>
      </c>
      <c r="BQ207" s="81" t="s">
        <v>62</v>
      </c>
      <c r="BR207" s="173">
        <f t="shared" si="176"/>
        <v>15.736443238372098</v>
      </c>
      <c r="BS207" s="173">
        <f t="shared" si="177"/>
        <v>16.114117876093033</v>
      </c>
      <c r="BT207" s="173">
        <f t="shared" si="178"/>
        <v>16.452514351490979</v>
      </c>
      <c r="BU207" s="173">
        <f t="shared" si="179"/>
        <v>16.798017152872291</v>
      </c>
      <c r="BV207" s="173">
        <f t="shared" si="180"/>
        <v>17.150775513082607</v>
      </c>
      <c r="BW207" s="173">
        <f t="shared" si="181"/>
        <v>17.510941798857342</v>
      </c>
      <c r="BX207" s="173">
        <f t="shared" si="182"/>
        <v>17.878671576633344</v>
      </c>
      <c r="BY207" s="173">
        <f t="shared" si="183"/>
        <v>18.254123679742641</v>
      </c>
      <c r="BZ207" s="173">
        <f t="shared" si="184"/>
        <v>18.637460277017237</v>
      </c>
      <c r="CA207" s="173">
        <f t="shared" si="185"/>
        <v>19.028846942834594</v>
      </c>
    </row>
    <row r="208" spans="16:79">
      <c r="P208" s="96" t="s">
        <v>63</v>
      </c>
      <c r="Q208" s="170">
        <v>324683.18</v>
      </c>
      <c r="R208" s="170">
        <v>332475.57631999999</v>
      </c>
      <c r="S208" s="170">
        <v>339457.56342272001</v>
      </c>
      <c r="T208" s="170">
        <v>346586.17225459707</v>
      </c>
      <c r="U208" s="170">
        <v>353864.48187194357</v>
      </c>
      <c r="V208" s="170">
        <v>361295.63599125436</v>
      </c>
      <c r="W208" s="170">
        <v>368882.84434707067</v>
      </c>
      <c r="X208" s="170">
        <v>376629.38407835911</v>
      </c>
      <c r="Y208" s="170">
        <v>384538.60114400461</v>
      </c>
      <c r="Z208" s="170">
        <v>392613.91176802863</v>
      </c>
      <c r="AB208" s="96" t="s">
        <v>63</v>
      </c>
      <c r="AC208" s="96">
        <v>2425</v>
      </c>
      <c r="AE208" s="96">
        <f t="shared" si="166"/>
        <v>133.88997113402061</v>
      </c>
      <c r="AF208" s="96">
        <f t="shared" si="167"/>
        <v>137.10333044123712</v>
      </c>
      <c r="AG208" s="96">
        <f t="shared" si="168"/>
        <v>139.9825003805031</v>
      </c>
      <c r="AH208" s="96">
        <f t="shared" si="169"/>
        <v>142.92213288849365</v>
      </c>
      <c r="AI208" s="96">
        <f t="shared" si="170"/>
        <v>145.92349767915198</v>
      </c>
      <c r="AJ208" s="96">
        <f t="shared" si="171"/>
        <v>148.98789113041417</v>
      </c>
      <c r="AK208" s="96">
        <f t="shared" si="172"/>
        <v>152.11663684415285</v>
      </c>
      <c r="AL208" s="96">
        <f t="shared" si="173"/>
        <v>155.31108621788005</v>
      </c>
      <c r="AM208" s="96">
        <f t="shared" si="174"/>
        <v>158.57261902845551</v>
      </c>
      <c r="AN208" s="96">
        <f t="shared" si="175"/>
        <v>161.90264402805303</v>
      </c>
      <c r="AS208" s="96" t="s">
        <v>63</v>
      </c>
      <c r="AT208" s="96">
        <f t="shared" si="186"/>
        <v>16.254242495670102</v>
      </c>
      <c r="AU208" s="96">
        <f t="shared" si="187"/>
        <v>16.644344315566187</v>
      </c>
      <c r="AV208" s="96">
        <f t="shared" si="188"/>
        <v>16.993875546193074</v>
      </c>
      <c r="AW208" s="96">
        <f t="shared" si="189"/>
        <v>17.350746932663128</v>
      </c>
      <c r="AX208" s="96">
        <f t="shared" si="190"/>
        <v>17.715112618249048</v>
      </c>
      <c r="AY208" s="96">
        <f t="shared" si="191"/>
        <v>18.08712998323228</v>
      </c>
      <c r="AZ208" s="96">
        <f t="shared" si="192"/>
        <v>18.466959712880154</v>
      </c>
      <c r="BA208" s="96">
        <f t="shared" si="193"/>
        <v>18.854765866850638</v>
      </c>
      <c r="BB208" s="96">
        <f t="shared" si="194"/>
        <v>19.250715950054499</v>
      </c>
      <c r="BC208" s="96">
        <f t="shared" si="195"/>
        <v>19.654980985005636</v>
      </c>
      <c r="BE208" s="169">
        <f t="shared" si="196"/>
        <v>17.680452444250069</v>
      </c>
      <c r="BQ208" s="81" t="s">
        <v>63</v>
      </c>
      <c r="BR208" s="173">
        <f t="shared" si="176"/>
        <v>16.254242495670102</v>
      </c>
      <c r="BS208" s="173">
        <f t="shared" si="177"/>
        <v>16.644344315566187</v>
      </c>
      <c r="BT208" s="173">
        <f t="shared" si="178"/>
        <v>16.993875546193074</v>
      </c>
      <c r="BU208" s="173">
        <f t="shared" si="179"/>
        <v>17.350746932663128</v>
      </c>
      <c r="BV208" s="173">
        <f t="shared" si="180"/>
        <v>17.715112618249048</v>
      </c>
      <c r="BW208" s="173">
        <f t="shared" si="181"/>
        <v>18.08712998323228</v>
      </c>
      <c r="BX208" s="173">
        <f t="shared" si="182"/>
        <v>18.466959712880154</v>
      </c>
      <c r="BY208" s="173">
        <f t="shared" si="183"/>
        <v>18.854765866850638</v>
      </c>
      <c r="BZ208" s="173">
        <f t="shared" si="184"/>
        <v>19.250715950054499</v>
      </c>
      <c r="CA208" s="173">
        <f t="shared" si="185"/>
        <v>19.654980985005636</v>
      </c>
    </row>
    <row r="209" spans="16:79">
      <c r="P209" s="96" t="s">
        <v>68</v>
      </c>
      <c r="Q209" s="170">
        <v>181582.43999999997</v>
      </c>
      <c r="R209" s="170">
        <v>185940.41855999999</v>
      </c>
      <c r="S209" s="170">
        <v>189845.16734975998</v>
      </c>
      <c r="T209" s="170">
        <v>193831.9158641049</v>
      </c>
      <c r="U209" s="170">
        <v>197902.38609725109</v>
      </c>
      <c r="V209" s="170">
        <v>202058.33620529334</v>
      </c>
      <c r="W209" s="170">
        <v>206301.56126560448</v>
      </c>
      <c r="X209" s="170">
        <v>210633.89405218215</v>
      </c>
      <c r="Y209" s="170">
        <v>215057.20582727797</v>
      </c>
      <c r="Z209" s="170">
        <v>219573.40714965077</v>
      </c>
      <c r="AB209" s="96" t="s">
        <v>68</v>
      </c>
      <c r="AC209" s="96">
        <v>636.65</v>
      </c>
      <c r="AE209" s="96">
        <f t="shared" si="166"/>
        <v>285.21548731642184</v>
      </c>
      <c r="AF209" s="96">
        <f t="shared" si="167"/>
        <v>292.060659012016</v>
      </c>
      <c r="AG209" s="96">
        <f t="shared" si="168"/>
        <v>298.19393285126836</v>
      </c>
      <c r="AH209" s="96">
        <f t="shared" si="169"/>
        <v>304.4560054411449</v>
      </c>
      <c r="AI209" s="96">
        <f t="shared" si="170"/>
        <v>310.84958155540892</v>
      </c>
      <c r="AJ209" s="96">
        <f t="shared" si="171"/>
        <v>317.37742276807251</v>
      </c>
      <c r="AK209" s="96">
        <f t="shared" si="172"/>
        <v>324.04234864620196</v>
      </c>
      <c r="AL209" s="96">
        <f t="shared" si="173"/>
        <v>330.84723796777217</v>
      </c>
      <c r="AM209" s="96">
        <f t="shared" si="174"/>
        <v>337.79502996509541</v>
      </c>
      <c r="AN209" s="96">
        <f t="shared" si="175"/>
        <v>344.88872559436231</v>
      </c>
      <c r="AS209" s="96" t="s">
        <v>68</v>
      </c>
      <c r="AT209" s="96">
        <f t="shared" si="186"/>
        <v>34.625160160213611</v>
      </c>
      <c r="AU209" s="96">
        <f t="shared" si="187"/>
        <v>35.456164004058742</v>
      </c>
      <c r="AV209" s="96">
        <f t="shared" si="188"/>
        <v>36.200743448143974</v>
      </c>
      <c r="AW209" s="96">
        <f t="shared" si="189"/>
        <v>36.960959060554991</v>
      </c>
      <c r="AX209" s="96">
        <f t="shared" si="190"/>
        <v>37.73713920082664</v>
      </c>
      <c r="AY209" s="96">
        <f t="shared" si="191"/>
        <v>38.529619124044004</v>
      </c>
      <c r="AZ209" s="96">
        <f t="shared" si="192"/>
        <v>39.338741125648916</v>
      </c>
      <c r="BA209" s="96">
        <f t="shared" si="193"/>
        <v>40.164854689287537</v>
      </c>
      <c r="BB209" s="96">
        <f t="shared" si="194"/>
        <v>41.008316637762583</v>
      </c>
      <c r="BC209" s="96">
        <f t="shared" si="195"/>
        <v>41.869491287155583</v>
      </c>
      <c r="BE209" s="169">
        <f t="shared" si="196"/>
        <v>37.663305303232498</v>
      </c>
      <c r="BQ209" s="81" t="s">
        <v>64</v>
      </c>
      <c r="BR209" s="173">
        <f t="shared" si="176"/>
        <v>30.272471376430197</v>
      </c>
      <c r="BS209" s="173">
        <f t="shared" si="177"/>
        <v>30.999010689464519</v>
      </c>
      <c r="BT209" s="173">
        <f t="shared" si="178"/>
        <v>31.649989913943273</v>
      </c>
      <c r="BU209" s="173">
        <f t="shared" si="179"/>
        <v>32.314639702136084</v>
      </c>
      <c r="BV209" s="173">
        <f t="shared" si="180"/>
        <v>32.993247135880928</v>
      </c>
      <c r="BW209" s="173">
        <f t="shared" si="181"/>
        <v>33.686105325734431</v>
      </c>
      <c r="BX209" s="173">
        <f t="shared" si="182"/>
        <v>34.393513537574854</v>
      </c>
      <c r="BY209" s="173">
        <f t="shared" si="183"/>
        <v>35.115777321863924</v>
      </c>
      <c r="BZ209" s="173">
        <f t="shared" si="184"/>
        <v>35.853208645623056</v>
      </c>
      <c r="CA209" s="173">
        <f t="shared" si="185"/>
        <v>36.606126027181141</v>
      </c>
    </row>
    <row r="210" spans="16:79">
      <c r="P210" s="96" t="s">
        <v>68</v>
      </c>
      <c r="Q210" s="170">
        <v>19385.43</v>
      </c>
      <c r="R210" s="170">
        <v>19850.680319999999</v>
      </c>
      <c r="S210" s="170">
        <v>20267.544606719999</v>
      </c>
      <c r="T210" s="170">
        <v>20693.163043461118</v>
      </c>
      <c r="U210" s="170">
        <v>21127.719467373798</v>
      </c>
      <c r="V210" s="170">
        <v>21571.401576188648</v>
      </c>
      <c r="W210" s="170">
        <v>22024.401009288606</v>
      </c>
      <c r="X210" s="170">
        <v>22486.913430483666</v>
      </c>
      <c r="Y210" s="170">
        <v>22959.13861252382</v>
      </c>
      <c r="Z210" s="170">
        <v>23441.280523386817</v>
      </c>
      <c r="AB210" s="96" t="s">
        <v>68</v>
      </c>
      <c r="AC210" s="96">
        <v>526.15</v>
      </c>
      <c r="AE210" s="96">
        <f t="shared" si="166"/>
        <v>36.843922835693249</v>
      </c>
      <c r="AF210" s="96">
        <f t="shared" si="167"/>
        <v>37.728176983749883</v>
      </c>
      <c r="AG210" s="96">
        <f t="shared" si="168"/>
        <v>38.520468700408628</v>
      </c>
      <c r="AH210" s="96">
        <f t="shared" si="169"/>
        <v>39.329398543117208</v>
      </c>
      <c r="AI210" s="96">
        <f t="shared" si="170"/>
        <v>40.15531591252266</v>
      </c>
      <c r="AJ210" s="96">
        <f t="shared" si="171"/>
        <v>40.998577546685638</v>
      </c>
      <c r="AK210" s="96">
        <f t="shared" si="172"/>
        <v>41.859547675166027</v>
      </c>
      <c r="AL210" s="96">
        <f t="shared" si="173"/>
        <v>42.738598176344517</v>
      </c>
      <c r="AM210" s="96">
        <f t="shared" si="174"/>
        <v>43.636108738047746</v>
      </c>
      <c r="AN210" s="96">
        <f t="shared" si="175"/>
        <v>44.55246702154674</v>
      </c>
      <c r="AS210" s="96" t="s">
        <v>68</v>
      </c>
      <c r="AT210" s="96">
        <f t="shared" si="186"/>
        <v>4.4728522322531603</v>
      </c>
      <c r="AU210" s="96">
        <f t="shared" si="187"/>
        <v>4.5802006858272355</v>
      </c>
      <c r="AV210" s="96">
        <f t="shared" si="188"/>
        <v>4.676384900229607</v>
      </c>
      <c r="AW210" s="96">
        <f t="shared" si="189"/>
        <v>4.7745889831344286</v>
      </c>
      <c r="AX210" s="96">
        <f t="shared" si="190"/>
        <v>4.8748553517802504</v>
      </c>
      <c r="AY210" s="96">
        <f t="shared" si="191"/>
        <v>4.977227314167636</v>
      </c>
      <c r="AZ210" s="96">
        <f t="shared" si="192"/>
        <v>5.0817490877651554</v>
      </c>
      <c r="BA210" s="96">
        <f t="shared" si="193"/>
        <v>5.1884658186082238</v>
      </c>
      <c r="BB210" s="96">
        <f t="shared" si="194"/>
        <v>5.2974236007989957</v>
      </c>
      <c r="BC210" s="96">
        <f t="shared" si="195"/>
        <v>5.408669496415774</v>
      </c>
      <c r="BE210" s="169">
        <f t="shared" si="196"/>
        <v>4.8653175442396694</v>
      </c>
      <c r="BQ210" s="81" t="s">
        <v>65</v>
      </c>
      <c r="BR210" s="173">
        <f t="shared" si="176"/>
        <v>8.2314411773778939</v>
      </c>
      <c r="BS210" s="173">
        <f t="shared" si="177"/>
        <v>8.4289957656349639</v>
      </c>
      <c r="BT210" s="173">
        <f t="shared" si="178"/>
        <v>8.6060046767132974</v>
      </c>
      <c r="BU210" s="173">
        <f t="shared" si="179"/>
        <v>8.7867307749242745</v>
      </c>
      <c r="BV210" s="173">
        <f t="shared" si="180"/>
        <v>8.9712521211976846</v>
      </c>
      <c r="BW210" s="173">
        <f t="shared" si="181"/>
        <v>9.1596484157428346</v>
      </c>
      <c r="BX210" s="173">
        <f t="shared" si="182"/>
        <v>9.3520010324734315</v>
      </c>
      <c r="BY210" s="173">
        <f t="shared" si="183"/>
        <v>9.5483930541553761</v>
      </c>
      <c r="BZ210" s="173">
        <f t="shared" si="184"/>
        <v>9.7489093082926352</v>
      </c>
      <c r="CA210" s="173">
        <f t="shared" si="185"/>
        <v>9.9536364037667795</v>
      </c>
    </row>
    <row r="211" spans="16:79">
      <c r="P211" s="96" t="s">
        <v>64</v>
      </c>
      <c r="Q211" s="170">
        <v>435883.68999999989</v>
      </c>
      <c r="R211" s="170">
        <v>446344.89855999989</v>
      </c>
      <c r="S211" s="170">
        <v>455718.14142975985</v>
      </c>
      <c r="T211" s="170">
        <v>465288.22239978478</v>
      </c>
      <c r="U211" s="170">
        <v>475059.27507018019</v>
      </c>
      <c r="V211" s="170">
        <v>485035.51984665397</v>
      </c>
      <c r="W211" s="170">
        <v>495221.26576343365</v>
      </c>
      <c r="X211" s="170">
        <v>505620.91234446567</v>
      </c>
      <c r="Y211" s="170">
        <v>516238.95150369941</v>
      </c>
      <c r="Z211" s="170">
        <v>527079.96948527708</v>
      </c>
      <c r="AB211" s="96" t="s">
        <v>64</v>
      </c>
      <c r="AC211" s="96">
        <v>1748</v>
      </c>
      <c r="AE211" s="96">
        <f t="shared" si="166"/>
        <v>249.36137871853541</v>
      </c>
      <c r="AF211" s="96">
        <f t="shared" si="167"/>
        <v>255.34605180778024</v>
      </c>
      <c r="AG211" s="96">
        <f t="shared" si="168"/>
        <v>260.70831889574362</v>
      </c>
      <c r="AH211" s="96">
        <f t="shared" si="169"/>
        <v>266.18319359255423</v>
      </c>
      <c r="AI211" s="96">
        <f t="shared" si="170"/>
        <v>271.7730406579978</v>
      </c>
      <c r="AJ211" s="96">
        <f t="shared" si="171"/>
        <v>277.48027451181576</v>
      </c>
      <c r="AK211" s="96">
        <f t="shared" si="172"/>
        <v>283.30736027656388</v>
      </c>
      <c r="AL211" s="96">
        <f t="shared" si="173"/>
        <v>289.25681484237168</v>
      </c>
      <c r="AM211" s="96">
        <f t="shared" si="174"/>
        <v>295.33120795406143</v>
      </c>
      <c r="AN211" s="96">
        <f t="shared" si="175"/>
        <v>301.53316332109671</v>
      </c>
      <c r="AS211" s="96" t="s">
        <v>64</v>
      </c>
      <c r="AT211" s="96">
        <f t="shared" si="186"/>
        <v>30.272471376430197</v>
      </c>
      <c r="AU211" s="96">
        <f t="shared" si="187"/>
        <v>30.999010689464519</v>
      </c>
      <c r="AV211" s="96">
        <f t="shared" si="188"/>
        <v>31.649989913943273</v>
      </c>
      <c r="AW211" s="96">
        <f t="shared" si="189"/>
        <v>32.314639702136084</v>
      </c>
      <c r="AX211" s="96">
        <f t="shared" si="190"/>
        <v>32.993247135880928</v>
      </c>
      <c r="AY211" s="96">
        <f t="shared" si="191"/>
        <v>33.686105325734431</v>
      </c>
      <c r="AZ211" s="96">
        <f t="shared" si="192"/>
        <v>34.393513537574854</v>
      </c>
      <c r="BA211" s="96">
        <f t="shared" si="193"/>
        <v>35.115777321863924</v>
      </c>
      <c r="BB211" s="96">
        <f t="shared" si="194"/>
        <v>35.853208645623056</v>
      </c>
      <c r="BC211" s="96">
        <f t="shared" si="195"/>
        <v>36.606126027181141</v>
      </c>
      <c r="BE211" s="169">
        <f t="shared" si="196"/>
        <v>32.928694812045116</v>
      </c>
      <c r="BQ211" s="81" t="s">
        <v>66</v>
      </c>
      <c r="BR211" s="173">
        <f t="shared" si="176"/>
        <v>77.011766762376212</v>
      </c>
      <c r="BS211" s="173">
        <f t="shared" si="177"/>
        <v>78.860049164673242</v>
      </c>
      <c r="BT211" s="173">
        <f t="shared" si="178"/>
        <v>80.516110197131383</v>
      </c>
      <c r="BU211" s="173">
        <f t="shared" si="179"/>
        <v>82.206948511271122</v>
      </c>
      <c r="BV211" s="173">
        <f t="shared" si="180"/>
        <v>83.933294430007791</v>
      </c>
      <c r="BW211" s="173">
        <f t="shared" si="181"/>
        <v>85.695893613037953</v>
      </c>
      <c r="BX211" s="173">
        <f t="shared" si="182"/>
        <v>87.495507378911753</v>
      </c>
      <c r="BY211" s="173">
        <f t="shared" si="183"/>
        <v>89.332913033868891</v>
      </c>
      <c r="BZ211" s="173">
        <f t="shared" si="184"/>
        <v>91.208904207580133</v>
      </c>
      <c r="CA211" s="173">
        <f t="shared" si="185"/>
        <v>93.124291195939307</v>
      </c>
    </row>
    <row r="212" spans="16:79">
      <c r="P212" s="96" t="s">
        <v>66</v>
      </c>
      <c r="Q212" s="170">
        <v>512565.95999999985</v>
      </c>
      <c r="R212" s="170">
        <v>524867.5430399999</v>
      </c>
      <c r="S212" s="170">
        <v>535889.76144383987</v>
      </c>
      <c r="T212" s="170">
        <v>547143.44643416035</v>
      </c>
      <c r="U212" s="170">
        <v>558633.45880927762</v>
      </c>
      <c r="V212" s="170">
        <v>570364.76144427247</v>
      </c>
      <c r="W212" s="170">
        <v>582342.42143460212</v>
      </c>
      <c r="X212" s="170">
        <v>594571.61228472879</v>
      </c>
      <c r="Y212" s="170">
        <v>607057.61614270799</v>
      </c>
      <c r="Z212" s="170">
        <v>619805.82608170481</v>
      </c>
      <c r="AB212" s="96" t="s">
        <v>66</v>
      </c>
      <c r="AC212" s="96">
        <v>808</v>
      </c>
      <c r="AE212" s="96">
        <f t="shared" si="166"/>
        <v>634.36381188118798</v>
      </c>
      <c r="AF212" s="96">
        <f t="shared" si="167"/>
        <v>649.58854336633647</v>
      </c>
      <c r="AG212" s="96">
        <f t="shared" si="168"/>
        <v>663.22990277702957</v>
      </c>
      <c r="AH212" s="96">
        <f t="shared" si="169"/>
        <v>677.15773073534695</v>
      </c>
      <c r="AI212" s="96">
        <f t="shared" si="170"/>
        <v>691.3780430807891</v>
      </c>
      <c r="AJ212" s="96">
        <f t="shared" si="171"/>
        <v>705.8969819854857</v>
      </c>
      <c r="AK212" s="96">
        <f t="shared" si="172"/>
        <v>720.72081860718083</v>
      </c>
      <c r="AL212" s="96">
        <f t="shared" si="173"/>
        <v>735.85595579793164</v>
      </c>
      <c r="AM212" s="96">
        <f t="shared" si="174"/>
        <v>751.30893086968808</v>
      </c>
      <c r="AN212" s="96">
        <f t="shared" si="175"/>
        <v>767.08641841795145</v>
      </c>
      <c r="AS212" s="96" t="s">
        <v>66</v>
      </c>
      <c r="AT212" s="96">
        <f t="shared" si="186"/>
        <v>77.011766762376212</v>
      </c>
      <c r="AU212" s="96">
        <f t="shared" si="187"/>
        <v>78.860049164673242</v>
      </c>
      <c r="AV212" s="96">
        <f t="shared" si="188"/>
        <v>80.516110197131383</v>
      </c>
      <c r="AW212" s="96">
        <f t="shared" si="189"/>
        <v>82.206948511271122</v>
      </c>
      <c r="AX212" s="96">
        <f t="shared" si="190"/>
        <v>83.933294430007791</v>
      </c>
      <c r="AY212" s="96">
        <f t="shared" si="191"/>
        <v>85.695893613037953</v>
      </c>
      <c r="AZ212" s="96">
        <f t="shared" si="192"/>
        <v>87.495507378911753</v>
      </c>
      <c r="BA212" s="96">
        <f t="shared" si="193"/>
        <v>89.332913033868891</v>
      </c>
      <c r="BB212" s="96">
        <f t="shared" si="194"/>
        <v>91.208904207580133</v>
      </c>
      <c r="BC212" s="96">
        <f t="shared" si="195"/>
        <v>93.124291195939307</v>
      </c>
      <c r="BE212" s="169">
        <f t="shared" si="196"/>
        <v>83.769076304391405</v>
      </c>
      <c r="BQ212" s="81" t="s">
        <v>85</v>
      </c>
      <c r="BR212" s="173">
        <f t="shared" si="176"/>
        <v>0</v>
      </c>
      <c r="BS212" s="173">
        <f t="shared" si="177"/>
        <v>0</v>
      </c>
      <c r="BT212" s="173">
        <f t="shared" si="178"/>
        <v>0</v>
      </c>
      <c r="BU212" s="173">
        <f t="shared" si="179"/>
        <v>0</v>
      </c>
      <c r="BV212" s="173">
        <f t="shared" si="180"/>
        <v>0</v>
      </c>
      <c r="BW212" s="173">
        <f t="shared" si="181"/>
        <v>0</v>
      </c>
      <c r="BX212" s="173">
        <f t="shared" si="182"/>
        <v>0</v>
      </c>
      <c r="BY212" s="173">
        <f t="shared" si="183"/>
        <v>0</v>
      </c>
      <c r="BZ212" s="173">
        <f t="shared" si="184"/>
        <v>0</v>
      </c>
      <c r="CA212" s="173">
        <f t="shared" si="185"/>
        <v>0</v>
      </c>
    </row>
    <row r="213" spans="16:79">
      <c r="P213" s="96" t="s">
        <v>19</v>
      </c>
      <c r="Q213" s="170">
        <v>402655.93999999989</v>
      </c>
      <c r="R213" s="170">
        <v>412319.68255999987</v>
      </c>
      <c r="S213" s="170">
        <v>420978.39589375985</v>
      </c>
      <c r="T213" s="170">
        <v>429818.9422075288</v>
      </c>
      <c r="U213" s="170">
        <v>438845.13999388681</v>
      </c>
      <c r="V213" s="170">
        <v>448060.88793375844</v>
      </c>
      <c r="W213" s="170">
        <v>457470.16658036731</v>
      </c>
      <c r="X213" s="170">
        <v>467077.040078555</v>
      </c>
      <c r="Y213" s="170">
        <v>476885.65792020457</v>
      </c>
      <c r="Z213" s="170">
        <v>486900.25673652883</v>
      </c>
      <c r="AB213" s="96" t="s">
        <v>19</v>
      </c>
      <c r="AC213" s="96">
        <v>408</v>
      </c>
      <c r="AE213" s="96">
        <f t="shared" si="166"/>
        <v>986.90181372548989</v>
      </c>
      <c r="AF213" s="96">
        <f t="shared" si="167"/>
        <v>1010.5874572549017</v>
      </c>
      <c r="AG213" s="96">
        <f t="shared" si="168"/>
        <v>1031.8097938572546</v>
      </c>
      <c r="AH213" s="96">
        <f t="shared" si="169"/>
        <v>1053.4777995282568</v>
      </c>
      <c r="AI213" s="96">
        <f t="shared" si="170"/>
        <v>1075.6008333183499</v>
      </c>
      <c r="AJ213" s="96">
        <f t="shared" si="171"/>
        <v>1098.1884508180353</v>
      </c>
      <c r="AK213" s="96">
        <f t="shared" si="172"/>
        <v>1121.250408285214</v>
      </c>
      <c r="AL213" s="96">
        <f t="shared" si="173"/>
        <v>1144.7966668592035</v>
      </c>
      <c r="AM213" s="96">
        <f t="shared" si="174"/>
        <v>1168.8373968632466</v>
      </c>
      <c r="AN213" s="96">
        <f t="shared" si="175"/>
        <v>1193.3829821973745</v>
      </c>
      <c r="AS213" s="96" t="s">
        <v>19</v>
      </c>
      <c r="AT213" s="96">
        <f t="shared" si="186"/>
        <v>119.80988018627447</v>
      </c>
      <c r="AU213" s="96">
        <f t="shared" si="187"/>
        <v>122.68531731074506</v>
      </c>
      <c r="AV213" s="96">
        <f t="shared" si="188"/>
        <v>125.2617089742707</v>
      </c>
      <c r="AW213" s="96">
        <f t="shared" si="189"/>
        <v>127.89220486273037</v>
      </c>
      <c r="AX213" s="96">
        <f t="shared" si="190"/>
        <v>130.57794116484769</v>
      </c>
      <c r="AY213" s="96">
        <f t="shared" si="191"/>
        <v>133.32007792930949</v>
      </c>
      <c r="AZ213" s="96">
        <f t="shared" si="192"/>
        <v>136.11979956582496</v>
      </c>
      <c r="BA213" s="96">
        <f t="shared" si="193"/>
        <v>138.9783153567073</v>
      </c>
      <c r="BB213" s="96">
        <f t="shared" si="194"/>
        <v>141.89685997919813</v>
      </c>
      <c r="BC213" s="96">
        <f t="shared" si="195"/>
        <v>144.87669403876126</v>
      </c>
      <c r="BE213" s="169">
        <f t="shared" si="196"/>
        <v>130.32246132349798</v>
      </c>
      <c r="BQ213" s="81" t="s">
        <v>68</v>
      </c>
      <c r="BR213" s="173">
        <f t="shared" si="176"/>
        <v>20.981681646026825</v>
      </c>
      <c r="BS213" s="173">
        <f t="shared" si="177"/>
        <v>21.485242005531475</v>
      </c>
      <c r="BT213" s="173">
        <f t="shared" si="178"/>
        <v>21.936432087647638</v>
      </c>
      <c r="BU213" s="173">
        <f t="shared" si="179"/>
        <v>22.397097161488233</v>
      </c>
      <c r="BV213" s="173">
        <f t="shared" si="180"/>
        <v>22.867436201879482</v>
      </c>
      <c r="BW213" s="173">
        <f t="shared" si="181"/>
        <v>23.347652362118946</v>
      </c>
      <c r="BX213" s="173">
        <f t="shared" si="182"/>
        <v>23.837953061723447</v>
      </c>
      <c r="BY213" s="173">
        <f t="shared" si="183"/>
        <v>24.338550076019633</v>
      </c>
      <c r="BZ213" s="173">
        <f t="shared" si="184"/>
        <v>24.849659627616042</v>
      </c>
      <c r="CA213" s="173">
        <f t="shared" si="185"/>
        <v>25.371502479795979</v>
      </c>
    </row>
    <row r="214" spans="16:79">
      <c r="P214" s="96" t="s">
        <v>19</v>
      </c>
      <c r="Q214" s="170">
        <v>49549.139999999992</v>
      </c>
      <c r="R214" s="170">
        <v>50738.319359999994</v>
      </c>
      <c r="S214" s="170">
        <v>51803.824066559988</v>
      </c>
      <c r="T214" s="170">
        <v>52891.704371957741</v>
      </c>
      <c r="U214" s="170">
        <v>54002.430163768848</v>
      </c>
      <c r="V214" s="170">
        <v>55136.481197207991</v>
      </c>
      <c r="W214" s="170">
        <v>56294.347302349357</v>
      </c>
      <c r="X214" s="170">
        <v>57476.528595698685</v>
      </c>
      <c r="Y214" s="170">
        <v>58683.535696208353</v>
      </c>
      <c r="Z214" s="170">
        <v>59915.88994582872</v>
      </c>
      <c r="AB214" s="96" t="s">
        <v>19</v>
      </c>
      <c r="AC214" s="96">
        <v>227.79999999999998</v>
      </c>
      <c r="AE214" s="96">
        <f t="shared" si="166"/>
        <v>217.51158911325723</v>
      </c>
      <c r="AF214" s="96">
        <f t="shared" si="167"/>
        <v>222.73186725197542</v>
      </c>
      <c r="AG214" s="96">
        <f t="shared" si="168"/>
        <v>227.40923646426685</v>
      </c>
      <c r="AH214" s="96">
        <f t="shared" si="169"/>
        <v>232.18483043001643</v>
      </c>
      <c r="AI214" s="96">
        <f t="shared" si="170"/>
        <v>237.06071186904677</v>
      </c>
      <c r="AJ214" s="96">
        <f t="shared" si="171"/>
        <v>242.03898681829673</v>
      </c>
      <c r="AK214" s="96">
        <f t="shared" si="172"/>
        <v>247.12180554148097</v>
      </c>
      <c r="AL214" s="96">
        <f t="shared" si="173"/>
        <v>252.31136345785202</v>
      </c>
      <c r="AM214" s="96">
        <f t="shared" si="174"/>
        <v>257.6099020904669</v>
      </c>
      <c r="AN214" s="96">
        <f t="shared" si="175"/>
        <v>263.01971003436665</v>
      </c>
      <c r="AS214" s="96" t="s">
        <v>19</v>
      </c>
      <c r="AT214" s="96">
        <f t="shared" si="186"/>
        <v>26.405906918349427</v>
      </c>
      <c r="AU214" s="96">
        <f t="shared" si="187"/>
        <v>27.039648684389814</v>
      </c>
      <c r="AV214" s="96">
        <f t="shared" si="188"/>
        <v>27.607481306761994</v>
      </c>
      <c r="AW214" s="96">
        <f t="shared" si="189"/>
        <v>28.187238414203993</v>
      </c>
      <c r="AX214" s="96">
        <f t="shared" si="190"/>
        <v>28.779170420902275</v>
      </c>
      <c r="AY214" s="96">
        <f t="shared" si="191"/>
        <v>29.383532999741224</v>
      </c>
      <c r="AZ214" s="96">
        <f t="shared" si="192"/>
        <v>30.000587192735789</v>
      </c>
      <c r="BA214" s="96">
        <f t="shared" si="193"/>
        <v>30.630599523783236</v>
      </c>
      <c r="BB214" s="96">
        <f t="shared" si="194"/>
        <v>31.273842113782681</v>
      </c>
      <c r="BC214" s="96">
        <f t="shared" si="195"/>
        <v>31.93059279817211</v>
      </c>
      <c r="BE214" s="169">
        <f t="shared" si="196"/>
        <v>28.722863070459173</v>
      </c>
      <c r="BQ214" s="163" t="s">
        <v>8</v>
      </c>
    </row>
    <row r="215" spans="16:79">
      <c r="P215" s="96" t="s">
        <v>19</v>
      </c>
      <c r="Q215" s="170">
        <v>373974.13999999984</v>
      </c>
      <c r="R215" s="170">
        <v>382949.51935999986</v>
      </c>
      <c r="S215" s="170">
        <v>390991.4592665598</v>
      </c>
      <c r="T215" s="170">
        <v>399202.27991115756</v>
      </c>
      <c r="U215" s="170">
        <v>407585.52778929175</v>
      </c>
      <c r="V215" s="170">
        <v>416144.82387286692</v>
      </c>
      <c r="W215" s="170">
        <v>424883.86517419707</v>
      </c>
      <c r="X215" s="170">
        <v>433806.42634285515</v>
      </c>
      <c r="Y215" s="170">
        <v>442916.36129605508</v>
      </c>
      <c r="Z215" s="170">
        <v>452217.60488327214</v>
      </c>
      <c r="AB215" s="96" t="s">
        <v>19</v>
      </c>
      <c r="AC215" s="96">
        <v>628.15</v>
      </c>
      <c r="AE215" s="96">
        <f t="shared" si="166"/>
        <v>595.35801958130992</v>
      </c>
      <c r="AF215" s="96">
        <f t="shared" si="167"/>
        <v>609.6466120512614</v>
      </c>
      <c r="AG215" s="96">
        <f t="shared" si="168"/>
        <v>622.4491909043378</v>
      </c>
      <c r="AH215" s="96">
        <f t="shared" si="169"/>
        <v>635.5206239133289</v>
      </c>
      <c r="AI215" s="96">
        <f t="shared" si="170"/>
        <v>648.86655701550865</v>
      </c>
      <c r="AJ215" s="96">
        <f t="shared" si="171"/>
        <v>662.49275471283443</v>
      </c>
      <c r="AK215" s="96">
        <f t="shared" si="172"/>
        <v>676.4051025618038</v>
      </c>
      <c r="AL215" s="96">
        <f t="shared" si="173"/>
        <v>690.60960971560166</v>
      </c>
      <c r="AM215" s="96">
        <f t="shared" si="174"/>
        <v>705.11241151962918</v>
      </c>
      <c r="AN215" s="96">
        <f t="shared" si="175"/>
        <v>719.91977216154123</v>
      </c>
      <c r="AS215" s="96" t="s">
        <v>19</v>
      </c>
      <c r="AT215" s="96">
        <f t="shared" si="186"/>
        <v>72.276463577171015</v>
      </c>
      <c r="AU215" s="96">
        <f t="shared" si="187"/>
        <v>74.011098703023137</v>
      </c>
      <c r="AV215" s="96">
        <f t="shared" si="188"/>
        <v>75.565331775786603</v>
      </c>
      <c r="AW215" s="96">
        <f t="shared" si="189"/>
        <v>77.152203743078118</v>
      </c>
      <c r="AX215" s="96">
        <f t="shared" si="190"/>
        <v>78.772400021682742</v>
      </c>
      <c r="AY215" s="96">
        <f t="shared" si="191"/>
        <v>80.4266204221381</v>
      </c>
      <c r="AZ215" s="96">
        <f t="shared" si="192"/>
        <v>82.115579451002972</v>
      </c>
      <c r="BA215" s="96">
        <f t="shared" si="193"/>
        <v>83.840006619474039</v>
      </c>
      <c r="BB215" s="96">
        <f t="shared" si="194"/>
        <v>85.600646758482981</v>
      </c>
      <c r="BC215" s="96">
        <f t="shared" si="195"/>
        <v>87.398260340411099</v>
      </c>
      <c r="BE215" s="169">
        <f t="shared" si="196"/>
        <v>78.618279348001181</v>
      </c>
      <c r="BQ215" s="81" t="s">
        <v>45</v>
      </c>
      <c r="BR215" s="173">
        <f t="shared" ref="BR215:BR246" si="197">IFERROR(SUMIFS(Q$244:Q$260,$P$244:$P$260,$BQ215)/SUMIFS($AC$244:$AC$260,$P$244:$P$260,$BQ215),0)*$AQ$8</f>
        <v>0</v>
      </c>
      <c r="BS215" s="173">
        <f t="shared" ref="BS215:BS246" si="198">IFERROR(SUMIFS(R$244:R$260,$P$244:$P$260,$BQ215)/SUMIFS($AC$244:$AC$260,$P$244:$P$260,$BQ215),0)*$AQ$8</f>
        <v>0</v>
      </c>
      <c r="BT215" s="173">
        <f t="shared" ref="BT215:BT246" si="199">IFERROR(SUMIFS(S$244:S$260,$P$244:$P$260,$BQ215)/SUMIFS($AC$244:$AC$260,$P$244:$P$260,$BQ215),0)*$AQ$8</f>
        <v>0</v>
      </c>
      <c r="BU215" s="173">
        <f t="shared" ref="BU215:BU246" si="200">IFERROR(SUMIFS(T$244:T$260,$P$244:$P$260,$BQ215)/SUMIFS($AC$244:$AC$260,$P$244:$P$260,$BQ215),0)*$AQ$8</f>
        <v>0</v>
      </c>
      <c r="BV215" s="173">
        <f t="shared" ref="BV215:BV246" si="201">IFERROR(SUMIFS(U$244:U$260,$P$244:$P$260,$BQ215)/SUMIFS($AC$244:$AC$260,$P$244:$P$260,$BQ215),0)*$AQ$8</f>
        <v>0</v>
      </c>
      <c r="BW215" s="173">
        <f t="shared" ref="BW215:BW246" si="202">IFERROR(SUMIFS(V$244:V$260,$P$244:$P$260,$BQ215)/SUMIFS($AC$244:$AC$260,$P$244:$P$260,$BQ215),0)*$AQ$8</f>
        <v>0</v>
      </c>
      <c r="BX215" s="173">
        <f t="shared" ref="BX215:BX246" si="203">IFERROR(SUMIFS(W$244:W$260,$P$244:$P$260,$BQ215)/SUMIFS($AC$244:$AC$260,$P$244:$P$260,$BQ215),0)*$AQ$8</f>
        <v>0</v>
      </c>
      <c r="BY215" s="173">
        <f t="shared" ref="BY215:BY246" si="204">IFERROR(SUMIFS(X$244:X$260,$P$244:$P$260,$BQ215)/SUMIFS($AC$244:$AC$260,$P$244:$P$260,$BQ215),0)*$AQ$8</f>
        <v>0</v>
      </c>
      <c r="BZ215" s="173">
        <f t="shared" ref="BZ215:BZ246" si="205">IFERROR(SUMIFS(Y$244:Y$260,$P$244:$P$260,$BQ215)/SUMIFS($AC$244:$AC$260,$P$244:$P$260,$BQ215),0)*$AQ$8</f>
        <v>0</v>
      </c>
      <c r="CA215" s="173">
        <f t="shared" ref="CA215:CA246" si="206">IFERROR(SUMIFS(Z$244:Z$260,$P$244:$P$260,$BQ215)/SUMIFS($AC$244:$AC$260,$P$244:$P$260,$BQ215),0)*$AQ$8</f>
        <v>0</v>
      </c>
    </row>
    <row r="216" spans="16:79">
      <c r="P216" s="96" t="s">
        <v>19</v>
      </c>
      <c r="Q216" s="170">
        <v>135115.79999999999</v>
      </c>
      <c r="R216" s="170">
        <v>138358.57919999998</v>
      </c>
      <c r="S216" s="170">
        <v>141264.1093632</v>
      </c>
      <c r="T216" s="170">
        <v>144230.65565982717</v>
      </c>
      <c r="U216" s="170">
        <v>147259.49942868351</v>
      </c>
      <c r="V216" s="170">
        <v>150351.94891668585</v>
      </c>
      <c r="W216" s="170">
        <v>153509.33984393626</v>
      </c>
      <c r="X216" s="170">
        <v>156733.0359806589</v>
      </c>
      <c r="Y216" s="170">
        <v>160024.42973625273</v>
      </c>
      <c r="Z216" s="170">
        <v>163384.94276071401</v>
      </c>
      <c r="AB216" s="96" t="s">
        <v>19</v>
      </c>
      <c r="AC216" s="96">
        <v>361.25</v>
      </c>
      <c r="AE216" s="96">
        <f t="shared" si="166"/>
        <v>374.02297577854671</v>
      </c>
      <c r="AF216" s="96">
        <f t="shared" si="167"/>
        <v>382.99952719723177</v>
      </c>
      <c r="AG216" s="96">
        <f t="shared" si="168"/>
        <v>391.04251726837367</v>
      </c>
      <c r="AH216" s="96">
        <f t="shared" si="169"/>
        <v>399.25441013100948</v>
      </c>
      <c r="AI216" s="96">
        <f t="shared" si="170"/>
        <v>407.63875274376062</v>
      </c>
      <c r="AJ216" s="96">
        <f t="shared" si="171"/>
        <v>416.19916655137951</v>
      </c>
      <c r="AK216" s="96">
        <f t="shared" si="172"/>
        <v>424.93934904895849</v>
      </c>
      <c r="AL216" s="96">
        <f t="shared" si="173"/>
        <v>433.86307537898659</v>
      </c>
      <c r="AM216" s="96">
        <f t="shared" si="174"/>
        <v>442.97419996194526</v>
      </c>
      <c r="AN216" s="96">
        <f t="shared" si="175"/>
        <v>452.27665816114603</v>
      </c>
      <c r="AS216" s="96" t="s">
        <v>19</v>
      </c>
      <c r="AT216" s="96">
        <f t="shared" si="186"/>
        <v>45.406389259515571</v>
      </c>
      <c r="AU216" s="96">
        <f t="shared" si="187"/>
        <v>46.496142601743934</v>
      </c>
      <c r="AV216" s="96">
        <f t="shared" si="188"/>
        <v>47.472561596380558</v>
      </c>
      <c r="AW216" s="96">
        <f t="shared" si="189"/>
        <v>48.469485389904548</v>
      </c>
      <c r="AX216" s="96">
        <f t="shared" si="190"/>
        <v>49.487344583092536</v>
      </c>
      <c r="AY216" s="96">
        <f t="shared" si="191"/>
        <v>50.526578819337466</v>
      </c>
      <c r="AZ216" s="96">
        <f t="shared" si="192"/>
        <v>51.587636974543557</v>
      </c>
      <c r="BA216" s="96">
        <f t="shared" si="193"/>
        <v>52.670977351008972</v>
      </c>
      <c r="BB216" s="96">
        <f t="shared" si="194"/>
        <v>53.777067875380155</v>
      </c>
      <c r="BC216" s="96">
        <f t="shared" si="195"/>
        <v>54.906386300763124</v>
      </c>
      <c r="BE216" s="169">
        <f t="shared" si="196"/>
        <v>49.390521039773333</v>
      </c>
      <c r="BQ216" s="81" t="s">
        <v>15</v>
      </c>
      <c r="BR216" s="173">
        <f t="shared" si="197"/>
        <v>0</v>
      </c>
      <c r="BS216" s="173">
        <f t="shared" si="198"/>
        <v>0</v>
      </c>
      <c r="BT216" s="173">
        <f t="shared" si="199"/>
        <v>1.78290556424581</v>
      </c>
      <c r="BU216" s="173">
        <f t="shared" si="200"/>
        <v>18.203465810949719</v>
      </c>
      <c r="BV216" s="173">
        <f t="shared" si="201"/>
        <v>37.171477185959318</v>
      </c>
      <c r="BW216" s="173">
        <f t="shared" si="202"/>
        <v>94.880195517161155</v>
      </c>
      <c r="BX216" s="173">
        <f t="shared" si="203"/>
        <v>154.99628739683448</v>
      </c>
      <c r="BY216" s="173">
        <f t="shared" si="204"/>
        <v>257.1582153272729</v>
      </c>
      <c r="BZ216" s="173">
        <f t="shared" si="205"/>
        <v>363.54259086804785</v>
      </c>
      <c r="CA216" s="173">
        <f t="shared" si="206"/>
        <v>433.03981615565624</v>
      </c>
    </row>
    <row r="217" spans="16:79">
      <c r="P217" s="96" t="s">
        <v>19</v>
      </c>
      <c r="Q217" s="170">
        <v>165961.4</v>
      </c>
      <c r="R217" s="170">
        <v>169944.4736</v>
      </c>
      <c r="S217" s="170">
        <v>173513.30754559999</v>
      </c>
      <c r="T217" s="170">
        <v>177157.08700405757</v>
      </c>
      <c r="U217" s="170">
        <v>180877.38583114275</v>
      </c>
      <c r="V217" s="170">
        <v>184675.81093359675</v>
      </c>
      <c r="W217" s="170">
        <v>188554.00296320225</v>
      </c>
      <c r="X217" s="170">
        <v>192513.63702542949</v>
      </c>
      <c r="Y217" s="170">
        <v>196556.4234029635</v>
      </c>
      <c r="Z217" s="170">
        <v>200684.10829442568</v>
      </c>
      <c r="AB217" s="96" t="s">
        <v>19</v>
      </c>
      <c r="AC217" s="96">
        <v>361.25</v>
      </c>
      <c r="AE217" s="96">
        <f t="shared" si="166"/>
        <v>459.40871972318337</v>
      </c>
      <c r="AF217" s="96">
        <f t="shared" si="167"/>
        <v>470.43452899653977</v>
      </c>
      <c r="AG217" s="96">
        <f t="shared" si="168"/>
        <v>480.31365410546709</v>
      </c>
      <c r="AH217" s="96">
        <f t="shared" si="169"/>
        <v>490.40024084168186</v>
      </c>
      <c r="AI217" s="96">
        <f t="shared" si="170"/>
        <v>500.69864589935707</v>
      </c>
      <c r="AJ217" s="96">
        <f t="shared" si="171"/>
        <v>511.21331746324358</v>
      </c>
      <c r="AK217" s="96">
        <f t="shared" si="172"/>
        <v>521.94879712997158</v>
      </c>
      <c r="AL217" s="96">
        <f t="shared" si="173"/>
        <v>532.909721869701</v>
      </c>
      <c r="AM217" s="96">
        <f t="shared" si="174"/>
        <v>544.10082602896466</v>
      </c>
      <c r="AN217" s="96">
        <f t="shared" si="175"/>
        <v>555.52694337557284</v>
      </c>
      <c r="AS217" s="96" t="s">
        <v>19</v>
      </c>
      <c r="AT217" s="96">
        <f t="shared" si="186"/>
        <v>55.772218574394458</v>
      </c>
      <c r="AU217" s="96">
        <f t="shared" si="187"/>
        <v>57.110751820179928</v>
      </c>
      <c r="AV217" s="96">
        <f t="shared" si="188"/>
        <v>58.310077608403702</v>
      </c>
      <c r="AW217" s="96">
        <f t="shared" si="189"/>
        <v>59.534589238180175</v>
      </c>
      <c r="AX217" s="96">
        <f t="shared" si="190"/>
        <v>60.784815612181944</v>
      </c>
      <c r="AY217" s="96">
        <f t="shared" si="191"/>
        <v>62.061296740037768</v>
      </c>
      <c r="AZ217" s="96">
        <f t="shared" si="192"/>
        <v>63.364583971578547</v>
      </c>
      <c r="BA217" s="96">
        <f t="shared" si="193"/>
        <v>64.695240234981696</v>
      </c>
      <c r="BB217" s="96">
        <f t="shared" si="194"/>
        <v>66.053840279916301</v>
      </c>
      <c r="BC217" s="96">
        <f t="shared" si="195"/>
        <v>67.440970925794545</v>
      </c>
      <c r="BE217" s="169">
        <f t="shared" si="196"/>
        <v>60.665888212113146</v>
      </c>
      <c r="BQ217" s="81" t="s">
        <v>16</v>
      </c>
      <c r="BR217" s="173">
        <f t="shared" si="197"/>
        <v>0</v>
      </c>
      <c r="BS217" s="173">
        <f t="shared" si="198"/>
        <v>0</v>
      </c>
      <c r="BT217" s="173">
        <f t="shared" si="199"/>
        <v>0</v>
      </c>
      <c r="BU217" s="173">
        <f t="shared" si="200"/>
        <v>0</v>
      </c>
      <c r="BV217" s="173">
        <f t="shared" si="201"/>
        <v>0</v>
      </c>
      <c r="BW217" s="173">
        <f t="shared" si="202"/>
        <v>0</v>
      </c>
      <c r="BX217" s="173">
        <f t="shared" si="203"/>
        <v>0</v>
      </c>
      <c r="BY217" s="173">
        <f t="shared" si="204"/>
        <v>0</v>
      </c>
      <c r="BZ217" s="173">
        <f t="shared" si="205"/>
        <v>0</v>
      </c>
      <c r="CA217" s="173">
        <f t="shared" si="206"/>
        <v>0</v>
      </c>
    </row>
    <row r="218" spans="16:79">
      <c r="P218" s="96" t="s">
        <v>19</v>
      </c>
      <c r="Q218" s="170">
        <v>98878.2</v>
      </c>
      <c r="R218" s="170">
        <v>101251.27679999999</v>
      </c>
      <c r="S218" s="170">
        <v>103377.55361279999</v>
      </c>
      <c r="T218" s="170">
        <v>105548.48223866879</v>
      </c>
      <c r="U218" s="170">
        <v>107765.00036568081</v>
      </c>
      <c r="V218" s="170">
        <v>110028.06537336011</v>
      </c>
      <c r="W218" s="170">
        <v>112338.65474620066</v>
      </c>
      <c r="X218" s="170">
        <v>114697.76649587086</v>
      </c>
      <c r="Y218" s="170">
        <v>117106.41959228413</v>
      </c>
      <c r="Z218" s="170">
        <v>119565.65440372209</v>
      </c>
      <c r="AB218" s="96" t="s">
        <v>19</v>
      </c>
      <c r="AC218" s="96">
        <v>361.25</v>
      </c>
      <c r="AE218" s="96">
        <f t="shared" si="166"/>
        <v>273.71128027681658</v>
      </c>
      <c r="AF218" s="96">
        <f t="shared" si="167"/>
        <v>280.28035100346017</v>
      </c>
      <c r="AG218" s="96">
        <f t="shared" si="168"/>
        <v>286.16623837453284</v>
      </c>
      <c r="AH218" s="96">
        <f t="shared" si="169"/>
        <v>292.17572938039802</v>
      </c>
      <c r="AI218" s="96">
        <f t="shared" si="170"/>
        <v>298.31141969738633</v>
      </c>
      <c r="AJ218" s="96">
        <f t="shared" si="171"/>
        <v>304.57595951103144</v>
      </c>
      <c r="AK218" s="96">
        <f t="shared" si="172"/>
        <v>310.97205466076304</v>
      </c>
      <c r="AL218" s="96">
        <f t="shared" si="173"/>
        <v>317.50246780863904</v>
      </c>
      <c r="AM218" s="96">
        <f t="shared" si="174"/>
        <v>324.17001963262044</v>
      </c>
      <c r="AN218" s="96">
        <f t="shared" si="175"/>
        <v>330.97759004490541</v>
      </c>
      <c r="AS218" s="96" t="s">
        <v>19</v>
      </c>
      <c r="AT218" s="96">
        <f t="shared" si="186"/>
        <v>33.228549425605529</v>
      </c>
      <c r="AU218" s="96">
        <f t="shared" si="187"/>
        <v>34.026034611820066</v>
      </c>
      <c r="AV218" s="96">
        <f t="shared" si="188"/>
        <v>34.740581338668285</v>
      </c>
      <c r="AW218" s="96">
        <f t="shared" si="189"/>
        <v>35.470133546780318</v>
      </c>
      <c r="AX218" s="96">
        <f t="shared" si="190"/>
        <v>36.215006351262701</v>
      </c>
      <c r="AY218" s="96">
        <f t="shared" si="191"/>
        <v>36.975521484639216</v>
      </c>
      <c r="AZ218" s="96">
        <f t="shared" si="192"/>
        <v>37.75200743581663</v>
      </c>
      <c r="BA218" s="96">
        <f t="shared" si="193"/>
        <v>38.544799591968776</v>
      </c>
      <c r="BB218" s="96">
        <f t="shared" si="194"/>
        <v>39.354240383400118</v>
      </c>
      <c r="BC218" s="96">
        <f t="shared" si="195"/>
        <v>40.180679431451516</v>
      </c>
      <c r="BE218" s="169">
        <f t="shared" si="196"/>
        <v>36.144150554375692</v>
      </c>
      <c r="BQ218" s="81" t="s">
        <v>17</v>
      </c>
      <c r="BR218" s="173">
        <f t="shared" si="197"/>
        <v>0</v>
      </c>
      <c r="BS218" s="173">
        <f t="shared" si="198"/>
        <v>0</v>
      </c>
      <c r="BT218" s="173">
        <f t="shared" si="199"/>
        <v>0</v>
      </c>
      <c r="BU218" s="173">
        <f t="shared" si="200"/>
        <v>0</v>
      </c>
      <c r="BV218" s="173">
        <f t="shared" si="201"/>
        <v>0</v>
      </c>
      <c r="BW218" s="173">
        <f t="shared" si="202"/>
        <v>0</v>
      </c>
      <c r="BX218" s="173">
        <f t="shared" si="203"/>
        <v>0</v>
      </c>
      <c r="BY218" s="173">
        <f t="shared" si="204"/>
        <v>0</v>
      </c>
      <c r="BZ218" s="173">
        <f t="shared" si="205"/>
        <v>0</v>
      </c>
      <c r="CA218" s="173">
        <f t="shared" si="206"/>
        <v>0</v>
      </c>
    </row>
    <row r="219" spans="16:79">
      <c r="P219" s="96" t="s">
        <v>19</v>
      </c>
      <c r="Q219" s="170">
        <v>120529.8</v>
      </c>
      <c r="R219" s="170">
        <v>123422.51520000001</v>
      </c>
      <c r="S219" s="170">
        <v>126014.38801920001</v>
      </c>
      <c r="T219" s="170">
        <v>128660.69016760318</v>
      </c>
      <c r="U219" s="170">
        <v>131362.56466112283</v>
      </c>
      <c r="V219" s="170">
        <v>134121.17851900641</v>
      </c>
      <c r="W219" s="170">
        <v>136937.72326790553</v>
      </c>
      <c r="X219" s="170">
        <v>139813.41545653154</v>
      </c>
      <c r="Y219" s="170">
        <v>142749.49718111867</v>
      </c>
      <c r="Z219" s="170">
        <v>145747.23662192214</v>
      </c>
      <c r="AB219" s="96" t="s">
        <v>19</v>
      </c>
      <c r="AC219" s="96">
        <v>361.25</v>
      </c>
      <c r="AE219" s="96">
        <f t="shared" si="166"/>
        <v>333.64650519031142</v>
      </c>
      <c r="AF219" s="96">
        <f t="shared" si="167"/>
        <v>341.65402131487889</v>
      </c>
      <c r="AG219" s="96">
        <f t="shared" si="168"/>
        <v>348.82875576249137</v>
      </c>
      <c r="AH219" s="96">
        <f t="shared" si="169"/>
        <v>356.15415963350364</v>
      </c>
      <c r="AI219" s="96">
        <f t="shared" si="170"/>
        <v>363.63339698580717</v>
      </c>
      <c r="AJ219" s="96">
        <f t="shared" si="171"/>
        <v>371.2696983225091</v>
      </c>
      <c r="AK219" s="96">
        <f t="shared" si="172"/>
        <v>379.06636198728177</v>
      </c>
      <c r="AL219" s="96">
        <f t="shared" si="173"/>
        <v>387.02675558901467</v>
      </c>
      <c r="AM219" s="96">
        <f t="shared" si="174"/>
        <v>395.15431745638386</v>
      </c>
      <c r="AN219" s="96">
        <f t="shared" si="175"/>
        <v>403.4525581229679</v>
      </c>
      <c r="AS219" s="96" t="s">
        <v>19</v>
      </c>
      <c r="AT219" s="96">
        <f t="shared" si="186"/>
        <v>40.504685730103802</v>
      </c>
      <c r="AU219" s="96">
        <f t="shared" si="187"/>
        <v>41.476798187626294</v>
      </c>
      <c r="AV219" s="96">
        <f t="shared" si="188"/>
        <v>42.347810949566451</v>
      </c>
      <c r="AW219" s="96">
        <f t="shared" si="189"/>
        <v>43.237114979507339</v>
      </c>
      <c r="AX219" s="96">
        <f t="shared" si="190"/>
        <v>44.145094394076985</v>
      </c>
      <c r="AY219" s="96">
        <f t="shared" si="191"/>
        <v>45.072141376352604</v>
      </c>
      <c r="AZ219" s="96">
        <f t="shared" si="192"/>
        <v>46.018656345256005</v>
      </c>
      <c r="BA219" s="96">
        <f t="shared" si="193"/>
        <v>46.985048128506378</v>
      </c>
      <c r="BB219" s="96">
        <f t="shared" si="194"/>
        <v>47.971734139204997</v>
      </c>
      <c r="BC219" s="96">
        <f t="shared" si="195"/>
        <v>48.9791405561283</v>
      </c>
      <c r="BE219" s="169">
        <f t="shared" si="196"/>
        <v>44.058723130971146</v>
      </c>
      <c r="BQ219" s="81" t="s">
        <v>18</v>
      </c>
      <c r="BR219" s="173">
        <f t="shared" si="197"/>
        <v>0</v>
      </c>
      <c r="BS219" s="173">
        <f t="shared" si="198"/>
        <v>0</v>
      </c>
      <c r="BT219" s="173">
        <f t="shared" si="199"/>
        <v>0</v>
      </c>
      <c r="BU219" s="173">
        <f t="shared" si="200"/>
        <v>0</v>
      </c>
      <c r="BV219" s="173">
        <f t="shared" si="201"/>
        <v>0</v>
      </c>
      <c r="BW219" s="173">
        <f t="shared" si="202"/>
        <v>0</v>
      </c>
      <c r="BX219" s="173">
        <f t="shared" si="203"/>
        <v>0</v>
      </c>
      <c r="BY219" s="173">
        <f t="shared" si="204"/>
        <v>0</v>
      </c>
      <c r="BZ219" s="173">
        <f t="shared" si="205"/>
        <v>0</v>
      </c>
      <c r="CA219" s="173">
        <f t="shared" si="206"/>
        <v>0</v>
      </c>
    </row>
    <row r="220" spans="16:79">
      <c r="P220" s="96" t="s">
        <v>19</v>
      </c>
      <c r="Q220" s="170">
        <v>87457.36</v>
      </c>
      <c r="R220" s="170">
        <v>89556.336640000009</v>
      </c>
      <c r="S220" s="170">
        <v>91437.019709440006</v>
      </c>
      <c r="T220" s="170">
        <v>93357.197123338221</v>
      </c>
      <c r="U220" s="170">
        <v>95317.698262928316</v>
      </c>
      <c r="V220" s="170">
        <v>97319.369926449814</v>
      </c>
      <c r="W220" s="170">
        <v>99363.076694905249</v>
      </c>
      <c r="X220" s="170">
        <v>101449.70130549825</v>
      </c>
      <c r="Y220" s="170">
        <v>103580.1450329137</v>
      </c>
      <c r="Z220" s="170">
        <v>105755.32807860487</v>
      </c>
      <c r="AB220" s="96" t="s">
        <v>19</v>
      </c>
      <c r="AC220" s="96">
        <v>361.25</v>
      </c>
      <c r="AE220" s="96">
        <f t="shared" si="166"/>
        <v>242.09649826989619</v>
      </c>
      <c r="AF220" s="96">
        <f t="shared" si="167"/>
        <v>247.90681422837372</v>
      </c>
      <c r="AG220" s="96">
        <f t="shared" si="168"/>
        <v>253.11285732716956</v>
      </c>
      <c r="AH220" s="96">
        <f t="shared" si="169"/>
        <v>258.42822733104003</v>
      </c>
      <c r="AI220" s="96">
        <f t="shared" si="170"/>
        <v>263.85522010499187</v>
      </c>
      <c r="AJ220" s="96">
        <f t="shared" si="171"/>
        <v>269.39617972719674</v>
      </c>
      <c r="AK220" s="96">
        <f t="shared" si="172"/>
        <v>275.0534995014678</v>
      </c>
      <c r="AL220" s="96">
        <f t="shared" si="173"/>
        <v>280.82962299099864</v>
      </c>
      <c r="AM220" s="96">
        <f t="shared" si="174"/>
        <v>286.72704507380956</v>
      </c>
      <c r="AN220" s="96">
        <f t="shared" si="175"/>
        <v>292.74831302035949</v>
      </c>
      <c r="AS220" s="96" t="s">
        <v>19</v>
      </c>
      <c r="AT220" s="96">
        <f t="shared" si="186"/>
        <v>29.390514889965395</v>
      </c>
      <c r="AU220" s="96">
        <f t="shared" si="187"/>
        <v>30.095887247324569</v>
      </c>
      <c r="AV220" s="96">
        <f t="shared" si="188"/>
        <v>30.727900879518383</v>
      </c>
      <c r="AW220" s="96">
        <f t="shared" si="189"/>
        <v>31.373186797988257</v>
      </c>
      <c r="AX220" s="96">
        <f t="shared" si="190"/>
        <v>32.032023720746011</v>
      </c>
      <c r="AY220" s="96">
        <f t="shared" si="191"/>
        <v>32.704696218881679</v>
      </c>
      <c r="AZ220" s="96">
        <f t="shared" si="192"/>
        <v>33.391494839478192</v>
      </c>
      <c r="BA220" s="96">
        <f t="shared" si="193"/>
        <v>34.092716231107232</v>
      </c>
      <c r="BB220" s="96">
        <f t="shared" si="194"/>
        <v>34.808663271960476</v>
      </c>
      <c r="BC220" s="96">
        <f t="shared" si="195"/>
        <v>35.539645200671643</v>
      </c>
      <c r="BE220" s="169">
        <f t="shared" si="196"/>
        <v>31.969352060699265</v>
      </c>
      <c r="BQ220" s="81" t="s">
        <v>19</v>
      </c>
      <c r="BR220" s="173">
        <f t="shared" si="197"/>
        <v>0</v>
      </c>
      <c r="BS220" s="173">
        <f t="shared" si="198"/>
        <v>0</v>
      </c>
      <c r="BT220" s="173">
        <f t="shared" si="199"/>
        <v>0</v>
      </c>
      <c r="BU220" s="173">
        <f t="shared" si="200"/>
        <v>0</v>
      </c>
      <c r="BV220" s="173">
        <f t="shared" si="201"/>
        <v>0</v>
      </c>
      <c r="BW220" s="173">
        <f t="shared" si="202"/>
        <v>0</v>
      </c>
      <c r="BX220" s="173">
        <f t="shared" si="203"/>
        <v>0</v>
      </c>
      <c r="BY220" s="173">
        <f t="shared" si="204"/>
        <v>0</v>
      </c>
      <c r="BZ220" s="173">
        <f t="shared" si="205"/>
        <v>0</v>
      </c>
      <c r="CA220" s="173">
        <f t="shared" si="206"/>
        <v>0</v>
      </c>
    </row>
    <row r="221" spans="16:79">
      <c r="P221" s="96" t="s">
        <v>19</v>
      </c>
      <c r="Q221" s="170">
        <v>118925.1</v>
      </c>
      <c r="R221" s="170">
        <v>121779.30240000002</v>
      </c>
      <c r="S221" s="170">
        <v>124336.66775040001</v>
      </c>
      <c r="T221" s="170">
        <v>126947.73777315838</v>
      </c>
      <c r="U221" s="170">
        <v>129613.64026639469</v>
      </c>
      <c r="V221" s="170">
        <v>132335.52671198899</v>
      </c>
      <c r="W221" s="170">
        <v>135114.57277294074</v>
      </c>
      <c r="X221" s="170">
        <v>137951.97880117249</v>
      </c>
      <c r="Y221" s="170">
        <v>140848.97035599709</v>
      </c>
      <c r="Z221" s="170">
        <v>143806.798733473</v>
      </c>
      <c r="AB221" s="96" t="s">
        <v>19</v>
      </c>
      <c r="AC221" s="96">
        <v>361.25</v>
      </c>
      <c r="AE221" s="96">
        <f t="shared" si="166"/>
        <v>329.20442906574397</v>
      </c>
      <c r="AF221" s="96">
        <f t="shared" si="167"/>
        <v>337.10533536332184</v>
      </c>
      <c r="AG221" s="96">
        <f t="shared" si="168"/>
        <v>344.18454740595161</v>
      </c>
      <c r="AH221" s="96">
        <f t="shared" si="169"/>
        <v>351.41242290147648</v>
      </c>
      <c r="AI221" s="96">
        <f t="shared" si="170"/>
        <v>358.79208378240747</v>
      </c>
      <c r="AJ221" s="96">
        <f t="shared" si="171"/>
        <v>366.32671754183804</v>
      </c>
      <c r="AK221" s="96">
        <f t="shared" si="172"/>
        <v>374.01957861021657</v>
      </c>
      <c r="AL221" s="96">
        <f t="shared" si="173"/>
        <v>381.87398976103111</v>
      </c>
      <c r="AM221" s="96">
        <f t="shared" si="174"/>
        <v>389.89334354601272</v>
      </c>
      <c r="AN221" s="96">
        <f t="shared" si="175"/>
        <v>398.08110376047887</v>
      </c>
      <c r="AS221" s="96" t="s">
        <v>19</v>
      </c>
      <c r="AT221" s="96">
        <f t="shared" si="186"/>
        <v>39.965417688581319</v>
      </c>
      <c r="AU221" s="96">
        <f t="shared" si="187"/>
        <v>40.924587713107272</v>
      </c>
      <c r="AV221" s="96">
        <f t="shared" si="188"/>
        <v>41.784004055082519</v>
      </c>
      <c r="AW221" s="96">
        <f t="shared" si="189"/>
        <v>42.661468140239243</v>
      </c>
      <c r="AX221" s="96">
        <f t="shared" si="190"/>
        <v>43.557358971184264</v>
      </c>
      <c r="AY221" s="96">
        <f t="shared" si="191"/>
        <v>44.472063509579137</v>
      </c>
      <c r="AZ221" s="96">
        <f t="shared" si="192"/>
        <v>45.405976843280293</v>
      </c>
      <c r="BA221" s="96">
        <f t="shared" si="193"/>
        <v>46.359502356989175</v>
      </c>
      <c r="BB221" s="96">
        <f t="shared" si="194"/>
        <v>47.333051906485942</v>
      </c>
      <c r="BC221" s="96">
        <f t="shared" si="195"/>
        <v>48.327045996522131</v>
      </c>
      <c r="BE221" s="169">
        <f t="shared" si="196"/>
        <v>43.472137630885129</v>
      </c>
      <c r="BQ221" s="81" t="s">
        <v>20</v>
      </c>
      <c r="BR221" s="173">
        <f t="shared" si="197"/>
        <v>0</v>
      </c>
      <c r="BS221" s="173">
        <f t="shared" si="198"/>
        <v>0</v>
      </c>
      <c r="BT221" s="173">
        <f t="shared" si="199"/>
        <v>0</v>
      </c>
      <c r="BU221" s="173">
        <f t="shared" si="200"/>
        <v>0</v>
      </c>
      <c r="BV221" s="173">
        <f t="shared" si="201"/>
        <v>0</v>
      </c>
      <c r="BW221" s="173">
        <f t="shared" si="202"/>
        <v>0</v>
      </c>
      <c r="BX221" s="173">
        <f t="shared" si="203"/>
        <v>0</v>
      </c>
      <c r="BY221" s="173">
        <f t="shared" si="204"/>
        <v>0</v>
      </c>
      <c r="BZ221" s="173">
        <f t="shared" si="205"/>
        <v>0</v>
      </c>
      <c r="CA221" s="173">
        <f t="shared" si="206"/>
        <v>0</v>
      </c>
    </row>
    <row r="222" spans="16:79">
      <c r="P222" s="96" t="s">
        <v>19</v>
      </c>
      <c r="Q222" s="170">
        <v>29399.68</v>
      </c>
      <c r="R222" s="170">
        <v>30105.27232</v>
      </c>
      <c r="S222" s="170">
        <v>30737.483038720002</v>
      </c>
      <c r="T222" s="170">
        <v>31382.970182533118</v>
      </c>
      <c r="U222" s="170">
        <v>32042.012556366306</v>
      </c>
      <c r="V222" s="170">
        <v>32714.894820049998</v>
      </c>
      <c r="W222" s="170">
        <v>33401.907611271046</v>
      </c>
      <c r="X222" s="170">
        <v>34103.347671107731</v>
      </c>
      <c r="Y222" s="170">
        <v>34819.517972200993</v>
      </c>
      <c r="Z222" s="170">
        <v>35550.727849617208</v>
      </c>
      <c r="AB222" s="96" t="s">
        <v>19</v>
      </c>
      <c r="AC222" s="96">
        <v>361.25</v>
      </c>
      <c r="AE222" s="96">
        <f t="shared" si="166"/>
        <v>81.383197231833904</v>
      </c>
      <c r="AF222" s="96">
        <f t="shared" si="167"/>
        <v>83.336393965397917</v>
      </c>
      <c r="AG222" s="96">
        <f t="shared" si="168"/>
        <v>85.086458238671284</v>
      </c>
      <c r="AH222" s="96">
        <f t="shared" si="169"/>
        <v>86.873273861683373</v>
      </c>
      <c r="AI222" s="96">
        <f t="shared" si="170"/>
        <v>88.697612612778698</v>
      </c>
      <c r="AJ222" s="96">
        <f t="shared" si="171"/>
        <v>90.560262477647058</v>
      </c>
      <c r="AK222" s="96">
        <f t="shared" si="172"/>
        <v>92.462027989677637</v>
      </c>
      <c r="AL222" s="96">
        <f t="shared" si="173"/>
        <v>94.403730577460848</v>
      </c>
      <c r="AM222" s="96">
        <f t="shared" si="174"/>
        <v>96.386208919587517</v>
      </c>
      <c r="AN222" s="96">
        <f t="shared" si="175"/>
        <v>98.410319306898842</v>
      </c>
      <c r="AS222" s="96" t="s">
        <v>19</v>
      </c>
      <c r="AT222" s="96">
        <f t="shared" si="186"/>
        <v>9.879920143944636</v>
      </c>
      <c r="AU222" s="96">
        <f t="shared" si="187"/>
        <v>10.117038227399307</v>
      </c>
      <c r="AV222" s="96">
        <f t="shared" si="188"/>
        <v>10.329496030174694</v>
      </c>
      <c r="AW222" s="96">
        <f t="shared" si="189"/>
        <v>10.546415446808361</v>
      </c>
      <c r="AX222" s="96">
        <f t="shared" si="190"/>
        <v>10.767890171191333</v>
      </c>
      <c r="AY222" s="96">
        <f t="shared" si="191"/>
        <v>10.994015864786352</v>
      </c>
      <c r="AZ222" s="96">
        <f t="shared" si="192"/>
        <v>11.224890197946864</v>
      </c>
      <c r="BA222" s="96">
        <f t="shared" si="193"/>
        <v>11.460612892103747</v>
      </c>
      <c r="BB222" s="96">
        <f t="shared" si="194"/>
        <v>11.701285762837925</v>
      </c>
      <c r="BC222" s="96">
        <f t="shared" si="195"/>
        <v>11.947012763857519</v>
      </c>
      <c r="BE222" s="169">
        <f t="shared" si="196"/>
        <v>10.746822456016274</v>
      </c>
      <c r="BQ222" s="81" t="s">
        <v>21</v>
      </c>
      <c r="BR222" s="173">
        <f t="shared" si="197"/>
        <v>0</v>
      </c>
      <c r="BS222" s="173">
        <f t="shared" si="198"/>
        <v>0</v>
      </c>
      <c r="BT222" s="173">
        <f t="shared" si="199"/>
        <v>0</v>
      </c>
      <c r="BU222" s="173">
        <f t="shared" si="200"/>
        <v>0</v>
      </c>
      <c r="BV222" s="173">
        <f t="shared" si="201"/>
        <v>0</v>
      </c>
      <c r="BW222" s="173">
        <f t="shared" si="202"/>
        <v>27.026780245385961</v>
      </c>
      <c r="BX222" s="173">
        <f t="shared" si="203"/>
        <v>56.016515539994302</v>
      </c>
      <c r="BY222" s="173">
        <f t="shared" si="204"/>
        <v>87.082472063104603</v>
      </c>
      <c r="BZ222" s="173">
        <f t="shared" si="205"/>
        <v>88.911203976429789</v>
      </c>
      <c r="CA222" s="173">
        <f t="shared" si="206"/>
        <v>90.77833925993481</v>
      </c>
    </row>
    <row r="223" spans="16:79">
      <c r="P223" s="96" t="s">
        <v>19</v>
      </c>
      <c r="Q223" s="170">
        <v>134750.9</v>
      </c>
      <c r="R223" s="170">
        <v>137984.9216</v>
      </c>
      <c r="S223" s="170">
        <v>140882.60495360001</v>
      </c>
      <c r="T223" s="170">
        <v>143841.13965762558</v>
      </c>
      <c r="U223" s="170">
        <v>146861.80359043568</v>
      </c>
      <c r="V223" s="170">
        <v>149945.90146583485</v>
      </c>
      <c r="W223" s="170">
        <v>153094.76539661735</v>
      </c>
      <c r="X223" s="170">
        <v>156309.75546994631</v>
      </c>
      <c r="Y223" s="170">
        <v>159592.26033481516</v>
      </c>
      <c r="Z223" s="170">
        <v>162943.69780184625</v>
      </c>
      <c r="AB223" s="96" t="s">
        <v>19</v>
      </c>
      <c r="AC223" s="96">
        <v>361.25</v>
      </c>
      <c r="AE223" s="96">
        <f t="shared" si="166"/>
        <v>373.01287197231835</v>
      </c>
      <c r="AF223" s="96">
        <f t="shared" si="167"/>
        <v>381.965180899654</v>
      </c>
      <c r="AG223" s="96">
        <f t="shared" si="168"/>
        <v>389.98644969854672</v>
      </c>
      <c r="AH223" s="96">
        <f t="shared" si="169"/>
        <v>398.17616514221612</v>
      </c>
      <c r="AI223" s="96">
        <f t="shared" si="170"/>
        <v>406.53786461020258</v>
      </c>
      <c r="AJ223" s="96">
        <f t="shared" si="171"/>
        <v>415.07515976701688</v>
      </c>
      <c r="AK223" s="96">
        <f t="shared" si="172"/>
        <v>423.79173812212417</v>
      </c>
      <c r="AL223" s="96">
        <f t="shared" si="173"/>
        <v>432.69136462268875</v>
      </c>
      <c r="AM223" s="96">
        <f t="shared" si="174"/>
        <v>441.77788327976515</v>
      </c>
      <c r="AN223" s="96">
        <f t="shared" si="175"/>
        <v>451.05521882864014</v>
      </c>
      <c r="AS223" s="96" t="s">
        <v>19</v>
      </c>
      <c r="AT223" s="96">
        <f t="shared" si="186"/>
        <v>45.283762657439446</v>
      </c>
      <c r="AU223" s="96">
        <f t="shared" si="187"/>
        <v>46.370572961217995</v>
      </c>
      <c r="AV223" s="96">
        <f t="shared" si="188"/>
        <v>47.34435499340357</v>
      </c>
      <c r="AW223" s="96">
        <f t="shared" si="189"/>
        <v>48.338586448265033</v>
      </c>
      <c r="AX223" s="96">
        <f t="shared" si="190"/>
        <v>49.353696763678592</v>
      </c>
      <c r="AY223" s="96">
        <f t="shared" si="191"/>
        <v>50.390124395715844</v>
      </c>
      <c r="AZ223" s="96">
        <f t="shared" si="192"/>
        <v>51.448317008025874</v>
      </c>
      <c r="BA223" s="96">
        <f t="shared" si="193"/>
        <v>52.528731665194414</v>
      </c>
      <c r="BB223" s="96">
        <f t="shared" si="194"/>
        <v>53.631835030163487</v>
      </c>
      <c r="BC223" s="96">
        <f t="shared" si="195"/>
        <v>54.758103565796908</v>
      </c>
      <c r="BE223" s="169">
        <f t="shared" si="196"/>
        <v>49.257134706513902</v>
      </c>
      <c r="BQ223" s="81" t="s">
        <v>54</v>
      </c>
      <c r="BR223" s="173">
        <f t="shared" si="197"/>
        <v>0</v>
      </c>
      <c r="BS223" s="173">
        <f t="shared" si="198"/>
        <v>0</v>
      </c>
      <c r="BT223" s="173">
        <f t="shared" si="199"/>
        <v>0</v>
      </c>
      <c r="BU223" s="173">
        <f t="shared" si="200"/>
        <v>0</v>
      </c>
      <c r="BV223" s="173">
        <f t="shared" si="201"/>
        <v>0</v>
      </c>
      <c r="BW223" s="173">
        <f t="shared" si="202"/>
        <v>0</v>
      </c>
      <c r="BX223" s="173">
        <f t="shared" si="203"/>
        <v>0</v>
      </c>
      <c r="BY223" s="173">
        <f t="shared" si="204"/>
        <v>0</v>
      </c>
      <c r="BZ223" s="173">
        <f t="shared" si="205"/>
        <v>0</v>
      </c>
      <c r="CA223" s="173">
        <f t="shared" si="206"/>
        <v>0</v>
      </c>
    </row>
    <row r="224" spans="16:79">
      <c r="P224" s="96" t="s">
        <v>19</v>
      </c>
      <c r="Q224" s="170">
        <v>111945.4</v>
      </c>
      <c r="R224" s="170">
        <v>114632.08959999999</v>
      </c>
      <c r="S224" s="170">
        <v>117039.3634816</v>
      </c>
      <c r="T224" s="170">
        <v>119497.19011471358</v>
      </c>
      <c r="U224" s="170">
        <v>122006.63110712255</v>
      </c>
      <c r="V224" s="170">
        <v>124568.77036037212</v>
      </c>
      <c r="W224" s="170">
        <v>127184.71453793992</v>
      </c>
      <c r="X224" s="170">
        <v>129855.59354323664</v>
      </c>
      <c r="Y224" s="170">
        <v>132582.5610076446</v>
      </c>
      <c r="Z224" s="170">
        <v>135366.7947888051</v>
      </c>
      <c r="AB224" s="96" t="s">
        <v>19</v>
      </c>
      <c r="AC224" s="96">
        <v>361.25</v>
      </c>
      <c r="AE224" s="96">
        <f t="shared" si="166"/>
        <v>309.88346020761242</v>
      </c>
      <c r="AF224" s="96">
        <f t="shared" si="167"/>
        <v>317.32066325259512</v>
      </c>
      <c r="AG224" s="96">
        <f t="shared" si="168"/>
        <v>323.98439718089963</v>
      </c>
      <c r="AH224" s="96">
        <f t="shared" si="169"/>
        <v>330.7880695216985</v>
      </c>
      <c r="AI224" s="96">
        <f t="shared" si="170"/>
        <v>337.73461898165414</v>
      </c>
      <c r="AJ224" s="96">
        <f t="shared" si="171"/>
        <v>344.82704598026885</v>
      </c>
      <c r="AK224" s="96">
        <f t="shared" si="172"/>
        <v>352.06841394585445</v>
      </c>
      <c r="AL224" s="96">
        <f t="shared" si="173"/>
        <v>359.46185063871735</v>
      </c>
      <c r="AM224" s="96">
        <f t="shared" si="174"/>
        <v>367.0105495021304</v>
      </c>
      <c r="AN224" s="96">
        <f t="shared" si="175"/>
        <v>374.71777104167501</v>
      </c>
      <c r="AS224" s="96" t="s">
        <v>19</v>
      </c>
      <c r="AT224" s="96">
        <f t="shared" si="186"/>
        <v>37.619852069204143</v>
      </c>
      <c r="AU224" s="96">
        <f t="shared" si="187"/>
        <v>38.522728518865044</v>
      </c>
      <c r="AV224" s="96">
        <f t="shared" si="188"/>
        <v>39.331705817761211</v>
      </c>
      <c r="AW224" s="96">
        <f t="shared" si="189"/>
        <v>40.157671639934193</v>
      </c>
      <c r="AX224" s="96">
        <f t="shared" si="190"/>
        <v>41.000982744372813</v>
      </c>
      <c r="AY224" s="96">
        <f t="shared" si="191"/>
        <v>41.862003382004637</v>
      </c>
      <c r="AZ224" s="96">
        <f t="shared" si="192"/>
        <v>42.741105453026726</v>
      </c>
      <c r="BA224" s="96">
        <f t="shared" si="193"/>
        <v>43.638668667540287</v>
      </c>
      <c r="BB224" s="96">
        <f t="shared" si="194"/>
        <v>44.555080709558631</v>
      </c>
      <c r="BC224" s="96">
        <f t="shared" si="195"/>
        <v>45.490737404459345</v>
      </c>
      <c r="BE224" s="169">
        <f t="shared" si="196"/>
        <v>40.920763034418201</v>
      </c>
      <c r="BQ224" s="81" t="s">
        <v>22</v>
      </c>
      <c r="BR224" s="173">
        <f t="shared" si="197"/>
        <v>0</v>
      </c>
      <c r="BS224" s="173">
        <f t="shared" si="198"/>
        <v>18.438306635294119</v>
      </c>
      <c r="BT224" s="173">
        <f t="shared" si="199"/>
        <v>56.476533223905882</v>
      </c>
      <c r="BU224" s="173">
        <f t="shared" si="200"/>
        <v>115.32508084321579</v>
      </c>
      <c r="BV224" s="173">
        <f t="shared" si="201"/>
        <v>238.6249653953933</v>
      </c>
      <c r="BW224" s="173">
        <f t="shared" si="202"/>
        <v>343.81908350143209</v>
      </c>
      <c r="BX224" s="173">
        <f t="shared" si="203"/>
        <v>412.41138627689594</v>
      </c>
      <c r="BY224" s="173">
        <f t="shared" si="204"/>
        <v>421.0720253887107</v>
      </c>
      <c r="BZ224" s="173">
        <f t="shared" si="205"/>
        <v>429.91453792187372</v>
      </c>
      <c r="CA224" s="173">
        <f t="shared" si="206"/>
        <v>438.94274321823292</v>
      </c>
    </row>
    <row r="225" spans="16:79">
      <c r="P225" s="96" t="s">
        <v>19</v>
      </c>
      <c r="Q225" s="170">
        <v>34555.42</v>
      </c>
      <c r="R225" s="170">
        <v>35384.750079999998</v>
      </c>
      <c r="S225" s="170">
        <v>36127.829831679999</v>
      </c>
      <c r="T225" s="170">
        <v>36886.514258145275</v>
      </c>
      <c r="U225" s="170">
        <v>37661.131057566316</v>
      </c>
      <c r="V225" s="170">
        <v>38452.01480977521</v>
      </c>
      <c r="W225" s="170">
        <v>39259.507120780487</v>
      </c>
      <c r="X225" s="170">
        <v>40083.956770316872</v>
      </c>
      <c r="Y225" s="170">
        <v>40925.719862493519</v>
      </c>
      <c r="Z225" s="170">
        <v>41785.15997960588</v>
      </c>
      <c r="AB225" s="96" t="s">
        <v>19</v>
      </c>
      <c r="AC225" s="96">
        <v>361.25</v>
      </c>
      <c r="AE225" s="96">
        <f t="shared" si="166"/>
        <v>95.655141868512104</v>
      </c>
      <c r="AF225" s="96">
        <f t="shared" si="167"/>
        <v>97.950865273356399</v>
      </c>
      <c r="AG225" s="96">
        <f t="shared" si="168"/>
        <v>100.00783344409689</v>
      </c>
      <c r="AH225" s="96">
        <f t="shared" si="169"/>
        <v>102.10799794642291</v>
      </c>
      <c r="AI225" s="96">
        <f t="shared" si="170"/>
        <v>104.25226590329775</v>
      </c>
      <c r="AJ225" s="96">
        <f t="shared" si="171"/>
        <v>106.44156348726702</v>
      </c>
      <c r="AK225" s="96">
        <f t="shared" si="172"/>
        <v>108.67683632049962</v>
      </c>
      <c r="AL225" s="96">
        <f t="shared" si="173"/>
        <v>110.95904988323009</v>
      </c>
      <c r="AM225" s="96">
        <f t="shared" si="174"/>
        <v>113.28918993077791</v>
      </c>
      <c r="AN225" s="96">
        <f t="shared" si="175"/>
        <v>115.66826291932423</v>
      </c>
      <c r="AS225" s="96" t="s">
        <v>19</v>
      </c>
      <c r="AT225" s="96">
        <f t="shared" si="186"/>
        <v>11.612534222837368</v>
      </c>
      <c r="AU225" s="96">
        <f t="shared" si="187"/>
        <v>11.891235044185466</v>
      </c>
      <c r="AV225" s="96">
        <f t="shared" si="188"/>
        <v>12.140950980113361</v>
      </c>
      <c r="AW225" s="96">
        <f t="shared" si="189"/>
        <v>12.395910950695741</v>
      </c>
      <c r="AX225" s="96">
        <f t="shared" si="190"/>
        <v>12.656225080660347</v>
      </c>
      <c r="AY225" s="96">
        <f t="shared" si="191"/>
        <v>12.922005807354216</v>
      </c>
      <c r="AZ225" s="96">
        <f t="shared" si="192"/>
        <v>13.193367929308653</v>
      </c>
      <c r="BA225" s="96">
        <f t="shared" si="193"/>
        <v>13.470428655824133</v>
      </c>
      <c r="BB225" s="96">
        <f t="shared" si="194"/>
        <v>13.753307657596437</v>
      </c>
      <c r="BC225" s="96">
        <f t="shared" si="195"/>
        <v>14.042127118405961</v>
      </c>
      <c r="BE225" s="169">
        <f t="shared" si="196"/>
        <v>12.631462778951121</v>
      </c>
      <c r="BQ225" s="81" t="s">
        <v>57</v>
      </c>
      <c r="BR225" s="173">
        <f t="shared" si="197"/>
        <v>0</v>
      </c>
      <c r="BS225" s="173">
        <f t="shared" si="198"/>
        <v>0</v>
      </c>
      <c r="BT225" s="173">
        <f t="shared" si="199"/>
        <v>0</v>
      </c>
      <c r="BU225" s="173">
        <f t="shared" si="200"/>
        <v>0</v>
      </c>
      <c r="BV225" s="173">
        <f t="shared" si="201"/>
        <v>0</v>
      </c>
      <c r="BW225" s="173">
        <f t="shared" si="202"/>
        <v>0</v>
      </c>
      <c r="BX225" s="173">
        <f t="shared" si="203"/>
        <v>0</v>
      </c>
      <c r="BY225" s="173">
        <f t="shared" si="204"/>
        <v>0</v>
      </c>
      <c r="BZ225" s="173">
        <f t="shared" si="205"/>
        <v>0</v>
      </c>
      <c r="CA225" s="173">
        <f t="shared" si="206"/>
        <v>0</v>
      </c>
    </row>
    <row r="226" spans="16:79">
      <c r="P226" s="96" t="s">
        <v>19</v>
      </c>
      <c r="Q226" s="170">
        <v>43896.67</v>
      </c>
      <c r="R226" s="170">
        <v>44950.19008</v>
      </c>
      <c r="S226" s="170">
        <v>45894.144071679999</v>
      </c>
      <c r="T226" s="170">
        <v>46857.921097185274</v>
      </c>
      <c r="U226" s="170">
        <v>47841.937440226153</v>
      </c>
      <c r="V226" s="170">
        <v>48846.618126470901</v>
      </c>
      <c r="W226" s="170">
        <v>49872.397107126788</v>
      </c>
      <c r="X226" s="170">
        <v>50919.717446376446</v>
      </c>
      <c r="Y226" s="170">
        <v>51989.031512750342</v>
      </c>
      <c r="Z226" s="170">
        <v>53080.801174518092</v>
      </c>
      <c r="AB226" s="96" t="s">
        <v>19</v>
      </c>
      <c r="AC226" s="96">
        <v>361.25</v>
      </c>
      <c r="AE226" s="96">
        <f t="shared" si="166"/>
        <v>121.51327335640138</v>
      </c>
      <c r="AF226" s="96">
        <f t="shared" si="167"/>
        <v>124.42959191695502</v>
      </c>
      <c r="AG226" s="96">
        <f t="shared" si="168"/>
        <v>127.04261334721107</v>
      </c>
      <c r="AH226" s="96">
        <f t="shared" si="169"/>
        <v>129.71050822750249</v>
      </c>
      <c r="AI226" s="96">
        <f t="shared" si="170"/>
        <v>132.43442890028001</v>
      </c>
      <c r="AJ226" s="96">
        <f t="shared" si="171"/>
        <v>135.2155519071859</v>
      </c>
      <c r="AK226" s="96">
        <f t="shared" si="172"/>
        <v>138.05507849723679</v>
      </c>
      <c r="AL226" s="96">
        <f t="shared" si="173"/>
        <v>140.95423514567875</v>
      </c>
      <c r="AM226" s="96">
        <f t="shared" si="174"/>
        <v>143.91427408373798</v>
      </c>
      <c r="AN226" s="96">
        <f t="shared" si="175"/>
        <v>146.93647383949644</v>
      </c>
      <c r="AS226" s="96" t="s">
        <v>19</v>
      </c>
      <c r="AT226" s="96">
        <f t="shared" si="186"/>
        <v>14.751711385467127</v>
      </c>
      <c r="AU226" s="96">
        <f t="shared" si="187"/>
        <v>15.105752458718339</v>
      </c>
      <c r="AV226" s="96">
        <f t="shared" si="188"/>
        <v>15.422973260351423</v>
      </c>
      <c r="AW226" s="96">
        <f t="shared" si="189"/>
        <v>15.746855698818802</v>
      </c>
      <c r="AX226" s="96">
        <f t="shared" si="190"/>
        <v>16.077539668493994</v>
      </c>
      <c r="AY226" s="96">
        <f t="shared" si="191"/>
        <v>16.415168001532368</v>
      </c>
      <c r="AZ226" s="96">
        <f t="shared" si="192"/>
        <v>16.759886529564547</v>
      </c>
      <c r="BA226" s="96">
        <f t="shared" si="193"/>
        <v>17.111844146685399</v>
      </c>
      <c r="BB226" s="96">
        <f t="shared" si="194"/>
        <v>17.471192873765791</v>
      </c>
      <c r="BC226" s="96">
        <f t="shared" si="195"/>
        <v>17.838087924114866</v>
      </c>
      <c r="BE226" s="169">
        <f t="shared" si="196"/>
        <v>16.046083457382387</v>
      </c>
      <c r="BQ226" s="81" t="s">
        <v>59</v>
      </c>
      <c r="BR226" s="173">
        <f t="shared" si="197"/>
        <v>0</v>
      </c>
      <c r="BS226" s="173">
        <f t="shared" si="198"/>
        <v>0</v>
      </c>
      <c r="BT226" s="173">
        <f t="shared" si="199"/>
        <v>0</v>
      </c>
      <c r="BU226" s="173">
        <f t="shared" si="200"/>
        <v>0</v>
      </c>
      <c r="BV226" s="173">
        <f t="shared" si="201"/>
        <v>0</v>
      </c>
      <c r="BW226" s="173">
        <f t="shared" si="202"/>
        <v>0</v>
      </c>
      <c r="BX226" s="173">
        <f t="shared" si="203"/>
        <v>0</v>
      </c>
      <c r="BY226" s="173">
        <f t="shared" si="204"/>
        <v>0</v>
      </c>
      <c r="BZ226" s="173">
        <f t="shared" si="205"/>
        <v>0</v>
      </c>
      <c r="CA226" s="173">
        <f t="shared" si="206"/>
        <v>0</v>
      </c>
    </row>
    <row r="227" spans="16:79">
      <c r="P227" s="96" t="s">
        <v>24</v>
      </c>
      <c r="Q227" s="170">
        <v>22555.239999999994</v>
      </c>
      <c r="R227" s="170">
        <v>23096.565759999994</v>
      </c>
      <c r="S227" s="170">
        <v>23581.593640959993</v>
      </c>
      <c r="T227" s="170">
        <v>24076.807107420151</v>
      </c>
      <c r="U227" s="170">
        <v>24582.420056675968</v>
      </c>
      <c r="V227" s="170">
        <v>25098.650877866166</v>
      </c>
      <c r="W227" s="170">
        <v>25625.722546301353</v>
      </c>
      <c r="X227" s="170">
        <v>26163.862719773679</v>
      </c>
      <c r="Y227" s="170">
        <v>26713.303836888921</v>
      </c>
      <c r="Z227" s="170">
        <v>27274.283217463584</v>
      </c>
      <c r="AB227" s="96" t="s">
        <v>24</v>
      </c>
      <c r="AC227" s="96">
        <v>124</v>
      </c>
      <c r="AE227" s="96">
        <f t="shared" si="166"/>
        <v>181.8970967741935</v>
      </c>
      <c r="AF227" s="96">
        <f t="shared" si="167"/>
        <v>186.26262709677414</v>
      </c>
      <c r="AG227" s="96">
        <f t="shared" si="168"/>
        <v>190.17414226580638</v>
      </c>
      <c r="AH227" s="96">
        <f t="shared" si="169"/>
        <v>194.16779925338832</v>
      </c>
      <c r="AI227" s="96">
        <f t="shared" si="170"/>
        <v>198.24532303770943</v>
      </c>
      <c r="AJ227" s="96">
        <f t="shared" si="171"/>
        <v>202.40847482150133</v>
      </c>
      <c r="AK227" s="96">
        <f t="shared" si="172"/>
        <v>206.65905279275285</v>
      </c>
      <c r="AL227" s="96">
        <f t="shared" si="173"/>
        <v>210.99889290140064</v>
      </c>
      <c r="AM227" s="96">
        <f t="shared" si="174"/>
        <v>215.42986965233001</v>
      </c>
      <c r="AN227" s="96">
        <f t="shared" si="175"/>
        <v>219.95389691502891</v>
      </c>
      <c r="AS227" s="96" t="s">
        <v>24</v>
      </c>
      <c r="AT227" s="96">
        <f t="shared" si="186"/>
        <v>22.082307548387089</v>
      </c>
      <c r="AU227" s="96">
        <f t="shared" si="187"/>
        <v>22.612282929548378</v>
      </c>
      <c r="AV227" s="96">
        <f t="shared" si="188"/>
        <v>23.087140871068893</v>
      </c>
      <c r="AW227" s="96">
        <f t="shared" si="189"/>
        <v>23.571970829361341</v>
      </c>
      <c r="AX227" s="96">
        <f t="shared" si="190"/>
        <v>24.066982216777923</v>
      </c>
      <c r="AY227" s="96">
        <f t="shared" si="191"/>
        <v>24.572388843330259</v>
      </c>
      <c r="AZ227" s="96">
        <f t="shared" si="192"/>
        <v>25.088409009040195</v>
      </c>
      <c r="BA227" s="96">
        <f t="shared" si="193"/>
        <v>25.615265598230035</v>
      </c>
      <c r="BB227" s="96">
        <f t="shared" si="194"/>
        <v>26.153186175792861</v>
      </c>
      <c r="BC227" s="96">
        <f t="shared" si="195"/>
        <v>26.702403085484509</v>
      </c>
      <c r="BE227" s="169">
        <f t="shared" si="196"/>
        <v>24.019894410494107</v>
      </c>
      <c r="BQ227" s="81" t="s">
        <v>61</v>
      </c>
      <c r="BR227" s="173">
        <f t="shared" si="197"/>
        <v>0</v>
      </c>
      <c r="BS227" s="173">
        <f t="shared" si="198"/>
        <v>0</v>
      </c>
      <c r="BT227" s="173">
        <f t="shared" si="199"/>
        <v>0</v>
      </c>
      <c r="BU227" s="173">
        <f t="shared" si="200"/>
        <v>0</v>
      </c>
      <c r="BV227" s="173">
        <f t="shared" si="201"/>
        <v>0</v>
      </c>
      <c r="BW227" s="173">
        <f t="shared" si="202"/>
        <v>0</v>
      </c>
      <c r="BX227" s="173">
        <f t="shared" si="203"/>
        <v>0</v>
      </c>
      <c r="BY227" s="173">
        <f t="shared" si="204"/>
        <v>0</v>
      </c>
      <c r="BZ227" s="173">
        <f t="shared" si="205"/>
        <v>0</v>
      </c>
      <c r="CA227" s="173">
        <f t="shared" si="206"/>
        <v>0</v>
      </c>
    </row>
    <row r="228" spans="16:79">
      <c r="P228" s="96" t="s">
        <v>24</v>
      </c>
      <c r="Q228" s="170">
        <v>9329.5300000000007</v>
      </c>
      <c r="R228" s="170">
        <v>9553.4387200000001</v>
      </c>
      <c r="S228" s="170">
        <v>9754.0609331200012</v>
      </c>
      <c r="T228" s="170">
        <v>9958.8962127155191</v>
      </c>
      <c r="U228" s="170">
        <v>10168.033033182544</v>
      </c>
      <c r="V228" s="170">
        <v>10381.561726879378</v>
      </c>
      <c r="W228" s="170">
        <v>10599.574523143843</v>
      </c>
      <c r="X228" s="170">
        <v>10822.165588129863</v>
      </c>
      <c r="Y228" s="170">
        <v>11049.431065480589</v>
      </c>
      <c r="Z228" s="170">
        <v>11281.469117855679</v>
      </c>
      <c r="AB228" s="96" t="s">
        <v>24</v>
      </c>
      <c r="AC228" s="96">
        <v>989</v>
      </c>
      <c r="AE228" s="96">
        <f t="shared" ref="AE228:AE242" si="207">Q228/$AC228</f>
        <v>9.4332962588473208</v>
      </c>
      <c r="AF228" s="96">
        <f t="shared" ref="AF228:AF242" si="208">R228/$AC228</f>
        <v>9.6596953690596568</v>
      </c>
      <c r="AG228" s="96">
        <f t="shared" ref="AG228:AG242" si="209">S228/$AC228</f>
        <v>9.8625489718099111</v>
      </c>
      <c r="AH228" s="96">
        <f t="shared" ref="AH228:AH242" si="210">T228/$AC228</f>
        <v>10.069662500217916</v>
      </c>
      <c r="AI228" s="96">
        <f t="shared" ref="AI228:AI242" si="211">U228/$AC228</f>
        <v>10.281125412722492</v>
      </c>
      <c r="AJ228" s="96">
        <f t="shared" ref="AJ228:AJ242" si="212">V228/$AC228</f>
        <v>10.497029046389663</v>
      </c>
      <c r="AK228" s="96">
        <f t="shared" ref="AK228:AK242" si="213">W228/$AC228</f>
        <v>10.717466656363845</v>
      </c>
      <c r="AL228" s="96">
        <f t="shared" ref="AL228:AL242" si="214">X228/$AC228</f>
        <v>10.942533456147485</v>
      </c>
      <c r="AM228" s="96">
        <f t="shared" ref="AM228:AM242" si="215">Y228/$AC228</f>
        <v>11.172326658726581</v>
      </c>
      <c r="AN228" s="96">
        <f t="shared" ref="AN228:AN242" si="216">Z228/$AC228</f>
        <v>11.406945518559837</v>
      </c>
      <c r="AS228" s="96" t="s">
        <v>24</v>
      </c>
      <c r="AT228" s="96">
        <f t="shared" si="186"/>
        <v>1.1452021658240648</v>
      </c>
      <c r="AU228" s="96">
        <f t="shared" si="187"/>
        <v>1.1726870178038422</v>
      </c>
      <c r="AV228" s="96">
        <f t="shared" si="188"/>
        <v>1.1973134451777232</v>
      </c>
      <c r="AW228" s="96">
        <f t="shared" si="189"/>
        <v>1.222457027526455</v>
      </c>
      <c r="AX228" s="96">
        <f t="shared" si="190"/>
        <v>1.2481286251045105</v>
      </c>
      <c r="AY228" s="96">
        <f t="shared" si="191"/>
        <v>1.2743393262317051</v>
      </c>
      <c r="AZ228" s="96">
        <f t="shared" si="192"/>
        <v>1.3011004520825706</v>
      </c>
      <c r="BA228" s="96">
        <f t="shared" si="193"/>
        <v>1.3284235615763047</v>
      </c>
      <c r="BB228" s="96">
        <f t="shared" si="194"/>
        <v>1.3563204563694069</v>
      </c>
      <c r="BC228" s="96">
        <f t="shared" si="195"/>
        <v>1.3848031859531642</v>
      </c>
      <c r="BE228" s="169">
        <f t="shared" si="196"/>
        <v>1.2456866222648177</v>
      </c>
      <c r="BQ228" s="81" t="s">
        <v>23</v>
      </c>
      <c r="BR228" s="173">
        <f t="shared" si="197"/>
        <v>0</v>
      </c>
      <c r="BS228" s="173">
        <f t="shared" si="198"/>
        <v>0</v>
      </c>
      <c r="BT228" s="173">
        <f t="shared" si="199"/>
        <v>0</v>
      </c>
      <c r="BU228" s="173">
        <f t="shared" si="200"/>
        <v>0</v>
      </c>
      <c r="BV228" s="173">
        <f t="shared" si="201"/>
        <v>0</v>
      </c>
      <c r="BW228" s="173">
        <f t="shared" si="202"/>
        <v>0</v>
      </c>
      <c r="BX228" s="173">
        <f t="shared" si="203"/>
        <v>0</v>
      </c>
      <c r="BY228" s="173">
        <f t="shared" si="204"/>
        <v>0</v>
      </c>
      <c r="BZ228" s="173">
        <f t="shared" si="205"/>
        <v>0</v>
      </c>
      <c r="CA228" s="173">
        <f t="shared" si="206"/>
        <v>0</v>
      </c>
    </row>
    <row r="229" spans="16:79">
      <c r="P229" s="96" t="s">
        <v>24</v>
      </c>
      <c r="Q229" s="170">
        <v>48848.310000000012</v>
      </c>
      <c r="R229" s="170">
        <v>50020.669440000012</v>
      </c>
      <c r="S229" s="170">
        <v>51071.103498240009</v>
      </c>
      <c r="T229" s="170">
        <v>52143.596671703046</v>
      </c>
      <c r="U229" s="170">
        <v>53238.612201808799</v>
      </c>
      <c r="V229" s="170">
        <v>54356.623058046789</v>
      </c>
      <c r="W229" s="170">
        <v>55498.11214226576</v>
      </c>
      <c r="X229" s="170">
        <v>56663.572497253335</v>
      </c>
      <c r="Y229" s="170">
        <v>57853.507519695653</v>
      </c>
      <c r="Z229" s="170">
        <v>59068.431177609251</v>
      </c>
      <c r="AB229" s="96" t="s">
        <v>24</v>
      </c>
      <c r="AC229" s="96">
        <v>379</v>
      </c>
      <c r="AE229" s="96">
        <f t="shared" si="207"/>
        <v>128.8873614775726</v>
      </c>
      <c r="AF229" s="96">
        <f t="shared" si="208"/>
        <v>131.98065815303434</v>
      </c>
      <c r="AG229" s="96">
        <f t="shared" si="209"/>
        <v>134.75225197424805</v>
      </c>
      <c r="AH229" s="96">
        <f t="shared" si="210"/>
        <v>137.58204926570724</v>
      </c>
      <c r="AI229" s="96">
        <f t="shared" si="211"/>
        <v>140.47127230028707</v>
      </c>
      <c r="AJ229" s="96">
        <f t="shared" si="212"/>
        <v>143.4211690185931</v>
      </c>
      <c r="AK229" s="96">
        <f t="shared" si="213"/>
        <v>146.43301356798352</v>
      </c>
      <c r="AL229" s="96">
        <f t="shared" si="214"/>
        <v>149.50810685291117</v>
      </c>
      <c r="AM229" s="96">
        <f t="shared" si="215"/>
        <v>152.6477770968223</v>
      </c>
      <c r="AN229" s="96">
        <f t="shared" si="216"/>
        <v>155.85338041585555</v>
      </c>
      <c r="AS229" s="96" t="s">
        <v>24</v>
      </c>
      <c r="AT229" s="96">
        <f t="shared" si="186"/>
        <v>15.646925683377313</v>
      </c>
      <c r="AU229" s="96">
        <f t="shared" si="187"/>
        <v>16.022451899778368</v>
      </c>
      <c r="AV229" s="96">
        <f t="shared" si="188"/>
        <v>16.358923389673713</v>
      </c>
      <c r="AW229" s="96">
        <f t="shared" si="189"/>
        <v>16.702460780856857</v>
      </c>
      <c r="AX229" s="96">
        <f t="shared" si="190"/>
        <v>17.053212457254848</v>
      </c>
      <c r="AY229" s="96">
        <f t="shared" si="191"/>
        <v>17.411329918857202</v>
      </c>
      <c r="AZ229" s="96">
        <f t="shared" si="192"/>
        <v>17.776967847153198</v>
      </c>
      <c r="BA229" s="96">
        <f t="shared" si="193"/>
        <v>18.150284171943415</v>
      </c>
      <c r="BB229" s="96">
        <f t="shared" si="194"/>
        <v>18.531440139554224</v>
      </c>
      <c r="BC229" s="96">
        <f t="shared" si="195"/>
        <v>18.920600382484864</v>
      </c>
      <c r="BE229" s="169">
        <f t="shared" si="196"/>
        <v>17.019847311701032</v>
      </c>
      <c r="BQ229" s="81" t="s">
        <v>24</v>
      </c>
      <c r="BR229" s="173">
        <f t="shared" si="197"/>
        <v>0</v>
      </c>
      <c r="BS229" s="173">
        <f t="shared" si="198"/>
        <v>0</v>
      </c>
      <c r="BT229" s="173">
        <f t="shared" si="199"/>
        <v>0</v>
      </c>
      <c r="BU229" s="173">
        <f t="shared" si="200"/>
        <v>0</v>
      </c>
      <c r="BV229" s="173">
        <f t="shared" si="201"/>
        <v>0</v>
      </c>
      <c r="BW229" s="173">
        <f t="shared" si="202"/>
        <v>0</v>
      </c>
      <c r="BX229" s="173">
        <f t="shared" si="203"/>
        <v>0</v>
      </c>
      <c r="BY229" s="173">
        <f t="shared" si="204"/>
        <v>0</v>
      </c>
      <c r="BZ229" s="173">
        <f t="shared" si="205"/>
        <v>0</v>
      </c>
      <c r="CA229" s="173">
        <f t="shared" si="206"/>
        <v>0</v>
      </c>
    </row>
    <row r="230" spans="16:79">
      <c r="P230" s="96" t="s">
        <v>24</v>
      </c>
      <c r="Q230" s="170">
        <v>67908.539999999994</v>
      </c>
      <c r="R230" s="170">
        <v>69538.344959999988</v>
      </c>
      <c r="S230" s="170">
        <v>70998.650204159989</v>
      </c>
      <c r="T230" s="170">
        <v>72489.621858447339</v>
      </c>
      <c r="U230" s="170">
        <v>74011.90391747473</v>
      </c>
      <c r="V230" s="170">
        <v>75566.153899741694</v>
      </c>
      <c r="W230" s="170">
        <v>77153.043131636266</v>
      </c>
      <c r="X230" s="170">
        <v>78773.257037400617</v>
      </c>
      <c r="Y230" s="170">
        <v>80427.495435186021</v>
      </c>
      <c r="Z230" s="170">
        <v>82116.47283932491</v>
      </c>
      <c r="AB230" s="96" t="s">
        <v>24</v>
      </c>
      <c r="AC230" s="96">
        <v>119</v>
      </c>
      <c r="AE230" s="96">
        <f t="shared" si="207"/>
        <v>570.66</v>
      </c>
      <c r="AF230" s="96">
        <f t="shared" si="208"/>
        <v>584.35583999999994</v>
      </c>
      <c r="AG230" s="96">
        <f t="shared" si="209"/>
        <v>596.6273126399999</v>
      </c>
      <c r="AH230" s="96">
        <f t="shared" si="210"/>
        <v>609.15648620543982</v>
      </c>
      <c r="AI230" s="96">
        <f t="shared" si="211"/>
        <v>621.94877241575409</v>
      </c>
      <c r="AJ230" s="96">
        <f t="shared" si="212"/>
        <v>635.00969663648482</v>
      </c>
      <c r="AK230" s="96">
        <f t="shared" si="213"/>
        <v>648.34490026585092</v>
      </c>
      <c r="AL230" s="96">
        <f t="shared" si="214"/>
        <v>661.96014317143374</v>
      </c>
      <c r="AM230" s="96">
        <f t="shared" si="215"/>
        <v>675.86130617803383</v>
      </c>
      <c r="AN230" s="96">
        <f t="shared" si="216"/>
        <v>690.05439360777234</v>
      </c>
      <c r="AS230" s="96" t="s">
        <v>24</v>
      </c>
      <c r="AT230" s="96">
        <f t="shared" si="186"/>
        <v>69.278123999999991</v>
      </c>
      <c r="AU230" s="96">
        <f t="shared" si="187"/>
        <v>70.940798975999996</v>
      </c>
      <c r="AV230" s="96">
        <f t="shared" si="188"/>
        <v>72.430555754495984</v>
      </c>
      <c r="AW230" s="96">
        <f t="shared" si="189"/>
        <v>73.951597425340395</v>
      </c>
      <c r="AX230" s="96">
        <f t="shared" si="190"/>
        <v>75.504580971272546</v>
      </c>
      <c r="AY230" s="96">
        <f t="shared" si="191"/>
        <v>77.090177171669254</v>
      </c>
      <c r="AZ230" s="96">
        <f t="shared" si="192"/>
        <v>78.709070892274298</v>
      </c>
      <c r="BA230" s="96">
        <f t="shared" si="193"/>
        <v>80.361961381012051</v>
      </c>
      <c r="BB230" s="96">
        <f t="shared" si="194"/>
        <v>82.049562570013308</v>
      </c>
      <c r="BC230" s="96">
        <f t="shared" si="195"/>
        <v>83.772603383983551</v>
      </c>
      <c r="BE230" s="169">
        <f t="shared" si="196"/>
        <v>75.356853888155442</v>
      </c>
      <c r="BQ230" s="81" t="s">
        <v>25</v>
      </c>
      <c r="BR230" s="173">
        <f t="shared" si="197"/>
        <v>0</v>
      </c>
      <c r="BS230" s="173">
        <f t="shared" si="198"/>
        <v>0</v>
      </c>
      <c r="BT230" s="173">
        <f t="shared" si="199"/>
        <v>0</v>
      </c>
      <c r="BU230" s="173">
        <f t="shared" si="200"/>
        <v>0</v>
      </c>
      <c r="BV230" s="173">
        <f t="shared" si="201"/>
        <v>0</v>
      </c>
      <c r="BW230" s="173">
        <f t="shared" si="202"/>
        <v>0</v>
      </c>
      <c r="BX230" s="173">
        <f t="shared" si="203"/>
        <v>0</v>
      </c>
      <c r="BY230" s="173">
        <f t="shared" si="204"/>
        <v>0</v>
      </c>
      <c r="BZ230" s="173">
        <f t="shared" si="205"/>
        <v>0</v>
      </c>
      <c r="CA230" s="173">
        <f t="shared" si="206"/>
        <v>0</v>
      </c>
    </row>
    <row r="231" spans="16:79">
      <c r="P231" s="96" t="s">
        <v>42</v>
      </c>
      <c r="Q231" s="170">
        <v>21803.040000000001</v>
      </c>
      <c r="R231" s="170">
        <v>22326.312960000003</v>
      </c>
      <c r="S231" s="170">
        <v>22795.165532160001</v>
      </c>
      <c r="T231" s="170">
        <v>23273.864008335357</v>
      </c>
      <c r="U231" s="170">
        <v>23762.615152510396</v>
      </c>
      <c r="V231" s="170">
        <v>24261.630070713116</v>
      </c>
      <c r="W231" s="170">
        <v>24771.124302198088</v>
      </c>
      <c r="X231" s="170">
        <v>25291.317912544244</v>
      </c>
      <c r="Y231" s="170">
        <v>25822.435588707671</v>
      </c>
      <c r="Z231" s="170">
        <v>26364.70673607053</v>
      </c>
      <c r="AB231" s="96" t="s">
        <v>42</v>
      </c>
      <c r="AC231" s="96">
        <v>328</v>
      </c>
      <c r="AE231" s="96">
        <f t="shared" si="207"/>
        <v>66.472682926829265</v>
      </c>
      <c r="AF231" s="96">
        <f t="shared" si="208"/>
        <v>68.068027317073174</v>
      </c>
      <c r="AG231" s="96">
        <f t="shared" si="209"/>
        <v>69.497455890731715</v>
      </c>
      <c r="AH231" s="96">
        <f t="shared" si="210"/>
        <v>70.956902464437064</v>
      </c>
      <c r="AI231" s="96">
        <f t="shared" si="211"/>
        <v>72.446997416190229</v>
      </c>
      <c r="AJ231" s="96">
        <f t="shared" si="212"/>
        <v>73.968384361930234</v>
      </c>
      <c r="AK231" s="96">
        <f t="shared" si="213"/>
        <v>75.52172043353076</v>
      </c>
      <c r="AL231" s="96">
        <f t="shared" si="214"/>
        <v>77.107676562634893</v>
      </c>
      <c r="AM231" s="96">
        <f t="shared" si="215"/>
        <v>78.72693777045022</v>
      </c>
      <c r="AN231" s="96">
        <f t="shared" si="216"/>
        <v>80.38020346362967</v>
      </c>
      <c r="AS231" s="96" t="s">
        <v>42</v>
      </c>
      <c r="AT231" s="96">
        <f t="shared" si="186"/>
        <v>8.0697837073170717</v>
      </c>
      <c r="AU231" s="96">
        <f t="shared" si="187"/>
        <v>8.2634585162926832</v>
      </c>
      <c r="AV231" s="96">
        <f t="shared" si="188"/>
        <v>8.4369911451348294</v>
      </c>
      <c r="AW231" s="96">
        <f t="shared" si="189"/>
        <v>8.6141679591826588</v>
      </c>
      <c r="AX231" s="96">
        <f t="shared" si="190"/>
        <v>8.7950654863254929</v>
      </c>
      <c r="AY231" s="96">
        <f t="shared" si="191"/>
        <v>8.9797618615383303</v>
      </c>
      <c r="AZ231" s="96">
        <f t="shared" si="192"/>
        <v>9.1683368606306335</v>
      </c>
      <c r="BA231" s="96">
        <f t="shared" si="193"/>
        <v>9.3608719347038747</v>
      </c>
      <c r="BB231" s="96">
        <f t="shared" si="194"/>
        <v>9.5574502453326566</v>
      </c>
      <c r="BC231" s="96">
        <f t="shared" si="195"/>
        <v>9.7581567004846406</v>
      </c>
      <c r="BE231" s="169">
        <f t="shared" si="196"/>
        <v>8.7778576645826902</v>
      </c>
      <c r="BQ231" s="81" t="s">
        <v>27</v>
      </c>
      <c r="BR231" s="173">
        <f t="shared" si="197"/>
        <v>0</v>
      </c>
      <c r="BS231" s="173">
        <f t="shared" si="198"/>
        <v>0</v>
      </c>
      <c r="BT231" s="173">
        <f t="shared" si="199"/>
        <v>0</v>
      </c>
      <c r="BU231" s="173">
        <f t="shared" si="200"/>
        <v>0</v>
      </c>
      <c r="BV231" s="173">
        <f t="shared" si="201"/>
        <v>0</v>
      </c>
      <c r="BW231" s="173">
        <f t="shared" si="202"/>
        <v>0</v>
      </c>
      <c r="BX231" s="173">
        <f t="shared" si="203"/>
        <v>0</v>
      </c>
      <c r="BY231" s="173">
        <f t="shared" si="204"/>
        <v>0</v>
      </c>
      <c r="BZ231" s="173">
        <f t="shared" si="205"/>
        <v>0</v>
      </c>
      <c r="CA231" s="173">
        <f t="shared" si="206"/>
        <v>0</v>
      </c>
    </row>
    <row r="232" spans="16:79">
      <c r="P232" s="96" t="s">
        <v>42</v>
      </c>
      <c r="Q232" s="170">
        <v>121234.73999999998</v>
      </c>
      <c r="R232" s="170">
        <v>124144.37375999997</v>
      </c>
      <c r="S232" s="170">
        <v>126751.40560895998</v>
      </c>
      <c r="T232" s="170">
        <v>129413.18512674811</v>
      </c>
      <c r="U232" s="170">
        <v>132130.86201440979</v>
      </c>
      <c r="V232" s="170">
        <v>134905.6101167124</v>
      </c>
      <c r="W232" s="170">
        <v>137738.62792916334</v>
      </c>
      <c r="X232" s="170">
        <v>140631.13911567579</v>
      </c>
      <c r="Y232" s="170">
        <v>143584.39303710495</v>
      </c>
      <c r="Z232" s="170">
        <v>146599.66529088412</v>
      </c>
      <c r="AB232" s="96" t="s">
        <v>42</v>
      </c>
      <c r="AC232" s="96">
        <v>314</v>
      </c>
      <c r="AE232" s="96">
        <f t="shared" si="207"/>
        <v>386.09789808917191</v>
      </c>
      <c r="AF232" s="96">
        <f t="shared" si="208"/>
        <v>395.36424764331201</v>
      </c>
      <c r="AG232" s="96">
        <f t="shared" si="209"/>
        <v>403.66689684382158</v>
      </c>
      <c r="AH232" s="96">
        <f t="shared" si="210"/>
        <v>412.14390167754175</v>
      </c>
      <c r="AI232" s="96">
        <f t="shared" si="211"/>
        <v>420.79892361277007</v>
      </c>
      <c r="AJ232" s="96">
        <f t="shared" si="212"/>
        <v>429.63570100863819</v>
      </c>
      <c r="AK232" s="96">
        <f t="shared" si="213"/>
        <v>438.65805072981954</v>
      </c>
      <c r="AL232" s="96">
        <f t="shared" si="214"/>
        <v>447.8698697951458</v>
      </c>
      <c r="AM232" s="96">
        <f t="shared" si="215"/>
        <v>457.2751370608438</v>
      </c>
      <c r="AN232" s="96">
        <f t="shared" si="216"/>
        <v>466.87791493912141</v>
      </c>
      <c r="AS232" s="96" t="s">
        <v>42</v>
      </c>
      <c r="AT232" s="96">
        <f t="shared" si="186"/>
        <v>46.872284828025464</v>
      </c>
      <c r="AU232" s="96">
        <f t="shared" si="187"/>
        <v>47.997219663898079</v>
      </c>
      <c r="AV232" s="96">
        <f t="shared" si="188"/>
        <v>49.005161276839935</v>
      </c>
      <c r="AW232" s="96">
        <f t="shared" si="189"/>
        <v>50.034269663653568</v>
      </c>
      <c r="AX232" s="96">
        <f t="shared" si="190"/>
        <v>51.084989326590282</v>
      </c>
      <c r="AY232" s="96">
        <f t="shared" si="191"/>
        <v>52.157774102448677</v>
      </c>
      <c r="AZ232" s="96">
        <f t="shared" si="192"/>
        <v>53.253087358600091</v>
      </c>
      <c r="BA232" s="96">
        <f t="shared" si="193"/>
        <v>54.371402193130699</v>
      </c>
      <c r="BB232" s="96">
        <f t="shared" si="194"/>
        <v>55.513201639186434</v>
      </c>
      <c r="BC232" s="96">
        <f t="shared" si="195"/>
        <v>56.678978873609339</v>
      </c>
      <c r="BE232" s="169">
        <f t="shared" si="196"/>
        <v>50.985039941172779</v>
      </c>
      <c r="BQ232" s="81" t="s">
        <v>67</v>
      </c>
      <c r="BR232" s="173">
        <f t="shared" si="197"/>
        <v>0</v>
      </c>
      <c r="BS232" s="173">
        <f t="shared" si="198"/>
        <v>0</v>
      </c>
      <c r="BT232" s="173">
        <f t="shared" si="199"/>
        <v>0</v>
      </c>
      <c r="BU232" s="173">
        <f t="shared" si="200"/>
        <v>0</v>
      </c>
      <c r="BV232" s="173">
        <f t="shared" si="201"/>
        <v>0</v>
      </c>
      <c r="BW232" s="173">
        <f t="shared" si="202"/>
        <v>0</v>
      </c>
      <c r="BX232" s="173">
        <f t="shared" si="203"/>
        <v>0</v>
      </c>
      <c r="BY232" s="173">
        <f t="shared" si="204"/>
        <v>0</v>
      </c>
      <c r="BZ232" s="173">
        <f t="shared" si="205"/>
        <v>0</v>
      </c>
      <c r="CA232" s="173">
        <f t="shared" si="206"/>
        <v>0</v>
      </c>
    </row>
    <row r="233" spans="16:79">
      <c r="P233" s="96" t="s">
        <v>42</v>
      </c>
      <c r="Q233" s="170">
        <v>71949.740000000005</v>
      </c>
      <c r="R233" s="170">
        <v>73676.533760000006</v>
      </c>
      <c r="S233" s="170">
        <v>75223.740968960003</v>
      </c>
      <c r="T233" s="170">
        <v>76803.439529308162</v>
      </c>
      <c r="U233" s="170">
        <v>78416.31175942361</v>
      </c>
      <c r="V233" s="170">
        <v>80063.054306371516</v>
      </c>
      <c r="W233" s="170">
        <v>81744.378446805305</v>
      </c>
      <c r="X233" s="170">
        <v>83461.010394188212</v>
      </c>
      <c r="Y233" s="170">
        <v>85213.691612466151</v>
      </c>
      <c r="Z233" s="170">
        <v>87003.179136327919</v>
      </c>
      <c r="AB233" s="96" t="s">
        <v>42</v>
      </c>
      <c r="AC233" s="96">
        <v>564</v>
      </c>
      <c r="AE233" s="96">
        <f t="shared" si="207"/>
        <v>127.57046099290781</v>
      </c>
      <c r="AF233" s="96">
        <f t="shared" si="208"/>
        <v>130.6321520567376</v>
      </c>
      <c r="AG233" s="96">
        <f t="shared" si="209"/>
        <v>133.37542724992909</v>
      </c>
      <c r="AH233" s="96">
        <f t="shared" si="210"/>
        <v>136.17631122217759</v>
      </c>
      <c r="AI233" s="96">
        <f t="shared" si="211"/>
        <v>139.03601375784328</v>
      </c>
      <c r="AJ233" s="96">
        <f t="shared" si="212"/>
        <v>141.955770046758</v>
      </c>
      <c r="AK233" s="96">
        <f t="shared" si="213"/>
        <v>144.9368412177399</v>
      </c>
      <c r="AL233" s="96">
        <f t="shared" si="214"/>
        <v>147.98051488331242</v>
      </c>
      <c r="AM233" s="96">
        <f t="shared" si="215"/>
        <v>151.08810569586197</v>
      </c>
      <c r="AN233" s="96">
        <f t="shared" si="216"/>
        <v>154.26095591547502</v>
      </c>
      <c r="AS233" s="96" t="s">
        <v>42</v>
      </c>
      <c r="AT233" s="96">
        <f t="shared" si="186"/>
        <v>15.487053964539008</v>
      </c>
      <c r="AU233" s="96">
        <f t="shared" si="187"/>
        <v>15.858743259687943</v>
      </c>
      <c r="AV233" s="96">
        <f t="shared" si="188"/>
        <v>16.191776868141389</v>
      </c>
      <c r="AW233" s="96">
        <f t="shared" si="189"/>
        <v>16.531804182372358</v>
      </c>
      <c r="AX233" s="96">
        <f t="shared" si="190"/>
        <v>16.878972070202174</v>
      </c>
      <c r="AY233" s="96">
        <f t="shared" si="191"/>
        <v>17.233430483676422</v>
      </c>
      <c r="AZ233" s="96">
        <f t="shared" si="192"/>
        <v>17.595332523833623</v>
      </c>
      <c r="BA233" s="96">
        <f t="shared" si="193"/>
        <v>17.964834506834126</v>
      </c>
      <c r="BB233" s="96">
        <f t="shared" si="194"/>
        <v>18.342096031477642</v>
      </c>
      <c r="BC233" s="96">
        <f t="shared" si="195"/>
        <v>18.727280048138667</v>
      </c>
      <c r="BE233" s="169">
        <f t="shared" si="196"/>
        <v>16.845947831435858</v>
      </c>
      <c r="BQ233" s="81" t="s">
        <v>69</v>
      </c>
      <c r="BR233" s="173">
        <f t="shared" si="197"/>
        <v>0</v>
      </c>
      <c r="BS233" s="173">
        <f t="shared" si="198"/>
        <v>0</v>
      </c>
      <c r="BT233" s="173">
        <f t="shared" si="199"/>
        <v>0</v>
      </c>
      <c r="BU233" s="173">
        <f t="shared" si="200"/>
        <v>0</v>
      </c>
      <c r="BV233" s="173">
        <f t="shared" si="201"/>
        <v>0</v>
      </c>
      <c r="BW233" s="173">
        <f t="shared" si="202"/>
        <v>0</v>
      </c>
      <c r="BX233" s="173">
        <f t="shared" si="203"/>
        <v>0</v>
      </c>
      <c r="BY233" s="173">
        <f t="shared" si="204"/>
        <v>0</v>
      </c>
      <c r="BZ233" s="173">
        <f t="shared" si="205"/>
        <v>0</v>
      </c>
      <c r="CA233" s="173">
        <f t="shared" si="206"/>
        <v>0</v>
      </c>
    </row>
    <row r="234" spans="16:79">
      <c r="P234" s="96" t="s">
        <v>49</v>
      </c>
      <c r="Q234" s="170">
        <v>320618.89</v>
      </c>
      <c r="R234" s="170">
        <v>328313.74336000002</v>
      </c>
      <c r="S234" s="170">
        <v>335208.33197056002</v>
      </c>
      <c r="T234" s="170">
        <v>342247.70694194175</v>
      </c>
      <c r="U234" s="170">
        <v>349434.90878772247</v>
      </c>
      <c r="V234" s="170">
        <v>356773.04187226464</v>
      </c>
      <c r="W234" s="170">
        <v>364265.27575158211</v>
      </c>
      <c r="X234" s="170">
        <v>371914.84654236533</v>
      </c>
      <c r="Y234" s="170">
        <v>379725.05831975496</v>
      </c>
      <c r="Z234" s="170">
        <v>387699.28454446973</v>
      </c>
      <c r="AB234" s="96" t="s">
        <v>49</v>
      </c>
      <c r="AC234" s="96">
        <v>541</v>
      </c>
      <c r="AE234" s="96">
        <f t="shared" si="207"/>
        <v>592.64120147874314</v>
      </c>
      <c r="AF234" s="96">
        <f t="shared" si="208"/>
        <v>606.86459031423294</v>
      </c>
      <c r="AG234" s="96">
        <f t="shared" si="209"/>
        <v>619.60874671083184</v>
      </c>
      <c r="AH234" s="96">
        <f t="shared" si="210"/>
        <v>632.6205303917593</v>
      </c>
      <c r="AI234" s="96">
        <f t="shared" si="211"/>
        <v>645.90556152998613</v>
      </c>
      <c r="AJ234" s="96">
        <f t="shared" si="212"/>
        <v>659.46957832211581</v>
      </c>
      <c r="AK234" s="96">
        <f t="shared" si="213"/>
        <v>673.31843946688002</v>
      </c>
      <c r="AL234" s="96">
        <f t="shared" si="214"/>
        <v>687.45812669568454</v>
      </c>
      <c r="AM234" s="96">
        <f t="shared" si="215"/>
        <v>701.89474735629381</v>
      </c>
      <c r="AN234" s="96">
        <f t="shared" si="216"/>
        <v>716.63453705077586</v>
      </c>
      <c r="AS234" s="96" t="s">
        <v>49</v>
      </c>
      <c r="AT234" s="96">
        <f t="shared" si="186"/>
        <v>71.946641859519417</v>
      </c>
      <c r="AU234" s="96">
        <f t="shared" si="187"/>
        <v>73.673361264147871</v>
      </c>
      <c r="AV234" s="96">
        <f t="shared" si="188"/>
        <v>75.220501850694987</v>
      </c>
      <c r="AW234" s="96">
        <f t="shared" si="189"/>
        <v>76.800132389559579</v>
      </c>
      <c r="AX234" s="96">
        <f t="shared" si="190"/>
        <v>78.412935169740308</v>
      </c>
      <c r="AY234" s="96">
        <f t="shared" si="191"/>
        <v>80.059606808304849</v>
      </c>
      <c r="AZ234" s="96">
        <f t="shared" si="192"/>
        <v>81.740858551279231</v>
      </c>
      <c r="BA234" s="96">
        <f t="shared" si="193"/>
        <v>83.457416580856105</v>
      </c>
      <c r="BB234" s="96">
        <f t="shared" si="194"/>
        <v>85.21002232905407</v>
      </c>
      <c r="BC234" s="96">
        <f t="shared" si="195"/>
        <v>86.999432797964189</v>
      </c>
      <c r="BE234" s="169">
        <f t="shared" si="196"/>
        <v>78.25951780032689</v>
      </c>
      <c r="BQ234" s="81" t="s">
        <v>28</v>
      </c>
      <c r="BR234" s="173">
        <f t="shared" si="197"/>
        <v>0</v>
      </c>
      <c r="BS234" s="173">
        <f t="shared" si="198"/>
        <v>0</v>
      </c>
      <c r="BT234" s="173">
        <f t="shared" si="199"/>
        <v>0</v>
      </c>
      <c r="BU234" s="173">
        <f t="shared" si="200"/>
        <v>0</v>
      </c>
      <c r="BV234" s="173">
        <f t="shared" si="201"/>
        <v>0</v>
      </c>
      <c r="BW234" s="173">
        <f t="shared" si="202"/>
        <v>0</v>
      </c>
      <c r="BX234" s="173">
        <f t="shared" si="203"/>
        <v>0</v>
      </c>
      <c r="BY234" s="173">
        <f t="shared" si="204"/>
        <v>0</v>
      </c>
      <c r="BZ234" s="173">
        <f t="shared" si="205"/>
        <v>0</v>
      </c>
      <c r="CA234" s="173">
        <f t="shared" si="206"/>
        <v>0</v>
      </c>
    </row>
    <row r="235" spans="16:79">
      <c r="P235" s="96" t="s">
        <v>49</v>
      </c>
      <c r="Q235" s="170">
        <v>96925.23000000004</v>
      </c>
      <c r="R235" s="170">
        <v>99251.435520000043</v>
      </c>
      <c r="S235" s="170">
        <v>101335.71566592004</v>
      </c>
      <c r="T235" s="170">
        <v>103463.76569490434</v>
      </c>
      <c r="U235" s="170">
        <v>105636.50477449733</v>
      </c>
      <c r="V235" s="170">
        <v>107854.87137476176</v>
      </c>
      <c r="W235" s="170">
        <v>110119.82367363175</v>
      </c>
      <c r="X235" s="170">
        <v>112432.339970778</v>
      </c>
      <c r="Y235" s="170">
        <v>114793.41911016434</v>
      </c>
      <c r="Z235" s="170">
        <v>117204.08091147777</v>
      </c>
      <c r="AB235" s="96" t="s">
        <v>49</v>
      </c>
      <c r="AC235" s="96">
        <v>444</v>
      </c>
      <c r="AE235" s="96">
        <f t="shared" si="207"/>
        <v>218.30006756756765</v>
      </c>
      <c r="AF235" s="96">
        <f t="shared" si="208"/>
        <v>223.5392691891893</v>
      </c>
      <c r="AG235" s="96">
        <f t="shared" si="209"/>
        <v>228.23359384216226</v>
      </c>
      <c r="AH235" s="96">
        <f t="shared" si="210"/>
        <v>233.02649931284762</v>
      </c>
      <c r="AI235" s="96">
        <f t="shared" si="211"/>
        <v>237.92005579841739</v>
      </c>
      <c r="AJ235" s="96">
        <f t="shared" si="212"/>
        <v>242.91637697018413</v>
      </c>
      <c r="AK235" s="96">
        <f t="shared" si="213"/>
        <v>248.01762088655798</v>
      </c>
      <c r="AL235" s="96">
        <f t="shared" si="214"/>
        <v>253.22599092517569</v>
      </c>
      <c r="AM235" s="96">
        <f t="shared" si="215"/>
        <v>258.54373673460435</v>
      </c>
      <c r="AN235" s="96">
        <f t="shared" si="216"/>
        <v>263.97315520603098</v>
      </c>
      <c r="AS235" s="96" t="s">
        <v>49</v>
      </c>
      <c r="AT235" s="96">
        <f t="shared" si="186"/>
        <v>26.501628202702712</v>
      </c>
      <c r="AU235" s="96">
        <f t="shared" si="187"/>
        <v>27.13766727956758</v>
      </c>
      <c r="AV235" s="96">
        <f t="shared" si="188"/>
        <v>27.707558292438499</v>
      </c>
      <c r="AW235" s="96">
        <f t="shared" si="189"/>
        <v>28.289417016579698</v>
      </c>
      <c r="AX235" s="96">
        <f t="shared" si="190"/>
        <v>28.883494773927872</v>
      </c>
      <c r="AY235" s="96">
        <f t="shared" si="191"/>
        <v>29.490048164180351</v>
      </c>
      <c r="AZ235" s="96">
        <f t="shared" si="192"/>
        <v>30.109339175628136</v>
      </c>
      <c r="BA235" s="96">
        <f t="shared" si="193"/>
        <v>30.741635298316329</v>
      </c>
      <c r="BB235" s="96">
        <f t="shared" si="194"/>
        <v>31.387209639580966</v>
      </c>
      <c r="BC235" s="96">
        <f t="shared" si="195"/>
        <v>32.046341042012159</v>
      </c>
      <c r="BE235" s="169">
        <f t="shared" si="196"/>
        <v>28.826983309612832</v>
      </c>
      <c r="BQ235" s="81" t="s">
        <v>29</v>
      </c>
      <c r="BR235" s="173">
        <f t="shared" si="197"/>
        <v>0</v>
      </c>
      <c r="BS235" s="173">
        <f t="shared" si="198"/>
        <v>0</v>
      </c>
      <c r="BT235" s="173">
        <f t="shared" si="199"/>
        <v>0</v>
      </c>
      <c r="BU235" s="173">
        <f t="shared" si="200"/>
        <v>0</v>
      </c>
      <c r="BV235" s="173">
        <f t="shared" si="201"/>
        <v>0</v>
      </c>
      <c r="BW235" s="173">
        <f t="shared" si="202"/>
        <v>0</v>
      </c>
      <c r="BX235" s="173">
        <f t="shared" si="203"/>
        <v>0</v>
      </c>
      <c r="BY235" s="173">
        <f t="shared" si="204"/>
        <v>0</v>
      </c>
      <c r="BZ235" s="173">
        <f t="shared" si="205"/>
        <v>0</v>
      </c>
      <c r="CA235" s="173">
        <f t="shared" si="206"/>
        <v>0</v>
      </c>
    </row>
    <row r="236" spans="16:79">
      <c r="P236" s="96" t="s">
        <v>49</v>
      </c>
      <c r="Q236" s="170">
        <v>9438.9899999999961</v>
      </c>
      <c r="R236" s="170">
        <v>9665.5257599999968</v>
      </c>
      <c r="S236" s="170">
        <v>9868.5018009599953</v>
      </c>
      <c r="T236" s="170">
        <v>10075.740338780155</v>
      </c>
      <c r="U236" s="170">
        <v>10287.330885894537</v>
      </c>
      <c r="V236" s="170">
        <v>10503.364834498321</v>
      </c>
      <c r="W236" s="170">
        <v>10723.935496022785</v>
      </c>
      <c r="X236" s="170">
        <v>10949.138141439262</v>
      </c>
      <c r="Y236" s="170">
        <v>11179.070042409485</v>
      </c>
      <c r="Z236" s="170">
        <v>11413.830513300083</v>
      </c>
      <c r="AB236" s="96" t="s">
        <v>49</v>
      </c>
      <c r="AC236" s="96">
        <v>408</v>
      </c>
      <c r="AE236" s="96">
        <f t="shared" si="207"/>
        <v>23.134779411764697</v>
      </c>
      <c r="AF236" s="96">
        <f t="shared" si="208"/>
        <v>23.690014117647053</v>
      </c>
      <c r="AG236" s="96">
        <f t="shared" si="209"/>
        <v>24.187504414117637</v>
      </c>
      <c r="AH236" s="96">
        <f t="shared" si="210"/>
        <v>24.695442006814105</v>
      </c>
      <c r="AI236" s="96">
        <f t="shared" si="211"/>
        <v>25.214046288957196</v>
      </c>
      <c r="AJ236" s="96">
        <f t="shared" si="212"/>
        <v>25.743541261025296</v>
      </c>
      <c r="AK236" s="96">
        <f t="shared" si="213"/>
        <v>26.284155627506824</v>
      </c>
      <c r="AL236" s="96">
        <f t="shared" si="214"/>
        <v>26.836122895684465</v>
      </c>
      <c r="AM236" s="96">
        <f t="shared" si="215"/>
        <v>27.399681476493836</v>
      </c>
      <c r="AN236" s="96">
        <f t="shared" si="216"/>
        <v>27.975074787500205</v>
      </c>
      <c r="AS236" s="96" t="s">
        <v>49</v>
      </c>
      <c r="AT236" s="96">
        <f t="shared" si="186"/>
        <v>2.8085622205882341</v>
      </c>
      <c r="AU236" s="96">
        <f t="shared" si="187"/>
        <v>2.8759677138823521</v>
      </c>
      <c r="AV236" s="96">
        <f t="shared" si="188"/>
        <v>2.9363630358738808</v>
      </c>
      <c r="AW236" s="96">
        <f t="shared" si="189"/>
        <v>2.9980266596272322</v>
      </c>
      <c r="AX236" s="96">
        <f t="shared" si="190"/>
        <v>3.0609852194794036</v>
      </c>
      <c r="AY236" s="96">
        <f t="shared" si="191"/>
        <v>3.1252659090884709</v>
      </c>
      <c r="AZ236" s="96">
        <f t="shared" si="192"/>
        <v>3.1908964931793284</v>
      </c>
      <c r="BA236" s="96">
        <f t="shared" si="193"/>
        <v>3.2579053195360941</v>
      </c>
      <c r="BB236" s="96">
        <f t="shared" si="194"/>
        <v>3.3263213312463513</v>
      </c>
      <c r="BC236" s="96">
        <f t="shared" si="195"/>
        <v>3.3961740792025248</v>
      </c>
      <c r="BE236" s="169">
        <f t="shared" si="196"/>
        <v>3.0549963057986527</v>
      </c>
      <c r="BQ236" s="81" t="s">
        <v>30</v>
      </c>
      <c r="BR236" s="173">
        <f t="shared" si="197"/>
        <v>0</v>
      </c>
      <c r="BS236" s="173">
        <f t="shared" si="198"/>
        <v>0</v>
      </c>
      <c r="BT236" s="173">
        <f t="shared" si="199"/>
        <v>0</v>
      </c>
      <c r="BU236" s="173">
        <f t="shared" si="200"/>
        <v>0</v>
      </c>
      <c r="BV236" s="173">
        <f t="shared" si="201"/>
        <v>0</v>
      </c>
      <c r="BW236" s="173">
        <f t="shared" si="202"/>
        <v>0</v>
      </c>
      <c r="BX236" s="173">
        <f t="shared" si="203"/>
        <v>0</v>
      </c>
      <c r="BY236" s="173">
        <f t="shared" si="204"/>
        <v>0</v>
      </c>
      <c r="BZ236" s="173">
        <f t="shared" si="205"/>
        <v>0</v>
      </c>
      <c r="CA236" s="173">
        <f t="shared" si="206"/>
        <v>0</v>
      </c>
    </row>
    <row r="237" spans="16:79">
      <c r="P237" s="96" t="s">
        <v>50</v>
      </c>
      <c r="Q237" s="170">
        <v>163836.10000000009</v>
      </c>
      <c r="R237" s="170">
        <v>167768.1664000001</v>
      </c>
      <c r="S237" s="170">
        <v>171291.29789440011</v>
      </c>
      <c r="T237" s="170">
        <v>174888.41515018247</v>
      </c>
      <c r="U237" s="170">
        <v>178561.07186833629</v>
      </c>
      <c r="V237" s="170">
        <v>182310.85437757135</v>
      </c>
      <c r="W237" s="170">
        <v>186139.38231950032</v>
      </c>
      <c r="X237" s="170">
        <v>190048.30934820982</v>
      </c>
      <c r="Y237" s="170">
        <v>194039.32384452218</v>
      </c>
      <c r="Z237" s="170">
        <v>198114.14964525713</v>
      </c>
      <c r="AB237" s="96" t="s">
        <v>50</v>
      </c>
      <c r="AC237" s="96">
        <v>128</v>
      </c>
      <c r="AE237" s="96">
        <f t="shared" si="207"/>
        <v>1279.9695312500007</v>
      </c>
      <c r="AF237" s="96">
        <f t="shared" si="208"/>
        <v>1310.6888000000008</v>
      </c>
      <c r="AG237" s="96">
        <f t="shared" si="209"/>
        <v>1338.2132648000008</v>
      </c>
      <c r="AH237" s="96">
        <f t="shared" si="210"/>
        <v>1366.3157433608005</v>
      </c>
      <c r="AI237" s="96">
        <f t="shared" si="211"/>
        <v>1395.0083739713773</v>
      </c>
      <c r="AJ237" s="96">
        <f t="shared" si="212"/>
        <v>1424.3035498247762</v>
      </c>
      <c r="AK237" s="96">
        <f t="shared" si="213"/>
        <v>1454.2139243710963</v>
      </c>
      <c r="AL237" s="96">
        <f t="shared" si="214"/>
        <v>1484.7524167828892</v>
      </c>
      <c r="AM237" s="96">
        <f t="shared" si="215"/>
        <v>1515.9322175353295</v>
      </c>
      <c r="AN237" s="96">
        <f t="shared" si="216"/>
        <v>1547.7667941035713</v>
      </c>
      <c r="AS237" s="96" t="s">
        <v>50</v>
      </c>
      <c r="AT237" s="96">
        <f t="shared" si="186"/>
        <v>155.38830109375007</v>
      </c>
      <c r="AU237" s="96">
        <f t="shared" si="187"/>
        <v>159.1176203200001</v>
      </c>
      <c r="AV237" s="96">
        <f t="shared" si="188"/>
        <v>162.4590903467201</v>
      </c>
      <c r="AW237" s="96">
        <f t="shared" si="189"/>
        <v>165.87073124400118</v>
      </c>
      <c r="AX237" s="96">
        <f t="shared" si="190"/>
        <v>169.35401660012519</v>
      </c>
      <c r="AY237" s="96">
        <f t="shared" si="191"/>
        <v>172.91045094872783</v>
      </c>
      <c r="AZ237" s="96">
        <f t="shared" si="192"/>
        <v>176.54157041865108</v>
      </c>
      <c r="BA237" s="96">
        <f t="shared" si="193"/>
        <v>180.24894339744273</v>
      </c>
      <c r="BB237" s="96">
        <f t="shared" si="194"/>
        <v>184.03417120878899</v>
      </c>
      <c r="BC237" s="96">
        <f t="shared" si="195"/>
        <v>187.89888880417354</v>
      </c>
      <c r="BE237" s="169">
        <f t="shared" si="196"/>
        <v>169.02267014982147</v>
      </c>
      <c r="BQ237" s="81" t="s">
        <v>70</v>
      </c>
      <c r="BR237" s="173">
        <f t="shared" si="197"/>
        <v>0</v>
      </c>
      <c r="BS237" s="173">
        <f t="shared" si="198"/>
        <v>0</v>
      </c>
      <c r="BT237" s="173">
        <f t="shared" si="199"/>
        <v>0</v>
      </c>
      <c r="BU237" s="173">
        <f t="shared" si="200"/>
        <v>0</v>
      </c>
      <c r="BV237" s="173">
        <f t="shared" si="201"/>
        <v>0</v>
      </c>
      <c r="BW237" s="173">
        <f t="shared" si="202"/>
        <v>0</v>
      </c>
      <c r="BX237" s="173">
        <f t="shared" si="203"/>
        <v>0</v>
      </c>
      <c r="BY237" s="173">
        <f t="shared" si="204"/>
        <v>0</v>
      </c>
      <c r="BZ237" s="173">
        <f t="shared" si="205"/>
        <v>0</v>
      </c>
      <c r="CA237" s="173">
        <f t="shared" si="206"/>
        <v>0</v>
      </c>
    </row>
    <row r="238" spans="16:79">
      <c r="P238" s="96" t="s">
        <v>50</v>
      </c>
      <c r="Q238" s="170">
        <v>15247.980000000001</v>
      </c>
      <c r="R238" s="170">
        <v>15613.931520000002</v>
      </c>
      <c r="S238" s="170">
        <v>15941.824081920002</v>
      </c>
      <c r="T238" s="170">
        <v>16276.60238764032</v>
      </c>
      <c r="U238" s="170">
        <v>16618.411037780763</v>
      </c>
      <c r="V238" s="170">
        <v>16967.397669574158</v>
      </c>
      <c r="W238" s="170">
        <v>17323.713020635216</v>
      </c>
      <c r="X238" s="170">
        <v>17687.510994068554</v>
      </c>
      <c r="Y238" s="170">
        <v>18058.948724943992</v>
      </c>
      <c r="Z238" s="170">
        <v>18438.186648167812</v>
      </c>
      <c r="AB238" s="96" t="s">
        <v>50</v>
      </c>
      <c r="AC238" s="96">
        <v>920</v>
      </c>
      <c r="AE238" s="96">
        <f t="shared" si="207"/>
        <v>16.573891304347828</v>
      </c>
      <c r="AF238" s="96">
        <f t="shared" si="208"/>
        <v>16.971664695652176</v>
      </c>
      <c r="AG238" s="96">
        <f t="shared" si="209"/>
        <v>17.328069654260872</v>
      </c>
      <c r="AH238" s="96">
        <f t="shared" si="210"/>
        <v>17.691959117000348</v>
      </c>
      <c r="AI238" s="96">
        <f t="shared" si="211"/>
        <v>18.06349025845735</v>
      </c>
      <c r="AJ238" s="96">
        <f t="shared" si="212"/>
        <v>18.442823553884956</v>
      </c>
      <c r="AK238" s="96">
        <f t="shared" si="213"/>
        <v>18.830122848516538</v>
      </c>
      <c r="AL238" s="96">
        <f t="shared" si="214"/>
        <v>19.225555428335387</v>
      </c>
      <c r="AM238" s="96">
        <f t="shared" si="215"/>
        <v>19.629292092330427</v>
      </c>
      <c r="AN238" s="96">
        <f t="shared" si="216"/>
        <v>20.04150722626936</v>
      </c>
      <c r="AS238" s="96" t="s">
        <v>50</v>
      </c>
      <c r="AT238" s="96">
        <f t="shared" si="186"/>
        <v>2.0120704043478264</v>
      </c>
      <c r="AU238" s="96">
        <f t="shared" si="187"/>
        <v>2.0603600940521742</v>
      </c>
      <c r="AV238" s="96">
        <f t="shared" si="188"/>
        <v>2.1036276560272698</v>
      </c>
      <c r="AW238" s="96">
        <f t="shared" si="189"/>
        <v>2.1478038368038419</v>
      </c>
      <c r="AX238" s="96">
        <f t="shared" si="190"/>
        <v>2.192907717376722</v>
      </c>
      <c r="AY238" s="96">
        <f t="shared" si="191"/>
        <v>2.2389587794416337</v>
      </c>
      <c r="AZ238" s="96">
        <f t="shared" si="192"/>
        <v>2.2859769138099075</v>
      </c>
      <c r="BA238" s="96">
        <f t="shared" si="193"/>
        <v>2.3339824289999158</v>
      </c>
      <c r="BB238" s="96">
        <f t="shared" si="194"/>
        <v>2.3829960600089137</v>
      </c>
      <c r="BC238" s="96">
        <f t="shared" si="195"/>
        <v>2.4330389772691001</v>
      </c>
      <c r="BE238" s="169">
        <f t="shared" si="196"/>
        <v>2.1886172245819036</v>
      </c>
      <c r="BQ238" s="81" t="s">
        <v>31</v>
      </c>
      <c r="BR238" s="173">
        <f t="shared" si="197"/>
        <v>0</v>
      </c>
      <c r="BS238" s="173">
        <f t="shared" si="198"/>
        <v>8.4766372881355938</v>
      </c>
      <c r="BT238" s="173">
        <f t="shared" si="199"/>
        <v>17.309293342372879</v>
      </c>
      <c r="BU238" s="173">
        <f t="shared" si="200"/>
        <v>24.300084191023728</v>
      </c>
      <c r="BV238" s="173">
        <f t="shared" si="201"/>
        <v>43.98204783647153</v>
      </c>
      <c r="BW238" s="173">
        <f t="shared" si="202"/>
        <v>62.177082702974893</v>
      </c>
      <c r="BX238" s="173">
        <f t="shared" si="203"/>
        <v>63.482801439737365</v>
      </c>
      <c r="BY238" s="173">
        <f t="shared" si="204"/>
        <v>64.815940269971847</v>
      </c>
      <c r="BZ238" s="173">
        <f t="shared" si="205"/>
        <v>66.17707501564125</v>
      </c>
      <c r="CA238" s="173">
        <f t="shared" si="206"/>
        <v>67.566793590969709</v>
      </c>
    </row>
    <row r="239" spans="16:79">
      <c r="P239" s="96" t="s">
        <v>53</v>
      </c>
      <c r="Q239" s="170">
        <v>382416.03000000009</v>
      </c>
      <c r="R239" s="170">
        <v>391594.01472000009</v>
      </c>
      <c r="S239" s="170">
        <v>399817.48902912007</v>
      </c>
      <c r="T239" s="170">
        <v>408213.65629873157</v>
      </c>
      <c r="U239" s="170">
        <v>416786.14308100485</v>
      </c>
      <c r="V239" s="170">
        <v>425538.65208570595</v>
      </c>
      <c r="W239" s="170">
        <v>434474.96377950575</v>
      </c>
      <c r="X239" s="170">
        <v>443598.93801887531</v>
      </c>
      <c r="Y239" s="170">
        <v>452914.51571727166</v>
      </c>
      <c r="Z239" s="170">
        <v>462425.72054733429</v>
      </c>
      <c r="AB239" s="96" t="s">
        <v>53</v>
      </c>
      <c r="AC239" s="96">
        <v>779</v>
      </c>
      <c r="AE239" s="96">
        <f t="shared" si="207"/>
        <v>490.90632862644429</v>
      </c>
      <c r="AF239" s="96">
        <f t="shared" si="208"/>
        <v>502.68808051347895</v>
      </c>
      <c r="AG239" s="96">
        <f t="shared" si="209"/>
        <v>513.24453020426199</v>
      </c>
      <c r="AH239" s="96">
        <f t="shared" si="210"/>
        <v>524.02266533855141</v>
      </c>
      <c r="AI239" s="96">
        <f t="shared" si="211"/>
        <v>535.02714131066091</v>
      </c>
      <c r="AJ239" s="96">
        <f t="shared" si="212"/>
        <v>546.26271127818484</v>
      </c>
      <c r="AK239" s="96">
        <f t="shared" si="213"/>
        <v>557.73422821502663</v>
      </c>
      <c r="AL239" s="96">
        <f t="shared" si="214"/>
        <v>569.44664700754208</v>
      </c>
      <c r="AM239" s="96">
        <f t="shared" si="215"/>
        <v>581.40502659470042</v>
      </c>
      <c r="AN239" s="96">
        <f t="shared" si="216"/>
        <v>593.61453215318909</v>
      </c>
      <c r="AS239" s="96" t="s">
        <v>53</v>
      </c>
      <c r="AT239" s="96">
        <f t="shared" si="186"/>
        <v>59.596028295250335</v>
      </c>
      <c r="AU239" s="96">
        <f t="shared" si="187"/>
        <v>61.026332974336341</v>
      </c>
      <c r="AV239" s="96">
        <f t="shared" si="188"/>
        <v>62.3078859667974</v>
      </c>
      <c r="AW239" s="96">
        <f t="shared" si="189"/>
        <v>63.616351572100136</v>
      </c>
      <c r="AX239" s="96">
        <f t="shared" si="190"/>
        <v>64.952294955114226</v>
      </c>
      <c r="AY239" s="96">
        <f t="shared" si="191"/>
        <v>66.316293149171642</v>
      </c>
      <c r="AZ239" s="96">
        <f t="shared" si="192"/>
        <v>67.708935305304223</v>
      </c>
      <c r="BA239" s="96">
        <f t="shared" si="193"/>
        <v>69.130822946715611</v>
      </c>
      <c r="BB239" s="96">
        <f t="shared" si="194"/>
        <v>70.582570228596623</v>
      </c>
      <c r="BC239" s="96">
        <f t="shared" si="195"/>
        <v>72.064804203397145</v>
      </c>
      <c r="BE239" s="169">
        <f t="shared" si="196"/>
        <v>64.825213750874042</v>
      </c>
      <c r="BQ239" s="81" t="s">
        <v>32</v>
      </c>
      <c r="BR239" s="173">
        <f t="shared" si="197"/>
        <v>0</v>
      </c>
      <c r="BS239" s="173">
        <f t="shared" si="198"/>
        <v>0</v>
      </c>
      <c r="BT239" s="173">
        <f t="shared" si="199"/>
        <v>0</v>
      </c>
      <c r="BU239" s="173">
        <f t="shared" si="200"/>
        <v>0</v>
      </c>
      <c r="BV239" s="173">
        <f t="shared" si="201"/>
        <v>0</v>
      </c>
      <c r="BW239" s="173">
        <f t="shared" si="202"/>
        <v>0</v>
      </c>
      <c r="BX239" s="173">
        <f t="shared" si="203"/>
        <v>0</v>
      </c>
      <c r="BY239" s="173">
        <f t="shared" si="204"/>
        <v>0</v>
      </c>
      <c r="BZ239" s="173">
        <f t="shared" si="205"/>
        <v>0</v>
      </c>
      <c r="CA239" s="173">
        <f t="shared" si="206"/>
        <v>0</v>
      </c>
    </row>
    <row r="240" spans="16:79">
      <c r="P240" s="96" t="s">
        <v>53</v>
      </c>
      <c r="Q240" s="170">
        <v>424220.43</v>
      </c>
      <c r="R240" s="170">
        <v>434401.72032000002</v>
      </c>
      <c r="S240" s="170">
        <v>443524.15644672001</v>
      </c>
      <c r="T240" s="170">
        <v>452838.16373210103</v>
      </c>
      <c r="U240" s="170">
        <v>462347.76517047512</v>
      </c>
      <c r="V240" s="170">
        <v>472057.06823905505</v>
      </c>
      <c r="W240" s="170">
        <v>481970.26667207514</v>
      </c>
      <c r="X240" s="170">
        <v>492091.64227218874</v>
      </c>
      <c r="Y240" s="170">
        <v>502425.56675990461</v>
      </c>
      <c r="Z240" s="170">
        <v>512976.50366186252</v>
      </c>
      <c r="AB240" s="96" t="s">
        <v>53</v>
      </c>
      <c r="AC240" s="96">
        <v>1216</v>
      </c>
      <c r="AE240" s="96">
        <f t="shared" si="207"/>
        <v>348.8654851973684</v>
      </c>
      <c r="AF240" s="96">
        <f t="shared" si="208"/>
        <v>357.23825684210527</v>
      </c>
      <c r="AG240" s="96">
        <f t="shared" si="209"/>
        <v>364.74026023578949</v>
      </c>
      <c r="AH240" s="96">
        <f t="shared" si="210"/>
        <v>372.39980570074096</v>
      </c>
      <c r="AI240" s="96">
        <f t="shared" si="211"/>
        <v>380.22020162045652</v>
      </c>
      <c r="AJ240" s="96">
        <f t="shared" si="212"/>
        <v>388.20482585448605</v>
      </c>
      <c r="AK240" s="96">
        <f t="shared" si="213"/>
        <v>396.3571271974302</v>
      </c>
      <c r="AL240" s="96">
        <f t="shared" si="214"/>
        <v>404.68062686857627</v>
      </c>
      <c r="AM240" s="96">
        <f t="shared" si="215"/>
        <v>413.17892003281628</v>
      </c>
      <c r="AN240" s="96">
        <f t="shared" si="216"/>
        <v>421.85567735350537</v>
      </c>
      <c r="AS240" s="96" t="s">
        <v>53</v>
      </c>
      <c r="AT240" s="96">
        <f t="shared" si="186"/>
        <v>42.352269902960522</v>
      </c>
      <c r="AU240" s="96">
        <f t="shared" si="187"/>
        <v>43.368724380631576</v>
      </c>
      <c r="AV240" s="96">
        <f t="shared" si="188"/>
        <v>44.27946759262484</v>
      </c>
      <c r="AW240" s="96">
        <f t="shared" si="189"/>
        <v>45.209336412069952</v>
      </c>
      <c r="AX240" s="96">
        <f t="shared" si="190"/>
        <v>46.158732476723422</v>
      </c>
      <c r="AY240" s="96">
        <f t="shared" si="191"/>
        <v>47.128065858734601</v>
      </c>
      <c r="AZ240" s="96">
        <f t="shared" si="192"/>
        <v>48.117755241768023</v>
      </c>
      <c r="BA240" s="96">
        <f t="shared" si="193"/>
        <v>49.12822810184516</v>
      </c>
      <c r="BB240" s="96">
        <f t="shared" si="194"/>
        <v>50.159920891983894</v>
      </c>
      <c r="BC240" s="96">
        <f t="shared" si="195"/>
        <v>51.21327923071555</v>
      </c>
      <c r="BE240" s="169">
        <f t="shared" si="196"/>
        <v>46.068421467491241</v>
      </c>
      <c r="BQ240" s="81" t="s">
        <v>33</v>
      </c>
      <c r="BR240" s="173">
        <f t="shared" si="197"/>
        <v>50.112500279329609</v>
      </c>
      <c r="BS240" s="173">
        <f t="shared" si="198"/>
        <v>218.32158848715082</v>
      </c>
      <c r="BT240" s="173">
        <f t="shared" si="199"/>
        <v>348.81192356240444</v>
      </c>
      <c r="BU240" s="173">
        <f t="shared" si="200"/>
        <v>489.35321338559095</v>
      </c>
      <c r="BV240" s="173">
        <f t="shared" si="201"/>
        <v>499.62963086668833</v>
      </c>
      <c r="BW240" s="173">
        <f t="shared" si="202"/>
        <v>510.12185311488867</v>
      </c>
      <c r="BX240" s="173">
        <f t="shared" si="203"/>
        <v>520.83441203030122</v>
      </c>
      <c r="BY240" s="173">
        <f t="shared" si="204"/>
        <v>531.77193468293763</v>
      </c>
      <c r="BZ240" s="173">
        <f t="shared" si="205"/>
        <v>542.93914531127928</v>
      </c>
      <c r="CA240" s="173">
        <f t="shared" si="206"/>
        <v>554.34086736281597</v>
      </c>
    </row>
    <row r="241" spans="1:110">
      <c r="P241" s="96" t="s">
        <v>53</v>
      </c>
      <c r="Q241" s="170">
        <v>307029.94</v>
      </c>
      <c r="R241" s="170">
        <v>314398.65856000001</v>
      </c>
      <c r="S241" s="170">
        <v>321001.03038975998</v>
      </c>
      <c r="T241" s="170">
        <v>327742.05202794494</v>
      </c>
      <c r="U241" s="170">
        <v>334624.63512053172</v>
      </c>
      <c r="V241" s="170">
        <v>341651.7524580629</v>
      </c>
      <c r="W241" s="170">
        <v>348826.43925968214</v>
      </c>
      <c r="X241" s="170">
        <v>356151.79448413546</v>
      </c>
      <c r="Y241" s="170">
        <v>363630.98216830223</v>
      </c>
      <c r="Z241" s="170">
        <v>371267.23279383656</v>
      </c>
      <c r="AB241" s="96" t="s">
        <v>53</v>
      </c>
      <c r="AC241" s="96">
        <v>359</v>
      </c>
      <c r="AE241" s="96">
        <f t="shared" si="207"/>
        <v>855.23660167130924</v>
      </c>
      <c r="AF241" s="96">
        <f t="shared" si="208"/>
        <v>875.76228011142064</v>
      </c>
      <c r="AG241" s="96">
        <f t="shared" si="209"/>
        <v>894.15328799376039</v>
      </c>
      <c r="AH241" s="96">
        <f t="shared" si="210"/>
        <v>912.93050704162931</v>
      </c>
      <c r="AI241" s="96">
        <f t="shared" si="211"/>
        <v>932.10204768950337</v>
      </c>
      <c r="AJ241" s="96">
        <f t="shared" si="212"/>
        <v>951.67619069098305</v>
      </c>
      <c r="AK241" s="96">
        <f t="shared" si="213"/>
        <v>971.66139069549342</v>
      </c>
      <c r="AL241" s="96">
        <f t="shared" si="214"/>
        <v>992.06627990009883</v>
      </c>
      <c r="AM241" s="96">
        <f t="shared" si="215"/>
        <v>1012.8996717780007</v>
      </c>
      <c r="AN241" s="96">
        <f t="shared" si="216"/>
        <v>1034.1705648853385</v>
      </c>
      <c r="AS241" s="96" t="s">
        <v>53</v>
      </c>
      <c r="AT241" s="96">
        <f t="shared" si="186"/>
        <v>103.82572344289694</v>
      </c>
      <c r="AU241" s="96">
        <f t="shared" si="187"/>
        <v>106.31754080552646</v>
      </c>
      <c r="AV241" s="96">
        <f t="shared" si="188"/>
        <v>108.5502091624425</v>
      </c>
      <c r="AW241" s="96">
        <f t="shared" si="189"/>
        <v>110.8297635548538</v>
      </c>
      <c r="AX241" s="96">
        <f t="shared" si="190"/>
        <v>113.15718858950571</v>
      </c>
      <c r="AY241" s="96">
        <f t="shared" si="191"/>
        <v>115.53348954988533</v>
      </c>
      <c r="AZ241" s="96">
        <f t="shared" si="192"/>
        <v>117.9596928304329</v>
      </c>
      <c r="BA241" s="96">
        <f t="shared" si="193"/>
        <v>120.43684637987199</v>
      </c>
      <c r="BB241" s="96">
        <f t="shared" si="194"/>
        <v>122.96602015384927</v>
      </c>
      <c r="BC241" s="96">
        <f t="shared" si="195"/>
        <v>125.5483065770801</v>
      </c>
      <c r="BE241" s="169">
        <f t="shared" si="196"/>
        <v>112.93579299748964</v>
      </c>
      <c r="BQ241" s="81" t="s">
        <v>34</v>
      </c>
      <c r="BR241" s="173">
        <f t="shared" si="197"/>
        <v>0</v>
      </c>
      <c r="BS241" s="173">
        <f t="shared" si="198"/>
        <v>6.5468674015748034</v>
      </c>
      <c r="BT241" s="173">
        <f t="shared" si="199"/>
        <v>21.058220507716538</v>
      </c>
      <c r="BU241" s="173">
        <f t="shared" si="200"/>
        <v>82.922950147063929</v>
      </c>
      <c r="BV241" s="173">
        <f t="shared" si="201"/>
        <v>118.45671712775015</v>
      </c>
      <c r="BW241" s="173">
        <f t="shared" si="202"/>
        <v>142.28742139697991</v>
      </c>
      <c r="BX241" s="173">
        <f t="shared" si="203"/>
        <v>145.27545724631645</v>
      </c>
      <c r="BY241" s="173">
        <f t="shared" si="204"/>
        <v>148.3262418484891</v>
      </c>
      <c r="BZ241" s="173">
        <f t="shared" si="205"/>
        <v>151.44109292730735</v>
      </c>
      <c r="CA241" s="173">
        <f t="shared" si="206"/>
        <v>154.62135587878078</v>
      </c>
    </row>
    <row r="242" spans="1:110">
      <c r="P242" s="96" t="s">
        <v>53</v>
      </c>
      <c r="Q242" s="170">
        <v>37382.159999999996</v>
      </c>
      <c r="R242" s="170">
        <v>38279.331839999999</v>
      </c>
      <c r="S242" s="170">
        <v>39083.197808639998</v>
      </c>
      <c r="T242" s="170">
        <v>39903.944962621434</v>
      </c>
      <c r="U242" s="170">
        <v>40741.927806836473</v>
      </c>
      <c r="V242" s="170">
        <v>41597.508290780039</v>
      </c>
      <c r="W242" s="170">
        <v>42471.055964886415</v>
      </c>
      <c r="X242" s="170">
        <v>43362.948140149027</v>
      </c>
      <c r="Y242" s="170">
        <v>44273.570051092152</v>
      </c>
      <c r="Z242" s="170">
        <v>45203.315022165079</v>
      </c>
      <c r="AB242" s="96" t="s">
        <v>53</v>
      </c>
      <c r="AC242" s="96">
        <v>694</v>
      </c>
      <c r="AE242" s="96">
        <f t="shared" si="207"/>
        <v>53.864783861671462</v>
      </c>
      <c r="AF242" s="96">
        <f t="shared" si="208"/>
        <v>55.157538674351585</v>
      </c>
      <c r="AG242" s="96">
        <f t="shared" si="209"/>
        <v>56.315846986512966</v>
      </c>
      <c r="AH242" s="96">
        <f t="shared" si="210"/>
        <v>57.498479773229732</v>
      </c>
      <c r="AI242" s="96">
        <f t="shared" si="211"/>
        <v>58.705947848467538</v>
      </c>
      <c r="AJ242" s="96">
        <f t="shared" si="212"/>
        <v>59.938772753285356</v>
      </c>
      <c r="AK242" s="96">
        <f t="shared" si="213"/>
        <v>61.19748698110434</v>
      </c>
      <c r="AL242" s="96">
        <f t="shared" si="214"/>
        <v>62.482634207707534</v>
      </c>
      <c r="AM242" s="96">
        <f t="shared" si="215"/>
        <v>63.794769526069381</v>
      </c>
      <c r="AN242" s="96">
        <f t="shared" si="216"/>
        <v>65.134459686116827</v>
      </c>
      <c r="AS242" s="96" t="s">
        <v>53</v>
      </c>
      <c r="AT242" s="96">
        <f t="shared" si="186"/>
        <v>6.5391847608069149</v>
      </c>
      <c r="AU242" s="96">
        <f t="shared" si="187"/>
        <v>6.6961251950662817</v>
      </c>
      <c r="AV242" s="96">
        <f t="shared" si="188"/>
        <v>6.8367438241626735</v>
      </c>
      <c r="AW242" s="96">
        <f t="shared" si="189"/>
        <v>6.9803154444700892</v>
      </c>
      <c r="AX242" s="96">
        <f t="shared" si="190"/>
        <v>7.1269020688039584</v>
      </c>
      <c r="AY242" s="96">
        <f t="shared" si="191"/>
        <v>7.2765670122488419</v>
      </c>
      <c r="AZ242" s="96">
        <f t="shared" si="192"/>
        <v>7.429374919506067</v>
      </c>
      <c r="BA242" s="96">
        <f t="shared" si="193"/>
        <v>7.5853917928156944</v>
      </c>
      <c r="BB242" s="96">
        <f t="shared" si="194"/>
        <v>7.7446850204648223</v>
      </c>
      <c r="BC242" s="96">
        <f t="shared" si="195"/>
        <v>7.9073234058945827</v>
      </c>
      <c r="BE242" s="169">
        <f t="shared" si="196"/>
        <v>7.1129580611590963</v>
      </c>
      <c r="BQ242" s="81" t="s">
        <v>71</v>
      </c>
      <c r="BR242" s="173">
        <f t="shared" si="197"/>
        <v>0</v>
      </c>
      <c r="BS242" s="173">
        <f t="shared" si="198"/>
        <v>0</v>
      </c>
      <c r="BT242" s="173">
        <f t="shared" si="199"/>
        <v>0</v>
      </c>
      <c r="BU242" s="173">
        <f t="shared" si="200"/>
        <v>0</v>
      </c>
      <c r="BV242" s="173">
        <f t="shared" si="201"/>
        <v>0</v>
      </c>
      <c r="BW242" s="173">
        <f t="shared" si="202"/>
        <v>0</v>
      </c>
      <c r="BX242" s="173">
        <f t="shared" si="203"/>
        <v>0</v>
      </c>
      <c r="BY242" s="173">
        <f t="shared" si="204"/>
        <v>0</v>
      </c>
      <c r="BZ242" s="173">
        <f t="shared" si="205"/>
        <v>0</v>
      </c>
      <c r="CA242" s="173">
        <f t="shared" si="206"/>
        <v>0</v>
      </c>
    </row>
    <row r="243" spans="1:110" s="165" customFormat="1">
      <c r="A243" s="165" t="s">
        <v>8</v>
      </c>
      <c r="C243" s="165" t="s">
        <v>96</v>
      </c>
      <c r="D243" s="165" t="s">
        <v>1603</v>
      </c>
      <c r="E243" s="165">
        <v>2025</v>
      </c>
      <c r="F243" s="165">
        <v>2026</v>
      </c>
      <c r="G243" s="165">
        <v>2027</v>
      </c>
      <c r="H243" s="165">
        <v>2028</v>
      </c>
      <c r="I243" s="165">
        <v>2029</v>
      </c>
      <c r="J243" s="165">
        <v>2030</v>
      </c>
      <c r="K243" s="165">
        <v>2031</v>
      </c>
      <c r="L243" s="165">
        <v>2032</v>
      </c>
      <c r="M243" s="165">
        <v>2033</v>
      </c>
      <c r="N243" s="165">
        <v>2034</v>
      </c>
      <c r="P243" s="165" t="s">
        <v>8</v>
      </c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  <c r="AB243" s="165" t="s">
        <v>8</v>
      </c>
      <c r="AE243" s="166"/>
      <c r="AF243" s="166"/>
      <c r="AG243" s="166"/>
      <c r="AH243" s="166"/>
      <c r="AI243" s="166"/>
      <c r="AJ243" s="166"/>
      <c r="AK243" s="166"/>
      <c r="AL243" s="166"/>
      <c r="AM243" s="166"/>
      <c r="AN243" s="166"/>
      <c r="AS243" s="165" t="s">
        <v>8</v>
      </c>
      <c r="BN243" s="163"/>
      <c r="BO243" s="163"/>
      <c r="BP243" s="163"/>
      <c r="BQ243" s="81" t="s">
        <v>35</v>
      </c>
      <c r="BR243" s="173">
        <f t="shared" si="197"/>
        <v>0</v>
      </c>
      <c r="BS243" s="173">
        <f t="shared" si="198"/>
        <v>0</v>
      </c>
      <c r="BT243" s="173">
        <f t="shared" si="199"/>
        <v>4.6703428682926829</v>
      </c>
      <c r="BU243" s="173">
        <f t="shared" si="200"/>
        <v>15.894733561756095</v>
      </c>
      <c r="BV243" s="173">
        <f t="shared" si="201"/>
        <v>64.914091866211891</v>
      </c>
      <c r="BW243" s="173">
        <f t="shared" si="202"/>
        <v>115.98525364195409</v>
      </c>
      <c r="BX243" s="173">
        <f t="shared" si="203"/>
        <v>169.17277709776442</v>
      </c>
      <c r="BY243" s="173">
        <f t="shared" si="204"/>
        <v>207.27048650018094</v>
      </c>
      <c r="BZ243" s="173">
        <f t="shared" si="205"/>
        <v>225.73137783113037</v>
      </c>
      <c r="CA243" s="173">
        <f t="shared" si="206"/>
        <v>230.4717367655841</v>
      </c>
      <c r="CB243" s="162"/>
      <c r="CC243" s="162"/>
      <c r="CD243" s="162"/>
      <c r="CE243" s="162"/>
      <c r="CF243" s="162"/>
      <c r="CG243" s="162"/>
      <c r="CH243" s="162"/>
      <c r="CI243" s="162"/>
      <c r="CJ243" s="162"/>
      <c r="CK243" s="162"/>
      <c r="CL243" s="162"/>
      <c r="CM243" s="162"/>
      <c r="CN243" s="162"/>
      <c r="CO243" s="224"/>
      <c r="CP243" s="162"/>
      <c r="CQ243" s="162"/>
      <c r="CR243" s="162"/>
      <c r="CS243" s="162"/>
      <c r="CT243" s="162"/>
      <c r="CU243" s="162"/>
      <c r="CV243" s="162"/>
      <c r="CW243" s="162"/>
      <c r="CX243" s="162"/>
      <c r="CY243" s="162"/>
      <c r="CZ243" s="162"/>
      <c r="DA243" s="162"/>
      <c r="DB243" s="162"/>
      <c r="DC243" s="162"/>
      <c r="DD243" s="162"/>
      <c r="DE243" s="162"/>
      <c r="DF243" s="162"/>
    </row>
    <row r="244" spans="1:110">
      <c r="B244" s="96" t="s">
        <v>47</v>
      </c>
      <c r="C244" s="96">
        <v>116</v>
      </c>
      <c r="D244" s="96">
        <v>16612</v>
      </c>
      <c r="E244" s="96">
        <v>59300</v>
      </c>
      <c r="F244" s="96">
        <v>142866</v>
      </c>
      <c r="G244" s="96">
        <v>142866</v>
      </c>
      <c r="H244" s="96">
        <v>142866</v>
      </c>
      <c r="I244" s="96">
        <v>142866</v>
      </c>
      <c r="J244" s="96">
        <v>142866</v>
      </c>
      <c r="K244" s="96">
        <v>142866</v>
      </c>
      <c r="L244" s="96">
        <v>142866</v>
      </c>
      <c r="M244" s="96">
        <v>142866</v>
      </c>
      <c r="N244" s="96">
        <v>142866</v>
      </c>
      <c r="P244" s="161" t="s">
        <v>47</v>
      </c>
      <c r="Q244" s="170">
        <f>E244*1000+D244*1000</f>
        <v>75912000</v>
      </c>
      <c r="R244" s="170">
        <f>F244*1000*R$2</f>
        <v>146294784</v>
      </c>
      <c r="S244" s="170">
        <f t="shared" ref="S244:Z244" si="217">G244*1000*S$2</f>
        <v>149366974.46399999</v>
      </c>
      <c r="T244" s="170">
        <f t="shared" si="217"/>
        <v>152503680.92774397</v>
      </c>
      <c r="U244" s="170">
        <f t="shared" si="217"/>
        <v>155706258.22722659</v>
      </c>
      <c r="V244" s="170">
        <f t="shared" si="217"/>
        <v>158976089.64999834</v>
      </c>
      <c r="W244" s="170">
        <f t="shared" si="217"/>
        <v>162314587.53264827</v>
      </c>
      <c r="X244" s="170">
        <f t="shared" si="217"/>
        <v>165723193.87083387</v>
      </c>
      <c r="Y244" s="170">
        <f t="shared" si="217"/>
        <v>169203380.94212139</v>
      </c>
      <c r="Z244" s="170">
        <f t="shared" si="217"/>
        <v>172756651.94190589</v>
      </c>
      <c r="AB244" s="96" t="s">
        <v>47</v>
      </c>
      <c r="AC244" s="96">
        <v>116000</v>
      </c>
      <c r="AE244" s="96">
        <f t="shared" ref="AE244:AE260" si="218">Q244/$AC244</f>
        <v>654.41379310344826</v>
      </c>
      <c r="AF244" s="96">
        <f t="shared" ref="AF244:AF260" si="219">R244/$AC244</f>
        <v>1261.1619310344827</v>
      </c>
      <c r="AG244" s="96">
        <f t="shared" ref="AG244:AG260" si="220">S244/$AC244</f>
        <v>1287.6463315862068</v>
      </c>
      <c r="AH244" s="96">
        <f t="shared" ref="AH244:AH260" si="221">T244/$AC244</f>
        <v>1314.6869045495171</v>
      </c>
      <c r="AI244" s="96">
        <f t="shared" ref="AI244:AI260" si="222">U244/$AC244</f>
        <v>1342.2953295450568</v>
      </c>
      <c r="AJ244" s="96">
        <f t="shared" ref="AJ244:AJ260" si="223">V244/$AC244</f>
        <v>1370.4835314655029</v>
      </c>
      <c r="AK244" s="96">
        <f t="shared" ref="AK244:AK260" si="224">W244/$AC244</f>
        <v>1399.2636856262782</v>
      </c>
      <c r="AL244" s="96">
        <f t="shared" ref="AL244:AL260" si="225">X244/$AC244</f>
        <v>1428.6482230244299</v>
      </c>
      <c r="AM244" s="96">
        <f t="shared" ref="AM244:AM260" si="226">Y244/$AC244</f>
        <v>1458.6498357079429</v>
      </c>
      <c r="AN244" s="96">
        <f t="shared" ref="AN244:AN260" si="227">Z244/$AC244</f>
        <v>1489.2814822578093</v>
      </c>
      <c r="AS244" s="161" t="s">
        <v>47</v>
      </c>
      <c r="AT244" s="96">
        <f>AE244*$AQ$8</f>
        <v>79.903924137931028</v>
      </c>
      <c r="AU244" s="96">
        <f t="shared" ref="AU244:BC244" si="228">AF244*$AQ$8</f>
        <v>153.98787177931032</v>
      </c>
      <c r="AV244" s="96">
        <f t="shared" si="228"/>
        <v>157.22161708667585</v>
      </c>
      <c r="AW244" s="96">
        <f t="shared" si="228"/>
        <v>160.52327104549605</v>
      </c>
      <c r="AX244" s="96">
        <f t="shared" si="228"/>
        <v>163.89425973745145</v>
      </c>
      <c r="AY244" s="96">
        <f t="shared" si="228"/>
        <v>167.33603919193791</v>
      </c>
      <c r="AZ244" s="96">
        <f t="shared" si="228"/>
        <v>170.85009601496856</v>
      </c>
      <c r="BA244" s="96">
        <f t="shared" si="228"/>
        <v>174.43794803128287</v>
      </c>
      <c r="BB244" s="96">
        <f t="shared" si="228"/>
        <v>178.10114493993981</v>
      </c>
      <c r="BC244" s="96">
        <f t="shared" si="228"/>
        <v>181.84126898367853</v>
      </c>
      <c r="BE244" s="169">
        <f t="shared" si="196"/>
        <v>153.70346422395156</v>
      </c>
      <c r="BQ244" s="81" t="s">
        <v>36</v>
      </c>
      <c r="BR244" s="173">
        <f t="shared" si="197"/>
        <v>0</v>
      </c>
      <c r="BS244" s="173">
        <f t="shared" si="198"/>
        <v>0</v>
      </c>
      <c r="BT244" s="173">
        <f t="shared" si="199"/>
        <v>0</v>
      </c>
      <c r="BU244" s="173">
        <f t="shared" si="200"/>
        <v>0</v>
      </c>
      <c r="BV244" s="173">
        <f t="shared" si="201"/>
        <v>0</v>
      </c>
      <c r="BW244" s="173">
        <f t="shared" si="202"/>
        <v>0</v>
      </c>
      <c r="BX244" s="173">
        <f t="shared" si="203"/>
        <v>0</v>
      </c>
      <c r="BY244" s="173">
        <f t="shared" si="204"/>
        <v>0</v>
      </c>
      <c r="BZ244" s="173">
        <f t="shared" si="205"/>
        <v>0</v>
      </c>
      <c r="CA244" s="173">
        <f t="shared" si="206"/>
        <v>0</v>
      </c>
    </row>
    <row r="245" spans="1:110">
      <c r="B245" s="96" t="s">
        <v>98</v>
      </c>
      <c r="C245" s="96">
        <v>81</v>
      </c>
      <c r="E245" s="96">
        <v>7500</v>
      </c>
      <c r="F245" s="96">
        <v>18675</v>
      </c>
      <c r="G245" s="96">
        <v>31350</v>
      </c>
      <c r="H245" s="96">
        <v>44025</v>
      </c>
      <c r="I245" s="96">
        <v>44025</v>
      </c>
      <c r="J245" s="96">
        <v>44025</v>
      </c>
      <c r="K245" s="96">
        <v>44025</v>
      </c>
      <c r="L245" s="96">
        <v>44025</v>
      </c>
      <c r="M245" s="96">
        <v>44025</v>
      </c>
      <c r="N245" s="96">
        <v>44025</v>
      </c>
      <c r="P245" s="161" t="s">
        <v>50</v>
      </c>
      <c r="Q245" s="170">
        <f t="shared" ref="Q245:Q260" si="229">E245*1000+D245*1000</f>
        <v>7500000</v>
      </c>
      <c r="R245" s="170">
        <f t="shared" ref="R245:R260" si="230">F245*1000*R$2</f>
        <v>19123200</v>
      </c>
      <c r="S245" s="170">
        <f t="shared" ref="S245:S260" si="231">G245*1000*S$2</f>
        <v>32776550.399999999</v>
      </c>
      <c r="T245" s="170">
        <f t="shared" ref="T245:T260" si="232">H245*1000*T$2</f>
        <v>46994908.18559999</v>
      </c>
      <c r="U245" s="170">
        <f t="shared" ref="U245:U260" si="233">I245*1000*U$2</f>
        <v>47981801.257497586</v>
      </c>
      <c r="V245" s="170">
        <f t="shared" ref="V245:V260" si="234">J245*1000*V$2</f>
        <v>48989419.083905034</v>
      </c>
      <c r="W245" s="170">
        <f t="shared" ref="W245:W260" si="235">K245*1000*W$2</f>
        <v>50018196.884667031</v>
      </c>
      <c r="X245" s="170">
        <f t="shared" ref="X245:X260" si="236">L245*1000*X$2</f>
        <v>51068579.019245036</v>
      </c>
      <c r="Y245" s="170">
        <f t="shared" ref="Y245:Y260" si="237">M245*1000*Y$2</f>
        <v>52141019.17864918</v>
      </c>
      <c r="Z245" s="170">
        <f t="shared" ref="Z245:Z260" si="238">N245*1000*Z$2</f>
        <v>53235980.581400804</v>
      </c>
      <c r="AB245" s="96" t="s">
        <v>98</v>
      </c>
      <c r="AC245" s="96">
        <v>81000</v>
      </c>
      <c r="AE245" s="96">
        <f t="shared" si="218"/>
        <v>92.592592592592595</v>
      </c>
      <c r="AF245" s="96">
        <f t="shared" si="219"/>
        <v>236.0888888888889</v>
      </c>
      <c r="AG245" s="96">
        <f t="shared" si="220"/>
        <v>404.64877037037036</v>
      </c>
      <c r="AH245" s="96">
        <f t="shared" si="221"/>
        <v>580.184051674074</v>
      </c>
      <c r="AI245" s="96">
        <f t="shared" si="222"/>
        <v>592.3679167592295</v>
      </c>
      <c r="AJ245" s="96">
        <f t="shared" si="223"/>
        <v>604.80764301117324</v>
      </c>
      <c r="AK245" s="96">
        <f t="shared" si="224"/>
        <v>617.50860351440781</v>
      </c>
      <c r="AL245" s="96">
        <f t="shared" si="225"/>
        <v>630.47628418821034</v>
      </c>
      <c r="AM245" s="96">
        <f t="shared" si="226"/>
        <v>643.71628615616271</v>
      </c>
      <c r="AN245" s="96">
        <f t="shared" si="227"/>
        <v>657.23432816544198</v>
      </c>
      <c r="AS245" s="161" t="s">
        <v>98</v>
      </c>
      <c r="AT245" s="96">
        <f t="shared" ref="AT245:AT260" si="239">AE245*$AQ$8</f>
        <v>11.305555555555555</v>
      </c>
      <c r="AU245" s="96">
        <f t="shared" ref="AU245:AU260" si="240">AF245*$AQ$8</f>
        <v>28.826453333333337</v>
      </c>
      <c r="AV245" s="96">
        <f t="shared" ref="AV245:AV260" si="241">AG245*$AQ$8</f>
        <v>49.407614862222218</v>
      </c>
      <c r="AW245" s="96">
        <f t="shared" ref="AW245:AW260" si="242">AH245*$AQ$8</f>
        <v>70.840472709404438</v>
      </c>
      <c r="AX245" s="96">
        <f t="shared" ref="AX245:AX260" si="243">AI245*$AQ$8</f>
        <v>72.328122636301927</v>
      </c>
      <c r="AY245" s="96">
        <f t="shared" ref="AY245:AY260" si="244">AJ245*$AQ$8</f>
        <v>73.847013211664247</v>
      </c>
      <c r="AZ245" s="96">
        <f t="shared" ref="AZ245:AZ260" si="245">AK245*$AQ$8</f>
        <v>75.397800489109187</v>
      </c>
      <c r="BA245" s="96">
        <f t="shared" ref="BA245:BA260" si="246">AL245*$AQ$8</f>
        <v>76.981154299380478</v>
      </c>
      <c r="BB245" s="96">
        <f t="shared" ref="BB245:BB260" si="247">AM245*$AQ$8</f>
        <v>78.597758539667467</v>
      </c>
      <c r="BC245" s="96">
        <f t="shared" ref="BC245:BC260" si="248">AN245*$AQ$8</f>
        <v>80.24831146900047</v>
      </c>
      <c r="BE245" s="169">
        <f t="shared" si="196"/>
        <v>57.040683737379773</v>
      </c>
      <c r="BQ245" s="81" t="s">
        <v>72</v>
      </c>
      <c r="BR245" s="173">
        <f t="shared" si="197"/>
        <v>0</v>
      </c>
      <c r="BS245" s="173">
        <f t="shared" si="198"/>
        <v>0</v>
      </c>
      <c r="BT245" s="173">
        <f t="shared" si="199"/>
        <v>0</v>
      </c>
      <c r="BU245" s="173">
        <f t="shared" si="200"/>
        <v>0</v>
      </c>
      <c r="BV245" s="173">
        <f t="shared" si="201"/>
        <v>0</v>
      </c>
      <c r="BW245" s="173">
        <f t="shared" si="202"/>
        <v>0</v>
      </c>
      <c r="BX245" s="173">
        <f t="shared" si="203"/>
        <v>0</v>
      </c>
      <c r="BY245" s="173">
        <f t="shared" si="204"/>
        <v>0</v>
      </c>
      <c r="BZ245" s="173">
        <f t="shared" si="205"/>
        <v>0</v>
      </c>
      <c r="CA245" s="173">
        <f t="shared" si="206"/>
        <v>0</v>
      </c>
    </row>
    <row r="246" spans="1:110">
      <c r="B246" s="96" t="s">
        <v>99</v>
      </c>
      <c r="C246" s="96">
        <v>358</v>
      </c>
      <c r="D246" s="96">
        <v>24162</v>
      </c>
      <c r="E246" s="96">
        <v>80950</v>
      </c>
      <c r="F246" s="96">
        <v>222712</v>
      </c>
      <c r="G246" s="96">
        <v>299712</v>
      </c>
      <c r="H246" s="96">
        <v>379229</v>
      </c>
      <c r="I246" s="96">
        <v>379229</v>
      </c>
      <c r="J246" s="96">
        <v>379229</v>
      </c>
      <c r="K246" s="96">
        <v>379229</v>
      </c>
      <c r="L246" s="96">
        <v>379229</v>
      </c>
      <c r="M246" s="96">
        <v>379229</v>
      </c>
      <c r="N246" s="96">
        <v>379229</v>
      </c>
      <c r="P246" s="161" t="s">
        <v>38</v>
      </c>
      <c r="Q246" s="170">
        <f t="shared" si="229"/>
        <v>105112000</v>
      </c>
      <c r="R246" s="170">
        <f t="shared" si="230"/>
        <v>228057088</v>
      </c>
      <c r="S246" s="170">
        <f t="shared" si="231"/>
        <v>313350094.84799999</v>
      </c>
      <c r="T246" s="170">
        <f t="shared" si="232"/>
        <v>404811630.58073592</v>
      </c>
      <c r="U246" s="170">
        <f t="shared" si="233"/>
        <v>413312674.82293135</v>
      </c>
      <c r="V246" s="170">
        <f t="shared" si="234"/>
        <v>421992240.99421287</v>
      </c>
      <c r="W246" s="170">
        <f t="shared" si="235"/>
        <v>430854078.05509132</v>
      </c>
      <c r="X246" s="170">
        <f t="shared" si="236"/>
        <v>439902013.6942482</v>
      </c>
      <c r="Y246" s="170">
        <f t="shared" si="237"/>
        <v>449139955.98182738</v>
      </c>
      <c r="Z246" s="170">
        <f t="shared" si="238"/>
        <v>458571895.05744565</v>
      </c>
      <c r="AB246" s="96" t="s">
        <v>38</v>
      </c>
      <c r="AC246" s="96">
        <v>358000</v>
      </c>
      <c r="AE246" s="96">
        <f t="shared" si="218"/>
        <v>293.60893854748605</v>
      </c>
      <c r="AF246" s="96">
        <f t="shared" si="219"/>
        <v>637.0309720670391</v>
      </c>
      <c r="AG246" s="96">
        <f t="shared" si="220"/>
        <v>875.279594547486</v>
      </c>
      <c r="AH246" s="96">
        <f t="shared" si="221"/>
        <v>1130.7587446389271</v>
      </c>
      <c r="AI246" s="96">
        <f t="shared" si="222"/>
        <v>1154.5046782763445</v>
      </c>
      <c r="AJ246" s="96">
        <f t="shared" si="223"/>
        <v>1178.7492765201478</v>
      </c>
      <c r="AK246" s="96">
        <f t="shared" si="224"/>
        <v>1203.5030113270707</v>
      </c>
      <c r="AL246" s="96">
        <f t="shared" si="225"/>
        <v>1228.7765745649392</v>
      </c>
      <c r="AM246" s="96">
        <f t="shared" si="226"/>
        <v>1254.5808826308028</v>
      </c>
      <c r="AN246" s="96">
        <f t="shared" si="227"/>
        <v>1280.9270811660492</v>
      </c>
      <c r="AS246" s="161" t="s">
        <v>38</v>
      </c>
      <c r="AT246" s="96">
        <f t="shared" si="239"/>
        <v>35.849651396648049</v>
      </c>
      <c r="AU246" s="96">
        <f t="shared" si="240"/>
        <v>77.781481689385473</v>
      </c>
      <c r="AV246" s="96">
        <f t="shared" si="241"/>
        <v>106.87163849424805</v>
      </c>
      <c r="AW246" s="96">
        <f t="shared" si="242"/>
        <v>138.065642720413</v>
      </c>
      <c r="AX246" s="96">
        <f t="shared" si="243"/>
        <v>140.96502121754168</v>
      </c>
      <c r="AY246" s="96">
        <f t="shared" si="244"/>
        <v>143.92528666311003</v>
      </c>
      <c r="AZ246" s="96">
        <f t="shared" si="245"/>
        <v>146.94771768303534</v>
      </c>
      <c r="BA246" s="96">
        <f t="shared" si="246"/>
        <v>150.03361975437909</v>
      </c>
      <c r="BB246" s="96">
        <f t="shared" si="247"/>
        <v>153.184325769221</v>
      </c>
      <c r="BC246" s="96">
        <f t="shared" si="248"/>
        <v>156.4011966103746</v>
      </c>
      <c r="BE246" s="169">
        <f t="shared" si="196"/>
        <v>117.15584058361122</v>
      </c>
      <c r="BQ246" s="81" t="s">
        <v>73</v>
      </c>
      <c r="BR246" s="173">
        <f t="shared" si="197"/>
        <v>0</v>
      </c>
      <c r="BS246" s="173">
        <f t="shared" si="198"/>
        <v>0</v>
      </c>
      <c r="BT246" s="173">
        <f t="shared" si="199"/>
        <v>0</v>
      </c>
      <c r="BU246" s="173">
        <f t="shared" si="200"/>
        <v>0</v>
      </c>
      <c r="BV246" s="173">
        <f t="shared" si="201"/>
        <v>0</v>
      </c>
      <c r="BW246" s="173">
        <f t="shared" si="202"/>
        <v>0</v>
      </c>
      <c r="BX246" s="173">
        <f t="shared" si="203"/>
        <v>0</v>
      </c>
      <c r="BY246" s="173">
        <f t="shared" si="204"/>
        <v>0</v>
      </c>
      <c r="BZ246" s="173">
        <f t="shared" si="205"/>
        <v>0</v>
      </c>
      <c r="CA246" s="173">
        <f t="shared" si="206"/>
        <v>0</v>
      </c>
    </row>
    <row r="247" spans="1:110">
      <c r="B247" s="96" t="s">
        <v>100</v>
      </c>
      <c r="C247" s="96">
        <v>358</v>
      </c>
      <c r="D247" s="96">
        <v>54931</v>
      </c>
      <c r="E247" s="96">
        <v>92000</v>
      </c>
      <c r="F247" s="96">
        <v>625121</v>
      </c>
      <c r="G247" s="96">
        <v>978212</v>
      </c>
      <c r="H247" s="96">
        <v>1344121</v>
      </c>
      <c r="I247" s="96">
        <v>1344121</v>
      </c>
      <c r="J247" s="96">
        <v>1344121</v>
      </c>
      <c r="K247" s="96">
        <v>1344121</v>
      </c>
      <c r="L247" s="96">
        <v>1344121</v>
      </c>
      <c r="M247" s="96">
        <v>1344121</v>
      </c>
      <c r="N247" s="96">
        <v>1344121</v>
      </c>
      <c r="P247" s="81" t="s">
        <v>33</v>
      </c>
      <c r="Q247" s="170">
        <f t="shared" si="229"/>
        <v>146931000</v>
      </c>
      <c r="R247" s="170">
        <f t="shared" si="230"/>
        <v>640123904</v>
      </c>
      <c r="S247" s="170">
        <f t="shared" si="231"/>
        <v>1022724558.8479999</v>
      </c>
      <c r="T247" s="170">
        <f t="shared" si="232"/>
        <v>1434794843.5056639</v>
      </c>
      <c r="U247" s="170">
        <f t="shared" si="233"/>
        <v>1464925535.2192826</v>
      </c>
      <c r="V247" s="170">
        <f t="shared" si="234"/>
        <v>1495688971.4588873</v>
      </c>
      <c r="W247" s="170">
        <f t="shared" si="235"/>
        <v>1527098439.8595238</v>
      </c>
      <c r="X247" s="170">
        <f t="shared" si="236"/>
        <v>1559167507.0965738</v>
      </c>
      <c r="Y247" s="170">
        <f t="shared" si="237"/>
        <v>1591910024.7456017</v>
      </c>
      <c r="Z247" s="170">
        <f t="shared" si="238"/>
        <v>1625340135.265259</v>
      </c>
      <c r="AB247" s="96" t="s">
        <v>107</v>
      </c>
      <c r="AC247" s="96">
        <v>358000</v>
      </c>
      <c r="AE247" s="96">
        <f t="shared" si="218"/>
        <v>410.42178770949721</v>
      </c>
      <c r="AF247" s="96">
        <f t="shared" si="219"/>
        <v>1788.055597765363</v>
      </c>
      <c r="AG247" s="96">
        <f t="shared" si="220"/>
        <v>2856.7725107486031</v>
      </c>
      <c r="AH247" s="96">
        <f t="shared" si="221"/>
        <v>4007.8068254348154</v>
      </c>
      <c r="AI247" s="96">
        <f t="shared" si="222"/>
        <v>4091.9707687689461</v>
      </c>
      <c r="AJ247" s="96">
        <f t="shared" si="223"/>
        <v>4177.902154913093</v>
      </c>
      <c r="AK247" s="96">
        <f t="shared" si="224"/>
        <v>4265.6381001662676</v>
      </c>
      <c r="AL247" s="96">
        <f t="shared" si="225"/>
        <v>4355.2165002697593</v>
      </c>
      <c r="AM247" s="96">
        <f t="shared" si="226"/>
        <v>4446.6760467754239</v>
      </c>
      <c r="AN247" s="96">
        <f t="shared" si="227"/>
        <v>4540.0562437577064</v>
      </c>
      <c r="AS247" s="161" t="s">
        <v>107</v>
      </c>
      <c r="AT247" s="96">
        <f t="shared" si="239"/>
        <v>50.112500279329609</v>
      </c>
      <c r="AU247" s="96">
        <f t="shared" si="240"/>
        <v>218.32158848715082</v>
      </c>
      <c r="AV247" s="96">
        <f t="shared" si="241"/>
        <v>348.81192356240444</v>
      </c>
      <c r="AW247" s="96">
        <f t="shared" si="242"/>
        <v>489.35321338559095</v>
      </c>
      <c r="AX247" s="96">
        <f t="shared" si="243"/>
        <v>499.62963086668833</v>
      </c>
      <c r="AY247" s="96">
        <f t="shared" si="244"/>
        <v>510.12185311488867</v>
      </c>
      <c r="AZ247" s="96">
        <f t="shared" si="245"/>
        <v>520.83441203030122</v>
      </c>
      <c r="BA247" s="96">
        <f t="shared" si="246"/>
        <v>531.77193468293763</v>
      </c>
      <c r="BB247" s="96">
        <f t="shared" si="247"/>
        <v>542.93914531127928</v>
      </c>
      <c r="BC247" s="96">
        <f t="shared" si="248"/>
        <v>554.34086736281597</v>
      </c>
      <c r="BE247" s="169">
        <f t="shared" si="196"/>
        <v>393.48213911283324</v>
      </c>
      <c r="BQ247" s="81" t="s">
        <v>37</v>
      </c>
      <c r="BR247" s="173">
        <f t="shared" ref="BR247:BR283" si="249">IFERROR(SUMIFS(Q$244:Q$260,$P$244:$P$260,$BQ247)/SUMIFS($AC$244:$AC$260,$P$244:$P$260,$BQ247),0)*$AQ$8</f>
        <v>0</v>
      </c>
      <c r="BS247" s="173">
        <f t="shared" ref="BS247:BS283" si="250">IFERROR(SUMIFS(R$244:R$260,$P$244:$P$260,$BQ247)/SUMIFS($AC$244:$AC$260,$P$244:$P$260,$BQ247),0)*$AQ$8</f>
        <v>5.2387039106145252</v>
      </c>
      <c r="BT247" s="173">
        <f t="shared" ref="BT247:BT283" si="251">IFERROR(SUMIFS(S$244:S$260,$P$244:$P$260,$BQ247)/SUMIFS($AC$244:$AC$260,$P$244:$P$260,$BQ247),0)*$AQ$8</f>
        <v>19.61196120670391</v>
      </c>
      <c r="BU247" s="173">
        <f t="shared" ref="BU247:BU283" si="252">IFERROR(SUMIFS(T$244:T$260,$P$244:$P$260,$BQ247)/SUMIFS($AC$244:$AC$260,$P$244:$P$260,$BQ247),0)*$AQ$8</f>
        <v>60.071437176134069</v>
      </c>
      <c r="BV247" s="173">
        <f t="shared" ref="BV247:BV283" si="253">IFERROR(SUMIFS(U$244:U$260,$P$244:$P$260,$BQ247)/SUMIFS($AC$244:$AC$260,$P$244:$P$260,$BQ247),0)*$AQ$8</f>
        <v>172.84736891471084</v>
      </c>
      <c r="BW247" s="173">
        <f t="shared" ref="BW247:BW283" si="254">IFERROR(SUMIFS(V$244:V$260,$P$244:$P$260,$BQ247)/SUMIFS($AC$244:$AC$260,$P$244:$P$260,$BQ247),0)*$AQ$8</f>
        <v>233.40528097221647</v>
      </c>
      <c r="BX247" s="173">
        <f t="shared" ref="BX247:BX283" si="255">IFERROR(SUMIFS(W$244:W$260,$P$244:$P$260,$BQ247)/SUMIFS($AC$244:$AC$260,$P$244:$P$260,$BQ247),0)*$AQ$8</f>
        <v>296.43039964644589</v>
      </c>
      <c r="BY247" s="173">
        <f t="shared" ref="BY247:BY283" si="256">IFERROR(SUMIFS(X$244:X$260,$P$244:$P$260,$BQ247)/SUMIFS($AC$244:$AC$260,$P$244:$P$260,$BQ247),0)*$AQ$8</f>
        <v>344.87290443528786</v>
      </c>
      <c r="BZ247" s="173">
        <f t="shared" ref="BZ247:BZ283" si="257">IFERROR(SUMIFS(Y$244:Y$260,$P$244:$P$260,$BQ247)/SUMIFS($AC$244:$AC$260,$P$244:$P$260,$BQ247),0)*$AQ$8</f>
        <v>352.11523542842889</v>
      </c>
      <c r="CA247" s="173">
        <f t="shared" ref="CA247:CA283" si="258">IFERROR(SUMIFS(Z$244:Z$260,$P$244:$P$260,$BQ247)/SUMIFS($AC$244:$AC$260,$P$244:$P$260,$BQ247),0)*$AQ$8</f>
        <v>359.50965537242581</v>
      </c>
    </row>
    <row r="248" spans="1:110">
      <c r="B248" s="96" t="s">
        <v>51</v>
      </c>
      <c r="C248" s="96">
        <v>85</v>
      </c>
      <c r="D248" s="96">
        <v>2873</v>
      </c>
      <c r="E248" s="96">
        <v>18005</v>
      </c>
      <c r="F248" s="96">
        <v>90878</v>
      </c>
      <c r="G248" s="96">
        <v>210878</v>
      </c>
      <c r="H248" s="96">
        <v>238878</v>
      </c>
      <c r="I248" s="96">
        <v>238878</v>
      </c>
      <c r="J248" s="96">
        <v>238878</v>
      </c>
      <c r="K248" s="96">
        <v>238878</v>
      </c>
      <c r="L248" s="96">
        <v>238878</v>
      </c>
      <c r="M248" s="96">
        <v>238878</v>
      </c>
      <c r="N248" s="96">
        <v>238878</v>
      </c>
      <c r="P248" s="161" t="s">
        <v>51</v>
      </c>
      <c r="Q248" s="170">
        <f t="shared" si="229"/>
        <v>20878000</v>
      </c>
      <c r="R248" s="170">
        <f t="shared" si="230"/>
        <v>93059072</v>
      </c>
      <c r="S248" s="170">
        <f t="shared" si="231"/>
        <v>220473792.51199999</v>
      </c>
      <c r="T248" s="170">
        <f t="shared" si="232"/>
        <v>254992610.50675195</v>
      </c>
      <c r="U248" s="170">
        <f t="shared" si="233"/>
        <v>260347455.32739371</v>
      </c>
      <c r="V248" s="170">
        <f t="shared" si="234"/>
        <v>265814751.88926899</v>
      </c>
      <c r="W248" s="170">
        <f t="shared" si="235"/>
        <v>271396861.67894357</v>
      </c>
      <c r="X248" s="170">
        <f t="shared" si="236"/>
        <v>277096195.77420139</v>
      </c>
      <c r="Y248" s="170">
        <f t="shared" si="237"/>
        <v>282915215.8854596</v>
      </c>
      <c r="Z248" s="170">
        <f t="shared" si="238"/>
        <v>288856435.41905421</v>
      </c>
      <c r="AB248" s="96" t="s">
        <v>51</v>
      </c>
      <c r="AC248" s="96">
        <v>85000</v>
      </c>
      <c r="AE248" s="96">
        <f t="shared" si="218"/>
        <v>245.62352941176471</v>
      </c>
      <c r="AF248" s="96">
        <f t="shared" si="219"/>
        <v>1094.8126117647059</v>
      </c>
      <c r="AG248" s="96">
        <f t="shared" si="220"/>
        <v>2593.8093236705881</v>
      </c>
      <c r="AH248" s="96">
        <f t="shared" si="221"/>
        <v>2999.9130647853171</v>
      </c>
      <c r="AI248" s="96">
        <f t="shared" si="222"/>
        <v>3062.9112391458084</v>
      </c>
      <c r="AJ248" s="96">
        <f t="shared" si="223"/>
        <v>3127.2323751678705</v>
      </c>
      <c r="AK248" s="96">
        <f t="shared" si="224"/>
        <v>3192.9042550463951</v>
      </c>
      <c r="AL248" s="96">
        <f t="shared" si="225"/>
        <v>3259.9552444023693</v>
      </c>
      <c r="AM248" s="96">
        <f t="shared" si="226"/>
        <v>3328.4143045348187</v>
      </c>
      <c r="AN248" s="96">
        <f t="shared" si="227"/>
        <v>3398.3110049300494</v>
      </c>
      <c r="AS248" s="161" t="s">
        <v>51</v>
      </c>
      <c r="AT248" s="96">
        <f t="shared" si="239"/>
        <v>29.990632941176472</v>
      </c>
      <c r="AU248" s="96">
        <f t="shared" si="240"/>
        <v>133.67661989647058</v>
      </c>
      <c r="AV248" s="96">
        <f t="shared" si="241"/>
        <v>316.70411842017882</v>
      </c>
      <c r="AW248" s="96">
        <f t="shared" si="242"/>
        <v>366.28938521028721</v>
      </c>
      <c r="AX248" s="96">
        <f t="shared" si="243"/>
        <v>373.9814622997032</v>
      </c>
      <c r="AY248" s="96">
        <f t="shared" si="244"/>
        <v>381.83507300799698</v>
      </c>
      <c r="AZ248" s="96">
        <f t="shared" si="245"/>
        <v>389.85360954116481</v>
      </c>
      <c r="BA248" s="96">
        <f t="shared" si="246"/>
        <v>398.04053534152928</v>
      </c>
      <c r="BB248" s="96">
        <f t="shared" si="247"/>
        <v>406.39938658370136</v>
      </c>
      <c r="BC248" s="96">
        <f t="shared" si="248"/>
        <v>414.93377370195901</v>
      </c>
      <c r="BE248" s="169">
        <f t="shared" si="196"/>
        <v>296.25949722554589</v>
      </c>
      <c r="BQ248" s="81" t="s">
        <v>38</v>
      </c>
      <c r="BR248" s="173">
        <f t="shared" si="249"/>
        <v>35.849651396648049</v>
      </c>
      <c r="BS248" s="173">
        <f t="shared" si="250"/>
        <v>77.781481689385473</v>
      </c>
      <c r="BT248" s="173">
        <f t="shared" si="251"/>
        <v>106.87163849424805</v>
      </c>
      <c r="BU248" s="173">
        <f t="shared" si="252"/>
        <v>138.065642720413</v>
      </c>
      <c r="BV248" s="173">
        <f t="shared" si="253"/>
        <v>140.96502121754168</v>
      </c>
      <c r="BW248" s="173">
        <f t="shared" si="254"/>
        <v>143.92528666311003</v>
      </c>
      <c r="BX248" s="173">
        <f t="shared" si="255"/>
        <v>146.94771768303534</v>
      </c>
      <c r="BY248" s="173">
        <f t="shared" si="256"/>
        <v>150.03361975437909</v>
      </c>
      <c r="BZ248" s="173">
        <f t="shared" si="257"/>
        <v>153.184325769221</v>
      </c>
      <c r="CA248" s="173">
        <f t="shared" si="258"/>
        <v>156.4011966103746</v>
      </c>
    </row>
    <row r="249" spans="1:110">
      <c r="B249" s="96" t="s">
        <v>42</v>
      </c>
      <c r="C249" s="96">
        <v>84</v>
      </c>
      <c r="F249" s="96">
        <v>10000</v>
      </c>
      <c r="G249" s="96">
        <v>20000</v>
      </c>
      <c r="H249" s="96">
        <v>40000</v>
      </c>
      <c r="I249" s="96">
        <v>47340</v>
      </c>
      <c r="J249" s="96">
        <v>47340</v>
      </c>
      <c r="K249" s="96">
        <v>47340</v>
      </c>
      <c r="L249" s="96">
        <v>47340</v>
      </c>
      <c r="M249" s="96">
        <v>47340</v>
      </c>
      <c r="N249" s="96">
        <v>47340</v>
      </c>
      <c r="P249" s="161" t="s">
        <v>42</v>
      </c>
      <c r="Q249" s="170">
        <f t="shared" si="229"/>
        <v>0</v>
      </c>
      <c r="R249" s="170">
        <f t="shared" si="230"/>
        <v>10240000</v>
      </c>
      <c r="S249" s="170">
        <f t="shared" si="231"/>
        <v>20910080</v>
      </c>
      <c r="T249" s="170">
        <f t="shared" si="232"/>
        <v>42698383.359999992</v>
      </c>
      <c r="U249" s="170">
        <f t="shared" si="233"/>
        <v>51594740.977397747</v>
      </c>
      <c r="V249" s="170">
        <f t="shared" si="234"/>
        <v>52678230.537923098</v>
      </c>
      <c r="W249" s="170">
        <f t="shared" si="235"/>
        <v>53784473.379219472</v>
      </c>
      <c r="X249" s="170">
        <f t="shared" si="236"/>
        <v>54913947.320183083</v>
      </c>
      <c r="Y249" s="170">
        <f t="shared" si="237"/>
        <v>56067140.213906921</v>
      </c>
      <c r="Z249" s="170">
        <f t="shared" si="238"/>
        <v>57244550.158398956</v>
      </c>
      <c r="AB249" s="96" t="s">
        <v>42</v>
      </c>
      <c r="AC249" s="96">
        <v>84000</v>
      </c>
      <c r="AE249" s="96">
        <f t="shared" si="218"/>
        <v>0</v>
      </c>
      <c r="AF249" s="96">
        <f t="shared" si="219"/>
        <v>121.9047619047619</v>
      </c>
      <c r="AG249" s="96">
        <f t="shared" si="220"/>
        <v>248.9295238095238</v>
      </c>
      <c r="AH249" s="96">
        <f t="shared" si="221"/>
        <v>508.31408761904754</v>
      </c>
      <c r="AI249" s="96">
        <f t="shared" si="222"/>
        <v>614.22310687378274</v>
      </c>
      <c r="AJ249" s="96">
        <f t="shared" si="223"/>
        <v>627.12179211813213</v>
      </c>
      <c r="AK249" s="96">
        <f t="shared" si="224"/>
        <v>640.29134975261275</v>
      </c>
      <c r="AL249" s="96">
        <f t="shared" si="225"/>
        <v>653.7374680974176</v>
      </c>
      <c r="AM249" s="96">
        <f t="shared" si="226"/>
        <v>667.46595492746337</v>
      </c>
      <c r="AN249" s="96">
        <f t="shared" si="227"/>
        <v>681.48273998093998</v>
      </c>
      <c r="AS249" s="161" t="s">
        <v>42</v>
      </c>
      <c r="AT249" s="96">
        <f t="shared" si="239"/>
        <v>0</v>
      </c>
      <c r="AU249" s="96">
        <f t="shared" si="240"/>
        <v>14.884571428571428</v>
      </c>
      <c r="AV249" s="96">
        <f t="shared" si="241"/>
        <v>30.394294857142857</v>
      </c>
      <c r="AW249" s="96">
        <f t="shared" si="242"/>
        <v>62.065150098285706</v>
      </c>
      <c r="AX249" s="96">
        <f t="shared" si="243"/>
        <v>74.996641349288879</v>
      </c>
      <c r="AY249" s="96">
        <f t="shared" si="244"/>
        <v>76.571570817623936</v>
      </c>
      <c r="AZ249" s="96">
        <f t="shared" si="245"/>
        <v>78.179573804794018</v>
      </c>
      <c r="BA249" s="96">
        <f t="shared" si="246"/>
        <v>79.821344854694686</v>
      </c>
      <c r="BB249" s="96">
        <f t="shared" si="247"/>
        <v>81.497593096643271</v>
      </c>
      <c r="BC249" s="96">
        <f t="shared" si="248"/>
        <v>83.209042551672766</v>
      </c>
      <c r="BE249" s="169">
        <f t="shared" si="196"/>
        <v>51.830655491070551</v>
      </c>
      <c r="BQ249" s="81" t="s">
        <v>39</v>
      </c>
      <c r="BR249" s="173">
        <f t="shared" si="249"/>
        <v>0</v>
      </c>
      <c r="BS249" s="173">
        <f t="shared" si="250"/>
        <v>32.53579182156134</v>
      </c>
      <c r="BT249" s="173">
        <f t="shared" si="251"/>
        <v>80.674819806691445</v>
      </c>
      <c r="BU249" s="173">
        <f t="shared" si="252"/>
        <v>198.65462540752415</v>
      </c>
      <c r="BV249" s="173">
        <f t="shared" si="253"/>
        <v>277.03114298294145</v>
      </c>
      <c r="BW249" s="173">
        <f t="shared" si="254"/>
        <v>358.61186760672155</v>
      </c>
      <c r="BX249" s="173">
        <f t="shared" si="255"/>
        <v>417.71211356258414</v>
      </c>
      <c r="BY249" s="173">
        <f t="shared" si="256"/>
        <v>479.13642201497845</v>
      </c>
      <c r="BZ249" s="173">
        <f t="shared" si="257"/>
        <v>542.9563403802922</v>
      </c>
      <c r="CA249" s="173">
        <f t="shared" si="258"/>
        <v>570.8245153162469</v>
      </c>
    </row>
    <row r="250" spans="1:110">
      <c r="B250" s="96" t="s">
        <v>34</v>
      </c>
      <c r="C250" s="96">
        <v>127</v>
      </c>
      <c r="F250" s="96">
        <v>6650</v>
      </c>
      <c r="G250" s="96">
        <v>20950</v>
      </c>
      <c r="H250" s="96">
        <v>80800</v>
      </c>
      <c r="I250" s="96">
        <v>113050</v>
      </c>
      <c r="J250" s="96">
        <v>133000</v>
      </c>
      <c r="K250" s="96">
        <v>133000</v>
      </c>
      <c r="L250" s="96">
        <v>133000</v>
      </c>
      <c r="M250" s="96">
        <v>133000</v>
      </c>
      <c r="N250" s="96">
        <v>133000</v>
      </c>
      <c r="P250" s="161" t="s">
        <v>34</v>
      </c>
      <c r="Q250" s="170">
        <f t="shared" si="229"/>
        <v>0</v>
      </c>
      <c r="R250" s="170">
        <f t="shared" si="230"/>
        <v>6809600</v>
      </c>
      <c r="S250" s="170">
        <f t="shared" si="231"/>
        <v>21903308.800000001</v>
      </c>
      <c r="T250" s="170">
        <f t="shared" si="232"/>
        <v>86250734.387199983</v>
      </c>
      <c r="U250" s="170">
        <f t="shared" si="233"/>
        <v>123210508.39659517</v>
      </c>
      <c r="V250" s="170">
        <f t="shared" si="234"/>
        <v>147997563.6152043</v>
      </c>
      <c r="W250" s="170">
        <f t="shared" si="235"/>
        <v>151105512.45112357</v>
      </c>
      <c r="X250" s="170">
        <f t="shared" si="236"/>
        <v>154278728.21259716</v>
      </c>
      <c r="Y250" s="170">
        <f t="shared" si="237"/>
        <v>157518581.50506169</v>
      </c>
      <c r="Z250" s="170">
        <f t="shared" si="238"/>
        <v>160826471.71666795</v>
      </c>
      <c r="AB250" s="96" t="s">
        <v>34</v>
      </c>
      <c r="AC250" s="96">
        <v>127000</v>
      </c>
      <c r="AE250" s="96">
        <f t="shared" si="218"/>
        <v>0</v>
      </c>
      <c r="AF250" s="96">
        <f t="shared" si="219"/>
        <v>53.618897637795278</v>
      </c>
      <c r="AG250" s="96">
        <f t="shared" si="220"/>
        <v>172.46699842519686</v>
      </c>
      <c r="AH250" s="96">
        <f t="shared" si="221"/>
        <v>679.1396408440944</v>
      </c>
      <c r="AI250" s="96">
        <f t="shared" si="222"/>
        <v>970.16148343775717</v>
      </c>
      <c r="AJ250" s="96">
        <f t="shared" si="223"/>
        <v>1165.3351465764119</v>
      </c>
      <c r="AK250" s="96">
        <f t="shared" si="224"/>
        <v>1189.8071846545163</v>
      </c>
      <c r="AL250" s="96">
        <f t="shared" si="225"/>
        <v>1214.7931355322612</v>
      </c>
      <c r="AM250" s="96">
        <f t="shared" si="226"/>
        <v>1240.3037913784385</v>
      </c>
      <c r="AN250" s="96">
        <f t="shared" si="227"/>
        <v>1266.3501709973855</v>
      </c>
      <c r="AS250" s="161" t="s">
        <v>34</v>
      </c>
      <c r="AT250" s="96">
        <f t="shared" si="239"/>
        <v>0</v>
      </c>
      <c r="AU250" s="96">
        <f t="shared" si="240"/>
        <v>6.5468674015748034</v>
      </c>
      <c r="AV250" s="96">
        <f t="shared" si="241"/>
        <v>21.058220507716538</v>
      </c>
      <c r="AW250" s="96">
        <f t="shared" si="242"/>
        <v>82.922950147063929</v>
      </c>
      <c r="AX250" s="96">
        <f t="shared" si="243"/>
        <v>118.45671712775015</v>
      </c>
      <c r="AY250" s="96">
        <f t="shared" si="244"/>
        <v>142.28742139697991</v>
      </c>
      <c r="AZ250" s="96">
        <f t="shared" si="245"/>
        <v>145.27545724631645</v>
      </c>
      <c r="BA250" s="96">
        <f t="shared" si="246"/>
        <v>148.3262418484891</v>
      </c>
      <c r="BB250" s="96">
        <f t="shared" si="247"/>
        <v>151.44109292730735</v>
      </c>
      <c r="BC250" s="96">
        <f t="shared" si="248"/>
        <v>154.62135587878078</v>
      </c>
      <c r="BE250" s="169">
        <f t="shared" si="196"/>
        <v>83.684591617598372</v>
      </c>
      <c r="BQ250" s="81" t="s">
        <v>74</v>
      </c>
      <c r="BR250" s="173">
        <f t="shared" si="249"/>
        <v>0</v>
      </c>
      <c r="BS250" s="173">
        <f t="shared" si="250"/>
        <v>0</v>
      </c>
      <c r="BT250" s="173">
        <f t="shared" si="251"/>
        <v>0</v>
      </c>
      <c r="BU250" s="173">
        <f t="shared" si="252"/>
        <v>0</v>
      </c>
      <c r="BV250" s="173">
        <f t="shared" si="253"/>
        <v>0</v>
      </c>
      <c r="BW250" s="173">
        <f t="shared" si="254"/>
        <v>0</v>
      </c>
      <c r="BX250" s="173">
        <f t="shared" si="255"/>
        <v>0</v>
      </c>
      <c r="BY250" s="173">
        <f t="shared" si="256"/>
        <v>0</v>
      </c>
      <c r="BZ250" s="173">
        <f t="shared" si="257"/>
        <v>0</v>
      </c>
      <c r="CA250" s="173">
        <f t="shared" si="258"/>
        <v>0</v>
      </c>
    </row>
    <row r="251" spans="1:110">
      <c r="B251" s="96" t="s">
        <v>101</v>
      </c>
      <c r="C251" s="96">
        <v>118</v>
      </c>
      <c r="F251" s="96">
        <v>8000</v>
      </c>
      <c r="G251" s="96">
        <v>16000</v>
      </c>
      <c r="H251" s="96">
        <v>22000</v>
      </c>
      <c r="I251" s="96">
        <v>39000</v>
      </c>
      <c r="J251" s="96">
        <v>54000</v>
      </c>
      <c r="K251" s="96">
        <v>54000</v>
      </c>
      <c r="L251" s="96">
        <v>54000</v>
      </c>
      <c r="M251" s="96">
        <v>54000</v>
      </c>
      <c r="N251" s="96">
        <v>54000</v>
      </c>
      <c r="P251" s="81" t="s">
        <v>31</v>
      </c>
      <c r="Q251" s="170">
        <f t="shared" si="229"/>
        <v>0</v>
      </c>
      <c r="R251" s="170">
        <f t="shared" si="230"/>
        <v>8192000</v>
      </c>
      <c r="S251" s="170">
        <f t="shared" si="231"/>
        <v>16728064</v>
      </c>
      <c r="T251" s="170">
        <f t="shared" si="232"/>
        <v>23484110.847999997</v>
      </c>
      <c r="U251" s="170">
        <f t="shared" si="233"/>
        <v>42505173.175295986</v>
      </c>
      <c r="V251" s="170">
        <f t="shared" si="234"/>
        <v>60089236.355045356</v>
      </c>
      <c r="W251" s="170">
        <f t="shared" si="235"/>
        <v>61351110.318501301</v>
      </c>
      <c r="X251" s="170">
        <f t="shared" si="236"/>
        <v>62639483.635189824</v>
      </c>
      <c r="Y251" s="170">
        <f t="shared" si="237"/>
        <v>63954912.791528806</v>
      </c>
      <c r="Z251" s="170">
        <f t="shared" si="238"/>
        <v>65297965.960150898</v>
      </c>
      <c r="AB251" s="96" t="s">
        <v>101</v>
      </c>
      <c r="AC251" s="96">
        <v>118000</v>
      </c>
      <c r="AE251" s="96">
        <f t="shared" si="218"/>
        <v>0</v>
      </c>
      <c r="AF251" s="96">
        <f t="shared" si="219"/>
        <v>69.423728813559322</v>
      </c>
      <c r="AG251" s="96">
        <f t="shared" si="220"/>
        <v>141.76325423728812</v>
      </c>
      <c r="AH251" s="96">
        <f t="shared" si="221"/>
        <v>199.01788854237287</v>
      </c>
      <c r="AI251" s="96">
        <f t="shared" si="222"/>
        <v>360.21333199403381</v>
      </c>
      <c r="AJ251" s="96">
        <f t="shared" si="223"/>
        <v>509.23081656818096</v>
      </c>
      <c r="AK251" s="96">
        <f t="shared" si="224"/>
        <v>519.92466371611272</v>
      </c>
      <c r="AL251" s="96">
        <f t="shared" si="225"/>
        <v>530.84308165415109</v>
      </c>
      <c r="AM251" s="96">
        <f t="shared" si="226"/>
        <v>541.99078636888817</v>
      </c>
      <c r="AN251" s="96">
        <f t="shared" si="227"/>
        <v>553.37259288263476</v>
      </c>
      <c r="AS251" s="161" t="s">
        <v>101</v>
      </c>
      <c r="AT251" s="96">
        <f t="shared" si="239"/>
        <v>0</v>
      </c>
      <c r="AU251" s="96">
        <f t="shared" si="240"/>
        <v>8.4766372881355938</v>
      </c>
      <c r="AV251" s="96">
        <f t="shared" si="241"/>
        <v>17.309293342372879</v>
      </c>
      <c r="AW251" s="96">
        <f t="shared" si="242"/>
        <v>24.300084191023728</v>
      </c>
      <c r="AX251" s="96">
        <f t="shared" si="243"/>
        <v>43.98204783647153</v>
      </c>
      <c r="AY251" s="96">
        <f t="shared" si="244"/>
        <v>62.177082702974893</v>
      </c>
      <c r="AZ251" s="96">
        <f t="shared" si="245"/>
        <v>63.482801439737365</v>
      </c>
      <c r="BA251" s="96">
        <f t="shared" si="246"/>
        <v>64.815940269971847</v>
      </c>
      <c r="BB251" s="96">
        <f t="shared" si="247"/>
        <v>66.17707501564125</v>
      </c>
      <c r="BC251" s="96">
        <f t="shared" si="248"/>
        <v>67.566793590969709</v>
      </c>
      <c r="BE251" s="169">
        <f t="shared" si="196"/>
        <v>36.159539558789859</v>
      </c>
      <c r="BQ251" s="81" t="s">
        <v>40</v>
      </c>
      <c r="BR251" s="173">
        <f t="shared" si="249"/>
        <v>0</v>
      </c>
      <c r="BS251" s="173">
        <f t="shared" si="250"/>
        <v>0</v>
      </c>
      <c r="BT251" s="173">
        <f t="shared" si="251"/>
        <v>0</v>
      </c>
      <c r="BU251" s="173">
        <f t="shared" si="252"/>
        <v>0</v>
      </c>
      <c r="BV251" s="173">
        <f t="shared" si="253"/>
        <v>0</v>
      </c>
      <c r="BW251" s="173">
        <f t="shared" si="254"/>
        <v>0</v>
      </c>
      <c r="BX251" s="173">
        <f t="shared" si="255"/>
        <v>0</v>
      </c>
      <c r="BY251" s="173">
        <f t="shared" si="256"/>
        <v>0</v>
      </c>
      <c r="BZ251" s="173">
        <f t="shared" si="257"/>
        <v>0</v>
      </c>
      <c r="CA251" s="173">
        <f t="shared" si="258"/>
        <v>0</v>
      </c>
    </row>
    <row r="252" spans="1:110">
      <c r="B252" s="96" t="s">
        <v>102</v>
      </c>
      <c r="C252" s="96">
        <v>76</v>
      </c>
      <c r="F252" s="96">
        <v>10000</v>
      </c>
      <c r="G252" s="96">
        <v>70140</v>
      </c>
      <c r="H252" s="96">
        <v>119900</v>
      </c>
      <c r="I252" s="96">
        <v>124900</v>
      </c>
      <c r="J252" s="96">
        <v>124900</v>
      </c>
      <c r="K252" s="96">
        <v>124900</v>
      </c>
      <c r="L252" s="96">
        <v>124900</v>
      </c>
      <c r="M252" s="96">
        <v>124900</v>
      </c>
      <c r="N252" s="96">
        <v>124900</v>
      </c>
      <c r="P252" s="161" t="s">
        <v>49</v>
      </c>
      <c r="Q252" s="170">
        <f t="shared" si="229"/>
        <v>0</v>
      </c>
      <c r="R252" s="170">
        <f t="shared" si="230"/>
        <v>10240000</v>
      </c>
      <c r="S252" s="170">
        <f t="shared" si="231"/>
        <v>73331650.560000002</v>
      </c>
      <c r="T252" s="170">
        <f t="shared" si="232"/>
        <v>127988404.12159999</v>
      </c>
      <c r="U252" s="170">
        <f t="shared" si="233"/>
        <v>136125541.78447357</v>
      </c>
      <c r="V252" s="170">
        <f t="shared" si="234"/>
        <v>138984178.16194749</v>
      </c>
      <c r="W252" s="170">
        <f t="shared" si="235"/>
        <v>141902845.90334839</v>
      </c>
      <c r="X252" s="170">
        <f t="shared" si="236"/>
        <v>144882805.6673187</v>
      </c>
      <c r="Y252" s="170">
        <f t="shared" si="237"/>
        <v>147925344.58633235</v>
      </c>
      <c r="Z252" s="170">
        <f t="shared" si="238"/>
        <v>151031776.82264531</v>
      </c>
      <c r="AB252" s="96" t="s">
        <v>102</v>
      </c>
      <c r="AC252" s="96">
        <v>76000</v>
      </c>
      <c r="AE252" s="96">
        <f t="shared" si="218"/>
        <v>0</v>
      </c>
      <c r="AF252" s="96">
        <f t="shared" si="219"/>
        <v>134.73684210526315</v>
      </c>
      <c r="AG252" s="96">
        <f t="shared" si="220"/>
        <v>964.89013894736843</v>
      </c>
      <c r="AH252" s="96">
        <f t="shared" si="221"/>
        <v>1684.057948968421</v>
      </c>
      <c r="AI252" s="96">
        <f t="shared" si="222"/>
        <v>1791.125549795705</v>
      </c>
      <c r="AJ252" s="96">
        <f t="shared" si="223"/>
        <v>1828.7391863414143</v>
      </c>
      <c r="AK252" s="96">
        <f t="shared" si="224"/>
        <v>1867.1427092545841</v>
      </c>
      <c r="AL252" s="96">
        <f t="shared" si="225"/>
        <v>1906.3527061489303</v>
      </c>
      <c r="AM252" s="96">
        <f t="shared" si="226"/>
        <v>1946.3861129780573</v>
      </c>
      <c r="AN252" s="96">
        <f t="shared" si="227"/>
        <v>1987.2602213505961</v>
      </c>
      <c r="AS252" s="161" t="s">
        <v>102</v>
      </c>
      <c r="AT252" s="96">
        <f t="shared" si="239"/>
        <v>0</v>
      </c>
      <c r="AU252" s="96">
        <f t="shared" si="240"/>
        <v>16.451368421052631</v>
      </c>
      <c r="AV252" s="96">
        <f t="shared" si="241"/>
        <v>117.81308596547369</v>
      </c>
      <c r="AW252" s="96">
        <f t="shared" si="242"/>
        <v>205.62347556904422</v>
      </c>
      <c r="AX252" s="96">
        <f t="shared" si="243"/>
        <v>218.69642963005558</v>
      </c>
      <c r="AY252" s="96">
        <f t="shared" si="244"/>
        <v>223.28905465228669</v>
      </c>
      <c r="AZ252" s="96">
        <f t="shared" si="245"/>
        <v>227.97812479998473</v>
      </c>
      <c r="BA252" s="96">
        <f t="shared" si="246"/>
        <v>232.76566542078439</v>
      </c>
      <c r="BB252" s="96">
        <f t="shared" si="247"/>
        <v>237.65374439462079</v>
      </c>
      <c r="BC252" s="96">
        <f t="shared" si="248"/>
        <v>242.64447302690778</v>
      </c>
      <c r="BE252" s="169">
        <f t="shared" si="196"/>
        <v>153.8452098079315</v>
      </c>
      <c r="BQ252" s="81" t="s">
        <v>75</v>
      </c>
      <c r="BR252" s="173">
        <f t="shared" si="249"/>
        <v>0</v>
      </c>
      <c r="BS252" s="173">
        <f t="shared" si="250"/>
        <v>0</v>
      </c>
      <c r="BT252" s="173">
        <f t="shared" si="251"/>
        <v>0</v>
      </c>
      <c r="BU252" s="173">
        <f t="shared" si="252"/>
        <v>0</v>
      </c>
      <c r="BV252" s="173">
        <f t="shared" si="253"/>
        <v>0</v>
      </c>
      <c r="BW252" s="173">
        <f t="shared" si="254"/>
        <v>0</v>
      </c>
      <c r="BX252" s="173">
        <f t="shared" si="255"/>
        <v>0</v>
      </c>
      <c r="BY252" s="173">
        <f t="shared" si="256"/>
        <v>0</v>
      </c>
      <c r="BZ252" s="173">
        <f t="shared" si="257"/>
        <v>0</v>
      </c>
      <c r="CA252" s="173">
        <f t="shared" si="258"/>
        <v>0</v>
      </c>
    </row>
    <row r="253" spans="1:110">
      <c r="B253" s="96" t="s">
        <v>41</v>
      </c>
      <c r="C253" s="96">
        <v>79</v>
      </c>
      <c r="F253" s="96">
        <v>3000</v>
      </c>
      <c r="G253" s="96">
        <v>6000</v>
      </c>
      <c r="H253" s="96">
        <v>14000</v>
      </c>
      <c r="I253" s="96">
        <v>44000</v>
      </c>
      <c r="J253" s="96">
        <v>74000</v>
      </c>
      <c r="K253" s="96">
        <v>84000</v>
      </c>
      <c r="L253" s="96">
        <v>84000</v>
      </c>
      <c r="M253" s="96">
        <v>84000</v>
      </c>
      <c r="N253" s="96">
        <v>84000</v>
      </c>
      <c r="P253" s="161" t="s">
        <v>41</v>
      </c>
      <c r="Q253" s="170">
        <f t="shared" si="229"/>
        <v>0</v>
      </c>
      <c r="R253" s="170">
        <f t="shared" si="230"/>
        <v>3072000</v>
      </c>
      <c r="S253" s="170">
        <f t="shared" si="231"/>
        <v>6273024</v>
      </c>
      <c r="T253" s="170">
        <f t="shared" si="232"/>
        <v>14944434.175999997</v>
      </c>
      <c r="U253" s="170">
        <f t="shared" si="233"/>
        <v>47954554.351615988</v>
      </c>
      <c r="V253" s="170">
        <f t="shared" si="234"/>
        <v>82344509.079136238</v>
      </c>
      <c r="W253" s="170">
        <f t="shared" si="235"/>
        <v>95435060.495446473</v>
      </c>
      <c r="X253" s="170">
        <f t="shared" si="236"/>
        <v>97439196.765850842</v>
      </c>
      <c r="Y253" s="170">
        <f t="shared" si="237"/>
        <v>99485419.897933692</v>
      </c>
      <c r="Z253" s="170">
        <f t="shared" si="238"/>
        <v>101574613.71579029</v>
      </c>
      <c r="AB253" s="96" t="s">
        <v>41</v>
      </c>
      <c r="AC253" s="96">
        <v>79000</v>
      </c>
      <c r="AE253" s="96">
        <f t="shared" si="218"/>
        <v>0</v>
      </c>
      <c r="AF253" s="96">
        <f t="shared" si="219"/>
        <v>38.88607594936709</v>
      </c>
      <c r="AG253" s="96">
        <f t="shared" si="220"/>
        <v>79.405367088607591</v>
      </c>
      <c r="AH253" s="96">
        <f t="shared" si="221"/>
        <v>189.17005286075945</v>
      </c>
      <c r="AI253" s="96">
        <f t="shared" si="222"/>
        <v>607.01967533691129</v>
      </c>
      <c r="AJ253" s="96">
        <f t="shared" si="223"/>
        <v>1042.3355579637498</v>
      </c>
      <c r="AK253" s="96">
        <f t="shared" si="224"/>
        <v>1208.0387404486896</v>
      </c>
      <c r="AL253" s="96">
        <f t="shared" si="225"/>
        <v>1233.407553998112</v>
      </c>
      <c r="AM253" s="96">
        <f t="shared" si="226"/>
        <v>1259.3091126320721</v>
      </c>
      <c r="AN253" s="96">
        <f t="shared" si="227"/>
        <v>1285.7546039973454</v>
      </c>
      <c r="AS253" s="161" t="s">
        <v>41</v>
      </c>
      <c r="AT253" s="96">
        <f t="shared" si="239"/>
        <v>0</v>
      </c>
      <c r="AU253" s="96">
        <f t="shared" si="240"/>
        <v>4.7479898734177217</v>
      </c>
      <c r="AV253" s="96">
        <f t="shared" si="241"/>
        <v>9.695395321518987</v>
      </c>
      <c r="AW253" s="96">
        <f t="shared" si="242"/>
        <v>23.097663454298729</v>
      </c>
      <c r="AX253" s="96">
        <f t="shared" si="243"/>
        <v>74.11710235863687</v>
      </c>
      <c r="AY253" s="96">
        <f t="shared" si="244"/>
        <v>127.26917162737385</v>
      </c>
      <c r="AZ253" s="96">
        <f t="shared" si="245"/>
        <v>147.501530208785</v>
      </c>
      <c r="BA253" s="96">
        <f t="shared" si="246"/>
        <v>150.59906234316946</v>
      </c>
      <c r="BB253" s="96">
        <f t="shared" si="247"/>
        <v>153.761642652376</v>
      </c>
      <c r="BC253" s="96">
        <f t="shared" si="248"/>
        <v>156.99063714807588</v>
      </c>
      <c r="BE253" s="169">
        <f t="shared" si="196"/>
        <v>70.327798639962978</v>
      </c>
      <c r="BQ253" s="81" t="s">
        <v>41</v>
      </c>
      <c r="BR253" s="173">
        <f t="shared" si="249"/>
        <v>0</v>
      </c>
      <c r="BS253" s="173">
        <f t="shared" si="250"/>
        <v>4.7479898734177217</v>
      </c>
      <c r="BT253" s="173">
        <f t="shared" si="251"/>
        <v>9.695395321518987</v>
      </c>
      <c r="BU253" s="173">
        <f t="shared" si="252"/>
        <v>23.097663454298729</v>
      </c>
      <c r="BV253" s="173">
        <f t="shared" si="253"/>
        <v>74.11710235863687</v>
      </c>
      <c r="BW253" s="173">
        <f t="shared" si="254"/>
        <v>127.26917162737385</v>
      </c>
      <c r="BX253" s="173">
        <f t="shared" si="255"/>
        <v>147.501530208785</v>
      </c>
      <c r="BY253" s="173">
        <f t="shared" si="256"/>
        <v>150.59906234316946</v>
      </c>
      <c r="BZ253" s="173">
        <f t="shared" si="257"/>
        <v>153.761642652376</v>
      </c>
      <c r="CA253" s="173">
        <f t="shared" si="258"/>
        <v>156.99063714807588</v>
      </c>
    </row>
    <row r="254" spans="1:110">
      <c r="B254" s="96" t="s">
        <v>22</v>
      </c>
      <c r="C254" s="96">
        <v>85</v>
      </c>
      <c r="F254" s="96">
        <v>12535</v>
      </c>
      <c r="G254" s="96">
        <v>37605</v>
      </c>
      <c r="H254" s="96">
        <v>75210</v>
      </c>
      <c r="I254" s="96">
        <v>152420</v>
      </c>
      <c r="J254" s="96">
        <v>215095</v>
      </c>
      <c r="K254" s="96">
        <v>252700</v>
      </c>
      <c r="L254" s="96">
        <v>252700</v>
      </c>
      <c r="M254" s="96">
        <v>252700</v>
      </c>
      <c r="N254" s="96">
        <v>252700</v>
      </c>
      <c r="P254" s="161" t="s">
        <v>22</v>
      </c>
      <c r="Q254" s="170">
        <f t="shared" si="229"/>
        <v>0</v>
      </c>
      <c r="R254" s="170">
        <f t="shared" si="230"/>
        <v>12835840</v>
      </c>
      <c r="S254" s="170">
        <f t="shared" si="231"/>
        <v>39316177.920000002</v>
      </c>
      <c r="T254" s="170">
        <f t="shared" si="232"/>
        <v>80283635.312639982</v>
      </c>
      <c r="U254" s="170">
        <f t="shared" si="233"/>
        <v>166118935.77893883</v>
      </c>
      <c r="V254" s="170">
        <f t="shared" si="234"/>
        <v>239349894.3294163</v>
      </c>
      <c r="W254" s="170">
        <f t="shared" si="235"/>
        <v>287100473.65713477</v>
      </c>
      <c r="X254" s="170">
        <f t="shared" si="236"/>
        <v>293129583.60393459</v>
      </c>
      <c r="Y254" s="170">
        <f t="shared" si="237"/>
        <v>299285304.85961723</v>
      </c>
      <c r="Z254" s="170">
        <f t="shared" si="238"/>
        <v>305570296.2616691</v>
      </c>
      <c r="AB254" s="96" t="s">
        <v>22</v>
      </c>
      <c r="AC254" s="96">
        <v>85000</v>
      </c>
      <c r="AE254" s="96">
        <f t="shared" si="218"/>
        <v>0</v>
      </c>
      <c r="AF254" s="96">
        <f t="shared" si="219"/>
        <v>151.00988235294119</v>
      </c>
      <c r="AG254" s="96">
        <f t="shared" si="220"/>
        <v>462.54326964705882</v>
      </c>
      <c r="AH254" s="96">
        <f t="shared" si="221"/>
        <v>944.51335661929386</v>
      </c>
      <c r="AI254" s="96">
        <f t="shared" si="222"/>
        <v>1954.3404209286921</v>
      </c>
      <c r="AJ254" s="96">
        <f t="shared" si="223"/>
        <v>2815.8811097578387</v>
      </c>
      <c r="AK254" s="96">
        <f t="shared" si="224"/>
        <v>3377.6526312604092</v>
      </c>
      <c r="AL254" s="96">
        <f t="shared" si="225"/>
        <v>3448.5833365168774</v>
      </c>
      <c r="AM254" s="96">
        <f t="shared" si="226"/>
        <v>3521.0035865837322</v>
      </c>
      <c r="AN254" s="96">
        <f t="shared" si="227"/>
        <v>3594.9446619019895</v>
      </c>
      <c r="AS254" s="161" t="s">
        <v>22</v>
      </c>
      <c r="AT254" s="96">
        <f t="shared" si="239"/>
        <v>0</v>
      </c>
      <c r="AU254" s="96">
        <f t="shared" si="240"/>
        <v>18.438306635294119</v>
      </c>
      <c r="AV254" s="96">
        <f t="shared" si="241"/>
        <v>56.476533223905882</v>
      </c>
      <c r="AW254" s="96">
        <f t="shared" si="242"/>
        <v>115.32508084321579</v>
      </c>
      <c r="AX254" s="96">
        <f t="shared" si="243"/>
        <v>238.6249653953933</v>
      </c>
      <c r="AY254" s="96">
        <f t="shared" si="244"/>
        <v>343.81908350143209</v>
      </c>
      <c r="AZ254" s="96">
        <f t="shared" si="245"/>
        <v>412.41138627689594</v>
      </c>
      <c r="BA254" s="96">
        <f t="shared" si="246"/>
        <v>421.0720253887107</v>
      </c>
      <c r="BB254" s="96">
        <f t="shared" si="247"/>
        <v>429.91453792187372</v>
      </c>
      <c r="BC254" s="96">
        <f t="shared" si="248"/>
        <v>438.94274321823292</v>
      </c>
      <c r="BE254" s="169">
        <f t="shared" si="196"/>
        <v>208.43670079928495</v>
      </c>
      <c r="BQ254" s="81" t="s">
        <v>42</v>
      </c>
      <c r="BR254" s="173">
        <f t="shared" si="249"/>
        <v>0</v>
      </c>
      <c r="BS254" s="173">
        <f t="shared" si="250"/>
        <v>14.884571428571428</v>
      </c>
      <c r="BT254" s="173">
        <f t="shared" si="251"/>
        <v>30.394294857142857</v>
      </c>
      <c r="BU254" s="173">
        <f t="shared" si="252"/>
        <v>62.065150098285706</v>
      </c>
      <c r="BV254" s="173">
        <f t="shared" si="253"/>
        <v>74.996641349288879</v>
      </c>
      <c r="BW254" s="173">
        <f t="shared" si="254"/>
        <v>76.571570817623936</v>
      </c>
      <c r="BX254" s="173">
        <f t="shared" si="255"/>
        <v>78.179573804794018</v>
      </c>
      <c r="BY254" s="173">
        <f t="shared" si="256"/>
        <v>79.821344854694686</v>
      </c>
      <c r="BZ254" s="173">
        <f t="shared" si="257"/>
        <v>81.497593096643271</v>
      </c>
      <c r="CA254" s="173">
        <f t="shared" si="258"/>
        <v>83.209042551672766</v>
      </c>
    </row>
    <row r="255" spans="1:110">
      <c r="B255" s="96" t="s">
        <v>103</v>
      </c>
      <c r="C255" s="96">
        <v>358</v>
      </c>
      <c r="F255" s="96">
        <v>15000</v>
      </c>
      <c r="G255" s="96">
        <v>90000</v>
      </c>
      <c r="H255" s="96">
        <v>190000</v>
      </c>
      <c r="I255" s="96">
        <v>415000</v>
      </c>
      <c r="J255" s="96">
        <v>865000</v>
      </c>
      <c r="K255" s="96">
        <v>1240000</v>
      </c>
      <c r="L255" s="96">
        <v>1465000</v>
      </c>
      <c r="M255" s="96">
        <v>1465000</v>
      </c>
      <c r="N255" s="96">
        <v>1465000</v>
      </c>
      <c r="P255" s="161" t="s">
        <v>46</v>
      </c>
      <c r="Q255" s="170">
        <f t="shared" si="229"/>
        <v>0</v>
      </c>
      <c r="R255" s="170">
        <f t="shared" si="230"/>
        <v>15360000</v>
      </c>
      <c r="S255" s="170">
        <f t="shared" si="231"/>
        <v>94095360</v>
      </c>
      <c r="T255" s="170">
        <f t="shared" si="232"/>
        <v>202817320.95999998</v>
      </c>
      <c r="U255" s="170">
        <f t="shared" si="233"/>
        <v>452298637.63455987</v>
      </c>
      <c r="V255" s="170">
        <f t="shared" si="234"/>
        <v>962540545.31693029</v>
      </c>
      <c r="W255" s="170">
        <f t="shared" si="235"/>
        <v>1408803273.9804003</v>
      </c>
      <c r="X255" s="170">
        <f t="shared" si="236"/>
        <v>1699385991.2139461</v>
      </c>
      <c r="Y255" s="170">
        <f t="shared" si="237"/>
        <v>1735073097.029439</v>
      </c>
      <c r="Z255" s="170">
        <f t="shared" si="238"/>
        <v>1771509632.0670569</v>
      </c>
      <c r="AB255" s="96" t="s">
        <v>46</v>
      </c>
      <c r="AC255" s="96">
        <v>358000</v>
      </c>
      <c r="AE255" s="96">
        <f t="shared" si="218"/>
        <v>0</v>
      </c>
      <c r="AF255" s="96">
        <f t="shared" si="219"/>
        <v>42.905027932960891</v>
      </c>
      <c r="AG255" s="96">
        <f t="shared" si="220"/>
        <v>262.83620111731841</v>
      </c>
      <c r="AH255" s="96">
        <f t="shared" si="221"/>
        <v>566.52882949720663</v>
      </c>
      <c r="AI255" s="96">
        <f t="shared" si="222"/>
        <v>1263.4040157389941</v>
      </c>
      <c r="AJ255" s="96">
        <f t="shared" si="223"/>
        <v>2688.6607411087439</v>
      </c>
      <c r="AK255" s="96">
        <f t="shared" si="224"/>
        <v>3935.2046759229061</v>
      </c>
      <c r="AL255" s="96">
        <f t="shared" si="225"/>
        <v>4746.8882436143749</v>
      </c>
      <c r="AM255" s="96">
        <f t="shared" si="226"/>
        <v>4846.5728967302766</v>
      </c>
      <c r="AN255" s="96">
        <f t="shared" si="227"/>
        <v>4948.3509275616116</v>
      </c>
      <c r="AS255" s="161" t="s">
        <v>46</v>
      </c>
      <c r="AT255" s="96">
        <f t="shared" si="239"/>
        <v>0</v>
      </c>
      <c r="AU255" s="96">
        <f t="shared" si="240"/>
        <v>5.2387039106145252</v>
      </c>
      <c r="AV255" s="96">
        <f t="shared" si="241"/>
        <v>32.092300156424578</v>
      </c>
      <c r="AW255" s="96">
        <f t="shared" si="242"/>
        <v>69.17317008160893</v>
      </c>
      <c r="AX255" s="96">
        <f t="shared" si="243"/>
        <v>154.26163032173119</v>
      </c>
      <c r="AY255" s="96">
        <f t="shared" si="244"/>
        <v>328.28547648937763</v>
      </c>
      <c r="AZ255" s="96">
        <f t="shared" si="245"/>
        <v>480.48849093018686</v>
      </c>
      <c r="BA255" s="96">
        <f t="shared" si="246"/>
        <v>579.59505454531518</v>
      </c>
      <c r="BB255" s="96">
        <f t="shared" si="247"/>
        <v>591.76655069076673</v>
      </c>
      <c r="BC255" s="96">
        <f t="shared" si="248"/>
        <v>604.19364825527282</v>
      </c>
      <c r="BE255" s="169">
        <f t="shared" si="196"/>
        <v>230.29029642617326</v>
      </c>
      <c r="BQ255" s="81" t="s">
        <v>44</v>
      </c>
      <c r="BR255" s="173">
        <f t="shared" si="249"/>
        <v>0</v>
      </c>
      <c r="BS255" s="173">
        <f t="shared" si="250"/>
        <v>0</v>
      </c>
      <c r="BT255" s="173">
        <f t="shared" si="251"/>
        <v>0</v>
      </c>
      <c r="BU255" s="173">
        <f t="shared" si="252"/>
        <v>0</v>
      </c>
      <c r="BV255" s="173">
        <f t="shared" si="253"/>
        <v>0</v>
      </c>
      <c r="BW255" s="173">
        <f t="shared" si="254"/>
        <v>0</v>
      </c>
      <c r="BX255" s="173">
        <f t="shared" si="255"/>
        <v>0</v>
      </c>
      <c r="BY255" s="173">
        <f t="shared" si="256"/>
        <v>0</v>
      </c>
      <c r="BZ255" s="173">
        <f t="shared" si="257"/>
        <v>0</v>
      </c>
      <c r="CA255" s="173">
        <f t="shared" si="258"/>
        <v>0</v>
      </c>
    </row>
    <row r="256" spans="1:110">
      <c r="B256" s="96" t="s">
        <v>35</v>
      </c>
      <c r="C256" s="96">
        <v>82</v>
      </c>
      <c r="G256" s="96">
        <v>3000</v>
      </c>
      <c r="H256" s="96">
        <v>10000</v>
      </c>
      <c r="I256" s="96">
        <v>40000</v>
      </c>
      <c r="J256" s="96">
        <v>70000</v>
      </c>
      <c r="K256" s="96">
        <v>100000</v>
      </c>
      <c r="L256" s="96">
        <v>120000</v>
      </c>
      <c r="M256" s="96">
        <v>128000</v>
      </c>
      <c r="N256" s="96">
        <v>128000</v>
      </c>
      <c r="P256" s="161" t="s">
        <v>35</v>
      </c>
      <c r="Q256" s="170">
        <f t="shared" si="229"/>
        <v>0</v>
      </c>
      <c r="R256" s="170">
        <f t="shared" si="230"/>
        <v>0</v>
      </c>
      <c r="S256" s="170">
        <f t="shared" si="231"/>
        <v>3136512</v>
      </c>
      <c r="T256" s="170">
        <f t="shared" si="232"/>
        <v>10674595.839999998</v>
      </c>
      <c r="U256" s="170">
        <f t="shared" si="233"/>
        <v>43595049.41055999</v>
      </c>
      <c r="V256" s="170">
        <f t="shared" si="234"/>
        <v>77893454.53431806</v>
      </c>
      <c r="W256" s="170">
        <f t="shared" si="235"/>
        <v>113613167.2564839</v>
      </c>
      <c r="X256" s="170">
        <f t="shared" si="236"/>
        <v>139198852.52264404</v>
      </c>
      <c r="Y256" s="170">
        <f t="shared" si="237"/>
        <v>151596830.32066086</v>
      </c>
      <c r="Z256" s="170">
        <f t="shared" si="238"/>
        <v>154780363.75739473</v>
      </c>
      <c r="AB256" s="96" t="s">
        <v>35</v>
      </c>
      <c r="AC256" s="96">
        <v>82000</v>
      </c>
      <c r="AE256" s="96">
        <f t="shared" si="218"/>
        <v>0</v>
      </c>
      <c r="AF256" s="96">
        <f t="shared" si="219"/>
        <v>0</v>
      </c>
      <c r="AG256" s="96">
        <f t="shared" si="220"/>
        <v>38.250146341463413</v>
      </c>
      <c r="AH256" s="96">
        <f t="shared" si="221"/>
        <v>130.17799804878047</v>
      </c>
      <c r="AI256" s="96">
        <f t="shared" si="222"/>
        <v>531.64694403121939</v>
      </c>
      <c r="AJ256" s="96">
        <f t="shared" si="223"/>
        <v>949.92017724778123</v>
      </c>
      <c r="AK256" s="96">
        <f t="shared" si="224"/>
        <v>1385.5264299571206</v>
      </c>
      <c r="AL256" s="96">
        <f t="shared" si="225"/>
        <v>1697.5469819834639</v>
      </c>
      <c r="AM256" s="96">
        <f t="shared" si="226"/>
        <v>1848.741833178791</v>
      </c>
      <c r="AN256" s="96">
        <f t="shared" si="227"/>
        <v>1887.5654116755454</v>
      </c>
      <c r="AS256" s="161" t="s">
        <v>35</v>
      </c>
      <c r="AT256" s="96">
        <f t="shared" si="239"/>
        <v>0</v>
      </c>
      <c r="AU256" s="96">
        <f t="shared" si="240"/>
        <v>0</v>
      </c>
      <c r="AV256" s="96">
        <f t="shared" si="241"/>
        <v>4.6703428682926829</v>
      </c>
      <c r="AW256" s="96">
        <f t="shared" si="242"/>
        <v>15.894733561756095</v>
      </c>
      <c r="AX256" s="96">
        <f t="shared" si="243"/>
        <v>64.914091866211891</v>
      </c>
      <c r="AY256" s="96">
        <f t="shared" si="244"/>
        <v>115.98525364195409</v>
      </c>
      <c r="AZ256" s="96">
        <f t="shared" si="245"/>
        <v>169.17277709776442</v>
      </c>
      <c r="BA256" s="96">
        <f t="shared" si="246"/>
        <v>207.27048650018094</v>
      </c>
      <c r="BB256" s="96">
        <f t="shared" si="247"/>
        <v>225.73137783113037</v>
      </c>
      <c r="BC256" s="96">
        <f t="shared" si="248"/>
        <v>230.4717367655841</v>
      </c>
      <c r="BE256" s="169">
        <f t="shared" si="196"/>
        <v>82.966867314449644</v>
      </c>
      <c r="BQ256" s="81" t="s">
        <v>46</v>
      </c>
      <c r="BR256" s="173">
        <f t="shared" si="249"/>
        <v>0</v>
      </c>
      <c r="BS256" s="173">
        <f t="shared" si="250"/>
        <v>5.2387039106145252</v>
      </c>
      <c r="BT256" s="173">
        <f t="shared" si="251"/>
        <v>32.092300156424578</v>
      </c>
      <c r="BU256" s="173">
        <f t="shared" si="252"/>
        <v>69.17317008160893</v>
      </c>
      <c r="BV256" s="173">
        <f t="shared" si="253"/>
        <v>154.26163032173119</v>
      </c>
      <c r="BW256" s="173">
        <f t="shared" si="254"/>
        <v>328.28547648937763</v>
      </c>
      <c r="BX256" s="173">
        <f t="shared" si="255"/>
        <v>480.48849093018686</v>
      </c>
      <c r="BY256" s="173">
        <f t="shared" si="256"/>
        <v>579.59505454531518</v>
      </c>
      <c r="BZ256" s="173">
        <f t="shared" si="257"/>
        <v>591.76655069076673</v>
      </c>
      <c r="CA256" s="173">
        <f t="shared" si="258"/>
        <v>604.19364825527282</v>
      </c>
    </row>
    <row r="257" spans="1:110">
      <c r="B257" s="96" t="s">
        <v>104</v>
      </c>
      <c r="C257" s="96">
        <v>358</v>
      </c>
      <c r="F257" s="96">
        <v>15000</v>
      </c>
      <c r="G257" s="96">
        <v>55000</v>
      </c>
      <c r="H257" s="96">
        <v>165000</v>
      </c>
      <c r="I257" s="96">
        <v>465000</v>
      </c>
      <c r="J257" s="96">
        <v>615000</v>
      </c>
      <c r="K257" s="96">
        <v>765000</v>
      </c>
      <c r="L257" s="96">
        <v>871710</v>
      </c>
      <c r="M257" s="96">
        <v>871710</v>
      </c>
      <c r="N257" s="96">
        <v>871710</v>
      </c>
      <c r="P257" s="161" t="s">
        <v>37</v>
      </c>
      <c r="Q257" s="170">
        <f t="shared" si="229"/>
        <v>0</v>
      </c>
      <c r="R257" s="170">
        <f t="shared" si="230"/>
        <v>15360000</v>
      </c>
      <c r="S257" s="170">
        <f t="shared" si="231"/>
        <v>57502720</v>
      </c>
      <c r="T257" s="170">
        <f t="shared" si="232"/>
        <v>176130831.35999998</v>
      </c>
      <c r="U257" s="170">
        <f t="shared" si="233"/>
        <v>506792449.39775985</v>
      </c>
      <c r="V257" s="170">
        <f t="shared" si="234"/>
        <v>684349636.2657944</v>
      </c>
      <c r="W257" s="170">
        <f t="shared" si="235"/>
        <v>869140729.51210177</v>
      </c>
      <c r="X257" s="170">
        <f t="shared" si="236"/>
        <v>1011175264.4376171</v>
      </c>
      <c r="Y257" s="170">
        <f t="shared" si="237"/>
        <v>1032409944.9908069</v>
      </c>
      <c r="Z257" s="170">
        <f t="shared" si="238"/>
        <v>1054090553.8356137</v>
      </c>
      <c r="AB257" s="96" t="s">
        <v>37</v>
      </c>
      <c r="AC257" s="96">
        <v>358000</v>
      </c>
      <c r="AE257" s="96">
        <f t="shared" si="218"/>
        <v>0</v>
      </c>
      <c r="AF257" s="96">
        <f t="shared" si="219"/>
        <v>42.905027932960891</v>
      </c>
      <c r="AG257" s="96">
        <f t="shared" si="220"/>
        <v>160.62212290502794</v>
      </c>
      <c r="AH257" s="96">
        <f t="shared" si="221"/>
        <v>491.9855624581005</v>
      </c>
      <c r="AI257" s="96">
        <f t="shared" si="222"/>
        <v>1415.6213670328489</v>
      </c>
      <c r="AJ257" s="96">
        <f t="shared" si="223"/>
        <v>1911.5911627536157</v>
      </c>
      <c r="AK257" s="96">
        <f t="shared" si="224"/>
        <v>2427.7674008717927</v>
      </c>
      <c r="AL257" s="96">
        <f t="shared" si="225"/>
        <v>2824.5119118369194</v>
      </c>
      <c r="AM257" s="96">
        <f t="shared" si="226"/>
        <v>2883.8266619854944</v>
      </c>
      <c r="AN257" s="96">
        <f t="shared" si="227"/>
        <v>2944.3870218871893</v>
      </c>
      <c r="AS257" s="161" t="s">
        <v>37</v>
      </c>
      <c r="AT257" s="96">
        <f t="shared" si="239"/>
        <v>0</v>
      </c>
      <c r="AU257" s="96">
        <f t="shared" si="240"/>
        <v>5.2387039106145252</v>
      </c>
      <c r="AV257" s="96">
        <f t="shared" si="241"/>
        <v>19.61196120670391</v>
      </c>
      <c r="AW257" s="96">
        <f t="shared" si="242"/>
        <v>60.071437176134069</v>
      </c>
      <c r="AX257" s="96">
        <f t="shared" si="243"/>
        <v>172.84736891471084</v>
      </c>
      <c r="AY257" s="96">
        <f t="shared" si="244"/>
        <v>233.40528097221647</v>
      </c>
      <c r="AZ257" s="96">
        <f t="shared" si="245"/>
        <v>296.43039964644589</v>
      </c>
      <c r="BA257" s="96">
        <f t="shared" si="246"/>
        <v>344.87290443528786</v>
      </c>
      <c r="BB257" s="96">
        <f t="shared" si="247"/>
        <v>352.11523542842889</v>
      </c>
      <c r="BC257" s="96">
        <f t="shared" si="248"/>
        <v>359.50965537242581</v>
      </c>
      <c r="BE257" s="169">
        <f t="shared" si="196"/>
        <v>152.12653314902192</v>
      </c>
      <c r="BQ257" s="81" t="s">
        <v>47</v>
      </c>
      <c r="BR257" s="173">
        <f t="shared" si="249"/>
        <v>79.903924137931028</v>
      </c>
      <c r="BS257" s="173">
        <f t="shared" si="250"/>
        <v>153.98787177931032</v>
      </c>
      <c r="BT257" s="173">
        <f t="shared" si="251"/>
        <v>157.22161708667585</v>
      </c>
      <c r="BU257" s="173">
        <f t="shared" si="252"/>
        <v>160.52327104549605</v>
      </c>
      <c r="BV257" s="173">
        <f t="shared" si="253"/>
        <v>163.89425973745145</v>
      </c>
      <c r="BW257" s="173">
        <f t="shared" si="254"/>
        <v>167.33603919193791</v>
      </c>
      <c r="BX257" s="173">
        <f t="shared" si="255"/>
        <v>170.85009601496856</v>
      </c>
      <c r="BY257" s="173">
        <f t="shared" si="256"/>
        <v>174.43794803128287</v>
      </c>
      <c r="BZ257" s="173">
        <f t="shared" si="257"/>
        <v>178.10114493993981</v>
      </c>
      <c r="CA257" s="173">
        <f t="shared" si="258"/>
        <v>181.84126898367853</v>
      </c>
    </row>
    <row r="258" spans="1:110">
      <c r="B258" s="96" t="s">
        <v>21</v>
      </c>
      <c r="C258" s="96">
        <v>32</v>
      </c>
      <c r="J258" s="96">
        <v>6365.4000000000005</v>
      </c>
      <c r="K258" s="96">
        <v>12921.762000000002</v>
      </c>
      <c r="L258" s="96">
        <v>19674.814860000006</v>
      </c>
      <c r="M258" s="96">
        <v>19674.814860000006</v>
      </c>
      <c r="N258" s="96">
        <v>19674.814860000006</v>
      </c>
      <c r="P258" s="161" t="s">
        <v>21</v>
      </c>
      <c r="Q258" s="170">
        <f t="shared" si="229"/>
        <v>0</v>
      </c>
      <c r="R258" s="170">
        <f t="shared" si="230"/>
        <v>0</v>
      </c>
      <c r="S258" s="170">
        <f t="shared" si="231"/>
        <v>0</v>
      </c>
      <c r="T258" s="170">
        <f t="shared" si="232"/>
        <v>0</v>
      </c>
      <c r="U258" s="170">
        <f t="shared" si="233"/>
        <v>0</v>
      </c>
      <c r="V258" s="170">
        <f t="shared" si="234"/>
        <v>7083185.6498964028</v>
      </c>
      <c r="W258" s="170">
        <f t="shared" si="235"/>
        <v>14680823.07354478</v>
      </c>
      <c r="X258" s="170">
        <f t="shared" si="236"/>
        <v>22822597.100895558</v>
      </c>
      <c r="Y258" s="170">
        <f t="shared" si="237"/>
        <v>23301871.640014362</v>
      </c>
      <c r="Z258" s="170">
        <f t="shared" si="238"/>
        <v>23791210.944454659</v>
      </c>
      <c r="AB258" s="96" t="s">
        <v>21</v>
      </c>
      <c r="AC258" s="96">
        <v>32000</v>
      </c>
      <c r="AE258" s="96">
        <f t="shared" si="218"/>
        <v>0</v>
      </c>
      <c r="AF258" s="96">
        <f t="shared" si="219"/>
        <v>0</v>
      </c>
      <c r="AG258" s="96">
        <f t="shared" si="220"/>
        <v>0</v>
      </c>
      <c r="AH258" s="96">
        <f t="shared" si="221"/>
        <v>0</v>
      </c>
      <c r="AI258" s="96">
        <f t="shared" si="222"/>
        <v>0</v>
      </c>
      <c r="AJ258" s="96">
        <f t="shared" si="223"/>
        <v>221.34955155926258</v>
      </c>
      <c r="AK258" s="96">
        <f t="shared" si="224"/>
        <v>458.77572104827436</v>
      </c>
      <c r="AL258" s="96">
        <f t="shared" si="225"/>
        <v>713.20615940298615</v>
      </c>
      <c r="AM258" s="96">
        <f t="shared" si="226"/>
        <v>728.18348875044876</v>
      </c>
      <c r="AN258" s="96">
        <f t="shared" si="227"/>
        <v>743.47534201420808</v>
      </c>
      <c r="AS258" s="161" t="s">
        <v>21</v>
      </c>
      <c r="AT258" s="96">
        <f t="shared" si="239"/>
        <v>0</v>
      </c>
      <c r="AU258" s="96">
        <f t="shared" si="240"/>
        <v>0</v>
      </c>
      <c r="AV258" s="96">
        <f t="shared" si="241"/>
        <v>0</v>
      </c>
      <c r="AW258" s="96">
        <f t="shared" si="242"/>
        <v>0</v>
      </c>
      <c r="AX258" s="96">
        <f t="shared" si="243"/>
        <v>0</v>
      </c>
      <c r="AY258" s="96">
        <f t="shared" si="244"/>
        <v>27.026780245385961</v>
      </c>
      <c r="AZ258" s="96">
        <f t="shared" si="245"/>
        <v>56.016515539994302</v>
      </c>
      <c r="BA258" s="96">
        <f t="shared" si="246"/>
        <v>87.082472063104603</v>
      </c>
      <c r="BB258" s="96">
        <f t="shared" si="247"/>
        <v>88.911203976429789</v>
      </c>
      <c r="BC258" s="96">
        <f t="shared" si="248"/>
        <v>90.77833925993481</v>
      </c>
      <c r="BE258" s="169">
        <f t="shared" si="196"/>
        <v>26.952673130118672</v>
      </c>
      <c r="BQ258" s="81" t="s">
        <v>48</v>
      </c>
      <c r="BR258" s="173">
        <f t="shared" si="249"/>
        <v>0</v>
      </c>
      <c r="BS258" s="173">
        <f t="shared" si="250"/>
        <v>0</v>
      </c>
      <c r="BT258" s="173">
        <f t="shared" si="251"/>
        <v>0</v>
      </c>
      <c r="BU258" s="173">
        <f t="shared" si="252"/>
        <v>0</v>
      </c>
      <c r="BV258" s="173">
        <f t="shared" si="253"/>
        <v>0</v>
      </c>
      <c r="BW258" s="173">
        <f t="shared" si="254"/>
        <v>0</v>
      </c>
      <c r="BX258" s="173">
        <f t="shared" si="255"/>
        <v>0</v>
      </c>
      <c r="BY258" s="173">
        <f t="shared" si="256"/>
        <v>0</v>
      </c>
      <c r="BZ258" s="173">
        <f t="shared" si="257"/>
        <v>0</v>
      </c>
      <c r="CA258" s="173">
        <f t="shared" si="258"/>
        <v>0</v>
      </c>
    </row>
    <row r="259" spans="1:110">
      <c r="B259" s="96" t="s">
        <v>105</v>
      </c>
      <c r="C259" s="96">
        <v>269</v>
      </c>
      <c r="F259" s="96">
        <v>70000</v>
      </c>
      <c r="G259" s="96">
        <v>170000</v>
      </c>
      <c r="H259" s="96">
        <v>410000</v>
      </c>
      <c r="I259" s="96">
        <v>560000</v>
      </c>
      <c r="J259" s="96">
        <v>710000</v>
      </c>
      <c r="K259" s="96">
        <v>810000</v>
      </c>
      <c r="L259" s="96">
        <v>910000</v>
      </c>
      <c r="M259" s="96">
        <v>1010000</v>
      </c>
      <c r="N259" s="96">
        <v>1040000</v>
      </c>
      <c r="P259" s="161" t="s">
        <v>39</v>
      </c>
      <c r="Q259" s="170">
        <f t="shared" si="229"/>
        <v>0</v>
      </c>
      <c r="R259" s="170">
        <f t="shared" si="230"/>
        <v>71680000</v>
      </c>
      <c r="S259" s="170">
        <f t="shared" si="231"/>
        <v>177735680</v>
      </c>
      <c r="T259" s="170">
        <f t="shared" si="232"/>
        <v>437658429.43999994</v>
      </c>
      <c r="U259" s="170">
        <f t="shared" si="233"/>
        <v>610330691.74783981</v>
      </c>
      <c r="V259" s="170">
        <f t="shared" si="234"/>
        <v>790062181.70522594</v>
      </c>
      <c r="W259" s="170">
        <f t="shared" si="235"/>
        <v>920266654.77751958</v>
      </c>
      <c r="X259" s="170">
        <f t="shared" si="236"/>
        <v>1055591298.2967174</v>
      </c>
      <c r="Y259" s="170">
        <f t="shared" si="237"/>
        <v>1196193739.2489648</v>
      </c>
      <c r="Z259" s="170">
        <f t="shared" si="238"/>
        <v>1257590455.5288322</v>
      </c>
      <c r="AB259" s="96" t="s">
        <v>39</v>
      </c>
      <c r="AC259" s="96">
        <v>269000</v>
      </c>
      <c r="AE259" s="96">
        <f t="shared" si="218"/>
        <v>0</v>
      </c>
      <c r="AF259" s="96">
        <f t="shared" si="219"/>
        <v>266.46840148698885</v>
      </c>
      <c r="AG259" s="96">
        <f t="shared" si="220"/>
        <v>660.72743494423787</v>
      </c>
      <c r="AH259" s="96">
        <f t="shared" si="221"/>
        <v>1626.9830090706319</v>
      </c>
      <c r="AI259" s="96">
        <f t="shared" si="222"/>
        <v>2268.8873299176203</v>
      </c>
      <c r="AJ259" s="96">
        <f t="shared" si="223"/>
        <v>2937.0341327331821</v>
      </c>
      <c r="AK259" s="96">
        <f t="shared" si="224"/>
        <v>3421.0656311431953</v>
      </c>
      <c r="AL259" s="96">
        <f t="shared" si="225"/>
        <v>3924.1312204338938</v>
      </c>
      <c r="AM259" s="96">
        <f t="shared" si="226"/>
        <v>4446.8168745314679</v>
      </c>
      <c r="AN259" s="96">
        <f t="shared" si="227"/>
        <v>4675.0574554975174</v>
      </c>
      <c r="AS259" s="161" t="s">
        <v>39</v>
      </c>
      <c r="AT259" s="96">
        <f t="shared" si="239"/>
        <v>0</v>
      </c>
      <c r="AU259" s="96">
        <f t="shared" si="240"/>
        <v>32.53579182156134</v>
      </c>
      <c r="AV259" s="96">
        <f t="shared" si="241"/>
        <v>80.674819806691445</v>
      </c>
      <c r="AW259" s="96">
        <f t="shared" si="242"/>
        <v>198.65462540752415</v>
      </c>
      <c r="AX259" s="96">
        <f t="shared" si="243"/>
        <v>277.03114298294145</v>
      </c>
      <c r="AY259" s="96">
        <f t="shared" si="244"/>
        <v>358.61186760672155</v>
      </c>
      <c r="AZ259" s="96">
        <f t="shared" si="245"/>
        <v>417.71211356258414</v>
      </c>
      <c r="BA259" s="96">
        <f t="shared" si="246"/>
        <v>479.13642201497845</v>
      </c>
      <c r="BB259" s="96">
        <f t="shared" si="247"/>
        <v>542.9563403802922</v>
      </c>
      <c r="BC259" s="96">
        <f t="shared" si="248"/>
        <v>570.8245153162469</v>
      </c>
      <c r="BE259" s="169">
        <f t="shared" si="196"/>
        <v>249.87130599553203</v>
      </c>
      <c r="BQ259" s="81" t="s">
        <v>76</v>
      </c>
      <c r="BR259" s="173">
        <f t="shared" si="249"/>
        <v>0</v>
      </c>
      <c r="BS259" s="173">
        <f t="shared" si="250"/>
        <v>0</v>
      </c>
      <c r="BT259" s="173">
        <f t="shared" si="251"/>
        <v>0</v>
      </c>
      <c r="BU259" s="173">
        <f t="shared" si="252"/>
        <v>0</v>
      </c>
      <c r="BV259" s="173">
        <f t="shared" si="253"/>
        <v>0</v>
      </c>
      <c r="BW259" s="173">
        <f t="shared" si="254"/>
        <v>0</v>
      </c>
      <c r="BX259" s="173">
        <f t="shared" si="255"/>
        <v>0</v>
      </c>
      <c r="BY259" s="173">
        <f t="shared" si="256"/>
        <v>0</v>
      </c>
      <c r="BZ259" s="173">
        <f t="shared" si="257"/>
        <v>0</v>
      </c>
      <c r="CA259" s="173">
        <f t="shared" si="258"/>
        <v>0</v>
      </c>
    </row>
    <row r="260" spans="1:110">
      <c r="B260" s="96" t="s">
        <v>106</v>
      </c>
      <c r="C260" s="96">
        <v>358</v>
      </c>
      <c r="G260" s="96">
        <v>5000</v>
      </c>
      <c r="H260" s="96">
        <v>50000</v>
      </c>
      <c r="I260" s="96">
        <v>100000</v>
      </c>
      <c r="J260" s="96">
        <v>250000</v>
      </c>
      <c r="K260" s="96">
        <v>400000</v>
      </c>
      <c r="L260" s="96">
        <v>650000</v>
      </c>
      <c r="M260" s="96">
        <v>900000</v>
      </c>
      <c r="N260" s="96">
        <v>1050000</v>
      </c>
      <c r="P260" s="161" t="s">
        <v>15</v>
      </c>
      <c r="Q260" s="170">
        <f t="shared" si="229"/>
        <v>0</v>
      </c>
      <c r="R260" s="170">
        <f t="shared" si="230"/>
        <v>0</v>
      </c>
      <c r="S260" s="170">
        <f t="shared" si="231"/>
        <v>5227520</v>
      </c>
      <c r="T260" s="170">
        <f t="shared" si="232"/>
        <v>53372979.199999996</v>
      </c>
      <c r="U260" s="170">
        <f t="shared" si="233"/>
        <v>108987623.52639997</v>
      </c>
      <c r="V260" s="170">
        <f t="shared" si="234"/>
        <v>278190909.0511359</v>
      </c>
      <c r="W260" s="170">
        <f t="shared" si="235"/>
        <v>454452669.02593559</v>
      </c>
      <c r="X260" s="170">
        <f t="shared" si="236"/>
        <v>753993784.49765527</v>
      </c>
      <c r="Y260" s="170">
        <f t="shared" si="237"/>
        <v>1065915213.1921468</v>
      </c>
      <c r="Z260" s="170">
        <f t="shared" si="238"/>
        <v>1269682671.4473786</v>
      </c>
      <c r="AB260" s="96" t="s">
        <v>15</v>
      </c>
      <c r="AC260" s="96">
        <v>358000</v>
      </c>
      <c r="AE260" s="96">
        <f t="shared" si="218"/>
        <v>0</v>
      </c>
      <c r="AF260" s="96">
        <f t="shared" si="219"/>
        <v>0</v>
      </c>
      <c r="AG260" s="96">
        <f t="shared" si="220"/>
        <v>14.602011173184357</v>
      </c>
      <c r="AH260" s="96">
        <f t="shared" si="221"/>
        <v>149.08653407821228</v>
      </c>
      <c r="AI260" s="96">
        <f t="shared" si="222"/>
        <v>304.43470258770941</v>
      </c>
      <c r="AJ260" s="96">
        <f t="shared" si="223"/>
        <v>777.06957835512821</v>
      </c>
      <c r="AK260" s="96">
        <f t="shared" si="224"/>
        <v>1269.4208632009374</v>
      </c>
      <c r="AL260" s="96">
        <f t="shared" si="225"/>
        <v>2106.1278896582548</v>
      </c>
      <c r="AM260" s="96">
        <f t="shared" si="226"/>
        <v>2977.4167966261084</v>
      </c>
      <c r="AN260" s="96">
        <f t="shared" si="227"/>
        <v>3546.5996409144655</v>
      </c>
      <c r="AS260" s="161" t="s">
        <v>15</v>
      </c>
      <c r="AT260" s="96">
        <f t="shared" si="239"/>
        <v>0</v>
      </c>
      <c r="AU260" s="96">
        <f t="shared" si="240"/>
        <v>0</v>
      </c>
      <c r="AV260" s="96">
        <f t="shared" si="241"/>
        <v>1.78290556424581</v>
      </c>
      <c r="AW260" s="96">
        <f t="shared" si="242"/>
        <v>18.203465810949719</v>
      </c>
      <c r="AX260" s="96">
        <f t="shared" si="243"/>
        <v>37.171477185959318</v>
      </c>
      <c r="AY260" s="96">
        <f t="shared" si="244"/>
        <v>94.880195517161155</v>
      </c>
      <c r="AZ260" s="96">
        <f t="shared" si="245"/>
        <v>154.99628739683448</v>
      </c>
      <c r="BA260" s="96">
        <f t="shared" si="246"/>
        <v>257.1582153272729</v>
      </c>
      <c r="BB260" s="96">
        <f t="shared" si="247"/>
        <v>363.54259086804785</v>
      </c>
      <c r="BC260" s="96">
        <f t="shared" si="248"/>
        <v>433.03981615565624</v>
      </c>
      <c r="BE260" s="169">
        <f t="shared" si="196"/>
        <v>104.65766331662083</v>
      </c>
      <c r="BQ260" s="81" t="s">
        <v>49</v>
      </c>
      <c r="BR260" s="173">
        <f t="shared" si="249"/>
        <v>0</v>
      </c>
      <c r="BS260" s="173">
        <f t="shared" si="250"/>
        <v>16.451368421052631</v>
      </c>
      <c r="BT260" s="173">
        <f t="shared" si="251"/>
        <v>117.81308596547369</v>
      </c>
      <c r="BU260" s="173">
        <f t="shared" si="252"/>
        <v>205.62347556904422</v>
      </c>
      <c r="BV260" s="173">
        <f t="shared" si="253"/>
        <v>218.69642963005558</v>
      </c>
      <c r="BW260" s="173">
        <f t="shared" si="254"/>
        <v>223.28905465228669</v>
      </c>
      <c r="BX260" s="173">
        <f t="shared" si="255"/>
        <v>227.97812479998473</v>
      </c>
      <c r="BY260" s="173">
        <f t="shared" si="256"/>
        <v>232.76566542078439</v>
      </c>
      <c r="BZ260" s="173">
        <f t="shared" si="257"/>
        <v>237.65374439462079</v>
      </c>
      <c r="CA260" s="173">
        <f t="shared" si="258"/>
        <v>242.64447302690778</v>
      </c>
    </row>
    <row r="261" spans="1:110" s="165" customFormat="1">
      <c r="A261" s="165" t="s">
        <v>7</v>
      </c>
      <c r="C261" s="165" t="s">
        <v>96</v>
      </c>
      <c r="D261" s="165" t="s">
        <v>1603</v>
      </c>
      <c r="E261" s="165">
        <v>2025</v>
      </c>
      <c r="F261" s="165">
        <v>2026</v>
      </c>
      <c r="G261" s="165">
        <v>2027</v>
      </c>
      <c r="H261" s="165">
        <v>2028</v>
      </c>
      <c r="I261" s="165">
        <v>2029</v>
      </c>
      <c r="J261" s="165">
        <v>2030</v>
      </c>
      <c r="K261" s="165">
        <v>2031</v>
      </c>
      <c r="L261" s="165">
        <v>2032</v>
      </c>
      <c r="M261" s="165">
        <v>2033</v>
      </c>
      <c r="N261" s="165">
        <v>2034</v>
      </c>
      <c r="P261" s="165" t="s">
        <v>7</v>
      </c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  <c r="AB261" s="165" t="s">
        <v>7</v>
      </c>
      <c r="AE261" s="166"/>
      <c r="AF261" s="166"/>
      <c r="AG261" s="166"/>
      <c r="AH261" s="166"/>
      <c r="AI261" s="166"/>
      <c r="AJ261" s="166"/>
      <c r="AK261" s="166"/>
      <c r="AL261" s="166"/>
      <c r="AM261" s="166"/>
      <c r="AN261" s="166"/>
      <c r="AS261" s="165" t="s">
        <v>7</v>
      </c>
      <c r="BN261" s="163"/>
      <c r="BO261" s="163"/>
      <c r="BP261" s="163"/>
      <c r="BQ261" s="81" t="s">
        <v>50</v>
      </c>
      <c r="BR261" s="173">
        <f t="shared" si="249"/>
        <v>11.305555555555555</v>
      </c>
      <c r="BS261" s="173">
        <f t="shared" si="250"/>
        <v>28.826453333333337</v>
      </c>
      <c r="BT261" s="173">
        <f t="shared" si="251"/>
        <v>49.407614862222218</v>
      </c>
      <c r="BU261" s="173">
        <f t="shared" si="252"/>
        <v>70.840472709404438</v>
      </c>
      <c r="BV261" s="173">
        <f t="shared" si="253"/>
        <v>72.328122636301927</v>
      </c>
      <c r="BW261" s="173">
        <f t="shared" si="254"/>
        <v>73.847013211664247</v>
      </c>
      <c r="BX261" s="173">
        <f t="shared" si="255"/>
        <v>75.397800489109187</v>
      </c>
      <c r="BY261" s="173">
        <f t="shared" si="256"/>
        <v>76.981154299380478</v>
      </c>
      <c r="BZ261" s="173">
        <f t="shared" si="257"/>
        <v>78.597758539667467</v>
      </c>
      <c r="CA261" s="173">
        <f t="shared" si="258"/>
        <v>80.24831146900047</v>
      </c>
      <c r="CB261" s="162"/>
      <c r="CC261" s="162"/>
      <c r="CD261" s="162"/>
      <c r="CE261" s="162"/>
      <c r="CF261" s="162"/>
      <c r="CG261" s="162"/>
      <c r="CH261" s="162"/>
      <c r="CI261" s="162"/>
      <c r="CJ261" s="162"/>
      <c r="CK261" s="162"/>
      <c r="CL261" s="162"/>
      <c r="CM261" s="162"/>
      <c r="CN261" s="162"/>
      <c r="CO261" s="224"/>
      <c r="CP261" s="162"/>
      <c r="CQ261" s="162"/>
      <c r="CR261" s="162"/>
      <c r="CS261" s="162"/>
      <c r="CT261" s="162"/>
      <c r="CU261" s="162"/>
      <c r="CV261" s="162"/>
      <c r="CW261" s="162"/>
      <c r="CX261" s="162"/>
      <c r="CY261" s="162"/>
      <c r="CZ261" s="162"/>
      <c r="DA261" s="162"/>
      <c r="DB261" s="162"/>
      <c r="DC261" s="162"/>
      <c r="DD261" s="162"/>
      <c r="DE261" s="162"/>
      <c r="DF261" s="162"/>
    </row>
    <row r="262" spans="1:110">
      <c r="B262" s="96" t="s">
        <v>38</v>
      </c>
      <c r="C262" s="96">
        <v>358</v>
      </c>
      <c r="D262" s="96">
        <v>17181</v>
      </c>
      <c r="E262" s="96">
        <v>68204.5</v>
      </c>
      <c r="F262" s="96">
        <v>171540.5</v>
      </c>
      <c r="G262" s="96">
        <v>236040.5</v>
      </c>
      <c r="H262" s="96">
        <v>296052.5</v>
      </c>
      <c r="I262" s="96">
        <v>296052.5</v>
      </c>
      <c r="J262" s="96">
        <v>296052.5</v>
      </c>
      <c r="K262" s="96">
        <v>296052.5</v>
      </c>
      <c r="L262" s="96">
        <v>296052.5</v>
      </c>
      <c r="M262" s="96">
        <v>296052.5</v>
      </c>
      <c r="N262" s="96">
        <v>296052.5</v>
      </c>
      <c r="P262" s="81" t="s">
        <v>38</v>
      </c>
      <c r="Q262" s="170">
        <f>D262*1000 +E262*1000</f>
        <v>85385500</v>
      </c>
      <c r="R262" s="170">
        <f>F262*1000*R$2</f>
        <v>175657472</v>
      </c>
      <c r="S262" s="170">
        <f t="shared" ref="S262:Z266" si="259">G262*1000*S$2</f>
        <v>246781286.912</v>
      </c>
      <c r="T262" s="170">
        <f t="shared" si="259"/>
        <v>316024078.49215996</v>
      </c>
      <c r="U262" s="170">
        <f t="shared" si="259"/>
        <v>322660584.14049524</v>
      </c>
      <c r="V262" s="170">
        <f t="shared" si="259"/>
        <v>329436456.40744567</v>
      </c>
      <c r="W262" s="170">
        <f t="shared" si="259"/>
        <v>336354621.99200195</v>
      </c>
      <c r="X262" s="170">
        <f t="shared" si="259"/>
        <v>343418069.05383402</v>
      </c>
      <c r="Y262" s="170">
        <f t="shared" si="259"/>
        <v>350629848.50396448</v>
      </c>
      <c r="Z262" s="170">
        <f t="shared" si="259"/>
        <v>357993075.32254767</v>
      </c>
      <c r="AB262" s="96" t="s">
        <v>38</v>
      </c>
      <c r="AC262" s="96">
        <v>358000</v>
      </c>
      <c r="AE262" s="96">
        <f t="shared" ref="AE262:AN266" si="260">Q262/$AC262</f>
        <v>238.50698324022346</v>
      </c>
      <c r="AF262" s="96">
        <f t="shared" si="260"/>
        <v>490.66332960893857</v>
      </c>
      <c r="AG262" s="96">
        <f t="shared" si="260"/>
        <v>689.3332036648045</v>
      </c>
      <c r="AH262" s="96">
        <f t="shared" si="260"/>
        <v>882.74882260379877</v>
      </c>
      <c r="AI262" s="96">
        <f t="shared" si="260"/>
        <v>901.28654787847836</v>
      </c>
      <c r="AJ262" s="96">
        <f t="shared" si="260"/>
        <v>920.21356538392649</v>
      </c>
      <c r="AK262" s="96">
        <f t="shared" si="260"/>
        <v>939.53805025698864</v>
      </c>
      <c r="AL262" s="96">
        <f t="shared" si="260"/>
        <v>959.26834931238557</v>
      </c>
      <c r="AM262" s="96">
        <f t="shared" si="260"/>
        <v>979.41298464794545</v>
      </c>
      <c r="AN262" s="96">
        <f t="shared" si="260"/>
        <v>999.98065732555222</v>
      </c>
      <c r="AS262" s="81" t="s">
        <v>38</v>
      </c>
      <c r="AT262" s="96">
        <f>AE262*$AQ$9</f>
        <v>30.695848743016761</v>
      </c>
      <c r="AU262" s="96">
        <f t="shared" ref="AU262:BC262" si="261">AF262*$AQ$9</f>
        <v>63.148370520670397</v>
      </c>
      <c r="AV262" s="96">
        <f t="shared" si="261"/>
        <v>88.717183311660349</v>
      </c>
      <c r="AW262" s="96">
        <f t="shared" si="261"/>
        <v>113.60977346910892</v>
      </c>
      <c r="AX262" s="96">
        <f t="shared" si="261"/>
        <v>115.99557871196018</v>
      </c>
      <c r="AY262" s="96">
        <f t="shared" si="261"/>
        <v>118.43148586491135</v>
      </c>
      <c r="AZ262" s="96">
        <f t="shared" si="261"/>
        <v>120.91854706807445</v>
      </c>
      <c r="BA262" s="96">
        <f t="shared" si="261"/>
        <v>123.45783655650403</v>
      </c>
      <c r="BB262" s="96">
        <f t="shared" si="261"/>
        <v>126.05045112419059</v>
      </c>
      <c r="BC262" s="96">
        <f t="shared" si="261"/>
        <v>128.69751059779858</v>
      </c>
      <c r="BE262" s="169">
        <f t="shared" si="196"/>
        <v>96.55325953897443</v>
      </c>
      <c r="BQ262" s="81" t="s">
        <v>51</v>
      </c>
      <c r="BR262" s="173">
        <f t="shared" si="249"/>
        <v>29.990632941176472</v>
      </c>
      <c r="BS262" s="173">
        <f t="shared" si="250"/>
        <v>133.67661989647058</v>
      </c>
      <c r="BT262" s="173">
        <f t="shared" si="251"/>
        <v>316.70411842017882</v>
      </c>
      <c r="BU262" s="173">
        <f t="shared" si="252"/>
        <v>366.28938521028721</v>
      </c>
      <c r="BV262" s="173">
        <f t="shared" si="253"/>
        <v>373.9814622997032</v>
      </c>
      <c r="BW262" s="173">
        <f t="shared" si="254"/>
        <v>381.83507300799698</v>
      </c>
      <c r="BX262" s="173">
        <f t="shared" si="255"/>
        <v>389.85360954116481</v>
      </c>
      <c r="BY262" s="173">
        <f t="shared" si="256"/>
        <v>398.04053534152928</v>
      </c>
      <c r="BZ262" s="173">
        <f t="shared" si="257"/>
        <v>406.39938658370136</v>
      </c>
      <c r="CA262" s="173">
        <f t="shared" si="258"/>
        <v>414.93377370195901</v>
      </c>
    </row>
    <row r="263" spans="1:110">
      <c r="B263" s="96" t="s">
        <v>37</v>
      </c>
      <c r="C263" s="96">
        <v>358</v>
      </c>
      <c r="D263" s="96">
        <v>17181</v>
      </c>
      <c r="E263" s="96">
        <v>68204.5</v>
      </c>
      <c r="F263" s="96">
        <v>171540.5</v>
      </c>
      <c r="G263" s="96">
        <v>236040.5</v>
      </c>
      <c r="H263" s="96">
        <v>296052.5</v>
      </c>
      <c r="I263" s="96">
        <v>296052.5</v>
      </c>
      <c r="J263" s="96">
        <v>296052.5</v>
      </c>
      <c r="K263" s="96">
        <v>296052.5</v>
      </c>
      <c r="L263" s="96">
        <v>296052.5</v>
      </c>
      <c r="M263" s="96">
        <v>296052.5</v>
      </c>
      <c r="N263" s="96">
        <v>296052.5</v>
      </c>
      <c r="P263" s="81" t="s">
        <v>37</v>
      </c>
      <c r="Q263" s="170">
        <f t="shared" ref="Q263:Q266" si="262">D263*1000 +E263*1000</f>
        <v>85385500</v>
      </c>
      <c r="R263" s="170">
        <f t="shared" ref="R263:R266" si="263">F263*1000*R$2</f>
        <v>175657472</v>
      </c>
      <c r="S263" s="170">
        <f t="shared" si="259"/>
        <v>246781286.912</v>
      </c>
      <c r="T263" s="170">
        <f t="shared" si="259"/>
        <v>316024078.49215996</v>
      </c>
      <c r="U263" s="170">
        <f t="shared" si="259"/>
        <v>322660584.14049524</v>
      </c>
      <c r="V263" s="170">
        <f t="shared" si="259"/>
        <v>329436456.40744567</v>
      </c>
      <c r="W263" s="170">
        <f t="shared" si="259"/>
        <v>336354621.99200195</v>
      </c>
      <c r="X263" s="170">
        <f t="shared" si="259"/>
        <v>343418069.05383402</v>
      </c>
      <c r="Y263" s="170">
        <f t="shared" si="259"/>
        <v>350629848.50396448</v>
      </c>
      <c r="Z263" s="170">
        <f t="shared" si="259"/>
        <v>357993075.32254767</v>
      </c>
      <c r="AB263" s="96" t="s">
        <v>37</v>
      </c>
      <c r="AC263" s="96">
        <v>358000</v>
      </c>
      <c r="AE263" s="96">
        <f t="shared" si="260"/>
        <v>238.50698324022346</v>
      </c>
      <c r="AF263" s="96">
        <f t="shared" si="260"/>
        <v>490.66332960893857</v>
      </c>
      <c r="AG263" s="96">
        <f t="shared" si="260"/>
        <v>689.3332036648045</v>
      </c>
      <c r="AH263" s="96">
        <f t="shared" si="260"/>
        <v>882.74882260379877</v>
      </c>
      <c r="AI263" s="96">
        <f t="shared" si="260"/>
        <v>901.28654787847836</v>
      </c>
      <c r="AJ263" s="96">
        <f t="shared" si="260"/>
        <v>920.21356538392649</v>
      </c>
      <c r="AK263" s="96">
        <f t="shared" si="260"/>
        <v>939.53805025698864</v>
      </c>
      <c r="AL263" s="96">
        <f t="shared" si="260"/>
        <v>959.26834931238557</v>
      </c>
      <c r="AM263" s="96">
        <f t="shared" si="260"/>
        <v>979.41298464794545</v>
      </c>
      <c r="AN263" s="96">
        <f t="shared" si="260"/>
        <v>999.98065732555222</v>
      </c>
      <c r="AS263" s="81" t="s">
        <v>37</v>
      </c>
      <c r="AT263" s="96">
        <f t="shared" ref="AT263:AT265" si="264">AE263*$AQ$9</f>
        <v>30.695848743016761</v>
      </c>
      <c r="AU263" s="96">
        <f t="shared" ref="AU263:AU266" si="265">AF263*$AQ$9</f>
        <v>63.148370520670397</v>
      </c>
      <c r="AV263" s="96">
        <f t="shared" ref="AV263:AV266" si="266">AG263*$AQ$9</f>
        <v>88.717183311660349</v>
      </c>
      <c r="AW263" s="96">
        <f t="shared" ref="AW263:AW266" si="267">AH263*$AQ$9</f>
        <v>113.60977346910892</v>
      </c>
      <c r="AX263" s="96">
        <f t="shared" ref="AX263:AX266" si="268">AI263*$AQ$9</f>
        <v>115.99557871196018</v>
      </c>
      <c r="AY263" s="96">
        <f t="shared" ref="AY263:AY266" si="269">AJ263*$AQ$9</f>
        <v>118.43148586491135</v>
      </c>
      <c r="AZ263" s="96">
        <f t="shared" ref="AZ263:AZ266" si="270">AK263*$AQ$9</f>
        <v>120.91854706807445</v>
      </c>
      <c r="BA263" s="96">
        <f t="shared" ref="BA263:BA266" si="271">AL263*$AQ$9</f>
        <v>123.45783655650403</v>
      </c>
      <c r="BB263" s="96">
        <f t="shared" ref="BB263:BB266" si="272">AM263*$AQ$9</f>
        <v>126.05045112419059</v>
      </c>
      <c r="BC263" s="96">
        <f t="shared" ref="BC263:BC266" si="273">AN263*$AQ$9</f>
        <v>128.69751059779858</v>
      </c>
      <c r="BE263" s="169">
        <f t="shared" si="196"/>
        <v>96.55325953897443</v>
      </c>
      <c r="BQ263" s="81" t="s">
        <v>77</v>
      </c>
      <c r="BR263" s="173">
        <f t="shared" si="249"/>
        <v>0</v>
      </c>
      <c r="BS263" s="173">
        <f t="shared" si="250"/>
        <v>0</v>
      </c>
      <c r="BT263" s="173">
        <f t="shared" si="251"/>
        <v>0</v>
      </c>
      <c r="BU263" s="173">
        <f t="shared" si="252"/>
        <v>0</v>
      </c>
      <c r="BV263" s="173">
        <f t="shared" si="253"/>
        <v>0</v>
      </c>
      <c r="BW263" s="173">
        <f t="shared" si="254"/>
        <v>0</v>
      </c>
      <c r="BX263" s="173">
        <f t="shared" si="255"/>
        <v>0</v>
      </c>
      <c r="BY263" s="173">
        <f t="shared" si="256"/>
        <v>0</v>
      </c>
      <c r="BZ263" s="173">
        <f t="shared" si="257"/>
        <v>0</v>
      </c>
      <c r="CA263" s="173">
        <f t="shared" si="258"/>
        <v>0</v>
      </c>
    </row>
    <row r="264" spans="1:110">
      <c r="B264" s="96" t="s">
        <v>46</v>
      </c>
      <c r="C264" s="96">
        <v>358</v>
      </c>
      <c r="D264" s="96">
        <v>74004.666666666672</v>
      </c>
      <c r="E264" s="96">
        <v>81000</v>
      </c>
      <c r="F264" s="96">
        <v>209004.66666666669</v>
      </c>
      <c r="G264" s="96">
        <v>249504.66666666669</v>
      </c>
      <c r="H264" s="96">
        <v>285000</v>
      </c>
      <c r="I264" s="96">
        <v>285000</v>
      </c>
      <c r="J264" s="96">
        <v>285000</v>
      </c>
      <c r="K264" s="96">
        <v>285000</v>
      </c>
      <c r="L264" s="96">
        <v>285000</v>
      </c>
      <c r="M264" s="96">
        <v>285000</v>
      </c>
      <c r="N264" s="96">
        <v>285000</v>
      </c>
      <c r="P264" s="81" t="s">
        <v>46</v>
      </c>
      <c r="Q264" s="170">
        <f t="shared" si="262"/>
        <v>155004666.66666669</v>
      </c>
      <c r="R264" s="170">
        <f t="shared" si="263"/>
        <v>214020778.66666669</v>
      </c>
      <c r="S264" s="170">
        <f t="shared" si="259"/>
        <v>260858127.01866668</v>
      </c>
      <c r="T264" s="170">
        <f t="shared" si="259"/>
        <v>304225981.43999994</v>
      </c>
      <c r="U264" s="170">
        <f t="shared" si="259"/>
        <v>310614727.05023992</v>
      </c>
      <c r="V264" s="170">
        <f t="shared" si="259"/>
        <v>317137636.31829494</v>
      </c>
      <c r="W264" s="170">
        <f t="shared" si="259"/>
        <v>323797526.68097907</v>
      </c>
      <c r="X264" s="170">
        <f t="shared" si="259"/>
        <v>330597274.74127966</v>
      </c>
      <c r="Y264" s="170">
        <f t="shared" si="259"/>
        <v>337539817.5108465</v>
      </c>
      <c r="Z264" s="170">
        <f t="shared" si="259"/>
        <v>344628153.6785742</v>
      </c>
      <c r="AB264" s="96" t="s">
        <v>46</v>
      </c>
      <c r="AC264" s="96">
        <v>358000</v>
      </c>
      <c r="AE264" s="96">
        <f t="shared" si="260"/>
        <v>432.97392923649915</v>
      </c>
      <c r="AF264" s="96">
        <f t="shared" si="260"/>
        <v>597.82340409683434</v>
      </c>
      <c r="AG264" s="96">
        <f t="shared" si="260"/>
        <v>728.65398608566113</v>
      </c>
      <c r="AH264" s="96">
        <f t="shared" si="260"/>
        <v>849.79324424580989</v>
      </c>
      <c r="AI264" s="96">
        <f t="shared" si="260"/>
        <v>867.63890237497185</v>
      </c>
      <c r="AJ264" s="96">
        <f t="shared" si="260"/>
        <v>885.85931932484618</v>
      </c>
      <c r="AK264" s="96">
        <f t="shared" si="260"/>
        <v>904.4623650306678</v>
      </c>
      <c r="AL264" s="96">
        <f t="shared" si="260"/>
        <v>923.45607469631193</v>
      </c>
      <c r="AM264" s="96">
        <f t="shared" si="260"/>
        <v>942.84865226493434</v>
      </c>
      <c r="AN264" s="96">
        <f t="shared" si="260"/>
        <v>962.64847396249775</v>
      </c>
      <c r="AS264" s="81" t="s">
        <v>46</v>
      </c>
      <c r="AT264" s="96">
        <f t="shared" si="264"/>
        <v>55.723744692737441</v>
      </c>
      <c r="AU264" s="96">
        <f t="shared" si="265"/>
        <v>76.939872107262588</v>
      </c>
      <c r="AV264" s="96">
        <f t="shared" si="266"/>
        <v>93.777768009224587</v>
      </c>
      <c r="AW264" s="96">
        <f t="shared" si="267"/>
        <v>109.36839053443575</v>
      </c>
      <c r="AX264" s="96">
        <f t="shared" si="268"/>
        <v>111.66512673565889</v>
      </c>
      <c r="AY264" s="96">
        <f t="shared" si="269"/>
        <v>114.01009439710771</v>
      </c>
      <c r="AZ264" s="96">
        <f t="shared" si="270"/>
        <v>116.40430637944695</v>
      </c>
      <c r="BA264" s="96">
        <f t="shared" si="271"/>
        <v>118.84879681341535</v>
      </c>
      <c r="BB264" s="96">
        <f t="shared" si="272"/>
        <v>121.34462154649705</v>
      </c>
      <c r="BC264" s="96">
        <f t="shared" si="273"/>
        <v>123.89285859897346</v>
      </c>
      <c r="BE264" s="169">
        <f t="shared" si="196"/>
        <v>99.698086734840331</v>
      </c>
      <c r="BQ264" s="81" t="s">
        <v>52</v>
      </c>
      <c r="BR264" s="173">
        <f t="shared" si="249"/>
        <v>0</v>
      </c>
      <c r="BS264" s="173">
        <f t="shared" si="250"/>
        <v>0</v>
      </c>
      <c r="BT264" s="173">
        <f t="shared" si="251"/>
        <v>0</v>
      </c>
      <c r="BU264" s="173">
        <f t="shared" si="252"/>
        <v>0</v>
      </c>
      <c r="BV264" s="173">
        <f t="shared" si="253"/>
        <v>0</v>
      </c>
      <c r="BW264" s="173">
        <f t="shared" si="254"/>
        <v>0</v>
      </c>
      <c r="BX264" s="173">
        <f t="shared" si="255"/>
        <v>0</v>
      </c>
      <c r="BY264" s="173">
        <f t="shared" si="256"/>
        <v>0</v>
      </c>
      <c r="BZ264" s="173">
        <f t="shared" si="257"/>
        <v>0</v>
      </c>
      <c r="CA264" s="173">
        <f t="shared" si="258"/>
        <v>0</v>
      </c>
    </row>
    <row r="265" spans="1:110">
      <c r="B265" s="96" t="s">
        <v>33</v>
      </c>
      <c r="C265" s="96">
        <v>358</v>
      </c>
      <c r="D265" s="96">
        <v>74004.666666666672</v>
      </c>
      <c r="E265" s="96">
        <v>81000</v>
      </c>
      <c r="F265" s="96">
        <v>209004.66666666669</v>
      </c>
      <c r="G265" s="96">
        <v>249504.66666666669</v>
      </c>
      <c r="H265" s="96">
        <v>285000</v>
      </c>
      <c r="I265" s="96">
        <v>285000</v>
      </c>
      <c r="J265" s="96">
        <v>285000</v>
      </c>
      <c r="K265" s="96">
        <v>285000</v>
      </c>
      <c r="L265" s="96">
        <v>285000</v>
      </c>
      <c r="M265" s="96">
        <v>285000</v>
      </c>
      <c r="N265" s="96">
        <v>285000</v>
      </c>
      <c r="P265" s="81" t="s">
        <v>33</v>
      </c>
      <c r="Q265" s="170">
        <f t="shared" si="262"/>
        <v>155004666.66666669</v>
      </c>
      <c r="R265" s="170">
        <f t="shared" si="263"/>
        <v>214020778.66666669</v>
      </c>
      <c r="S265" s="170">
        <f t="shared" si="259"/>
        <v>260858127.01866668</v>
      </c>
      <c r="T265" s="170">
        <f t="shared" si="259"/>
        <v>304225981.43999994</v>
      </c>
      <c r="U265" s="170">
        <f t="shared" si="259"/>
        <v>310614727.05023992</v>
      </c>
      <c r="V265" s="170">
        <f t="shared" si="259"/>
        <v>317137636.31829494</v>
      </c>
      <c r="W265" s="170">
        <f t="shared" si="259"/>
        <v>323797526.68097907</v>
      </c>
      <c r="X265" s="170">
        <f t="shared" si="259"/>
        <v>330597274.74127966</v>
      </c>
      <c r="Y265" s="170">
        <f t="shared" si="259"/>
        <v>337539817.5108465</v>
      </c>
      <c r="Z265" s="170">
        <f t="shared" si="259"/>
        <v>344628153.6785742</v>
      </c>
      <c r="AB265" s="96" t="s">
        <v>33</v>
      </c>
      <c r="AC265" s="96">
        <v>358000</v>
      </c>
      <c r="AE265" s="96">
        <f t="shared" si="260"/>
        <v>432.97392923649915</v>
      </c>
      <c r="AF265" s="96">
        <f t="shared" si="260"/>
        <v>597.82340409683434</v>
      </c>
      <c r="AG265" s="96">
        <f t="shared" si="260"/>
        <v>728.65398608566113</v>
      </c>
      <c r="AH265" s="96">
        <f t="shared" si="260"/>
        <v>849.79324424580989</v>
      </c>
      <c r="AI265" s="96">
        <f t="shared" si="260"/>
        <v>867.63890237497185</v>
      </c>
      <c r="AJ265" s="96">
        <f t="shared" si="260"/>
        <v>885.85931932484618</v>
      </c>
      <c r="AK265" s="96">
        <f t="shared" si="260"/>
        <v>904.4623650306678</v>
      </c>
      <c r="AL265" s="96">
        <f t="shared" si="260"/>
        <v>923.45607469631193</v>
      </c>
      <c r="AM265" s="96">
        <f t="shared" si="260"/>
        <v>942.84865226493434</v>
      </c>
      <c r="AN265" s="96">
        <f t="shared" si="260"/>
        <v>962.64847396249775</v>
      </c>
      <c r="AS265" s="81" t="s">
        <v>33</v>
      </c>
      <c r="AT265" s="96">
        <f t="shared" si="264"/>
        <v>55.723744692737441</v>
      </c>
      <c r="AU265" s="96">
        <f t="shared" si="265"/>
        <v>76.939872107262588</v>
      </c>
      <c r="AV265" s="96">
        <f t="shared" si="266"/>
        <v>93.777768009224587</v>
      </c>
      <c r="AW265" s="96">
        <f t="shared" si="267"/>
        <v>109.36839053443575</v>
      </c>
      <c r="AX265" s="96">
        <f t="shared" si="268"/>
        <v>111.66512673565889</v>
      </c>
      <c r="AY265" s="96">
        <f t="shared" si="269"/>
        <v>114.01009439710771</v>
      </c>
      <c r="AZ265" s="96">
        <f t="shared" si="270"/>
        <v>116.40430637944695</v>
      </c>
      <c r="BA265" s="96">
        <f t="shared" si="271"/>
        <v>118.84879681341535</v>
      </c>
      <c r="BB265" s="96">
        <f t="shared" si="272"/>
        <v>121.34462154649705</v>
      </c>
      <c r="BC265" s="96">
        <f t="shared" si="273"/>
        <v>123.89285859897346</v>
      </c>
      <c r="BE265" s="169">
        <f t="shared" si="196"/>
        <v>99.698086734840331</v>
      </c>
      <c r="BQ265" s="81" t="s">
        <v>78</v>
      </c>
      <c r="BR265" s="173">
        <f t="shared" si="249"/>
        <v>0</v>
      </c>
      <c r="BS265" s="173">
        <f t="shared" si="250"/>
        <v>0</v>
      </c>
      <c r="BT265" s="173">
        <f t="shared" si="251"/>
        <v>0</v>
      </c>
      <c r="BU265" s="173">
        <f t="shared" si="252"/>
        <v>0</v>
      </c>
      <c r="BV265" s="173">
        <f t="shared" si="253"/>
        <v>0</v>
      </c>
      <c r="BW265" s="173">
        <f t="shared" si="254"/>
        <v>0</v>
      </c>
      <c r="BX265" s="173">
        <f t="shared" si="255"/>
        <v>0</v>
      </c>
      <c r="BY265" s="173">
        <f t="shared" si="256"/>
        <v>0</v>
      </c>
      <c r="BZ265" s="173">
        <f t="shared" si="257"/>
        <v>0</v>
      </c>
      <c r="CA265" s="173">
        <f t="shared" si="258"/>
        <v>0</v>
      </c>
    </row>
    <row r="266" spans="1:110">
      <c r="B266" s="96" t="s">
        <v>15</v>
      </c>
      <c r="C266" s="96">
        <v>358</v>
      </c>
      <c r="D266" s="96">
        <v>74004.666666666672</v>
      </c>
      <c r="E266" s="96">
        <v>81000</v>
      </c>
      <c r="F266" s="96">
        <v>209004.66666666669</v>
      </c>
      <c r="G266" s="96">
        <v>249504.66666666669</v>
      </c>
      <c r="H266" s="96">
        <v>285000</v>
      </c>
      <c r="I266" s="96">
        <v>285000</v>
      </c>
      <c r="J266" s="96">
        <v>285000</v>
      </c>
      <c r="K266" s="96">
        <v>285000</v>
      </c>
      <c r="L266" s="96">
        <v>285000</v>
      </c>
      <c r="M266" s="96">
        <v>285000</v>
      </c>
      <c r="N266" s="96">
        <v>285000</v>
      </c>
      <c r="P266" s="81" t="s">
        <v>15</v>
      </c>
      <c r="Q266" s="170">
        <f t="shared" si="262"/>
        <v>155004666.66666669</v>
      </c>
      <c r="R266" s="170">
        <f t="shared" si="263"/>
        <v>214020778.66666669</v>
      </c>
      <c r="S266" s="170">
        <f t="shared" si="259"/>
        <v>260858127.01866668</v>
      </c>
      <c r="T266" s="170">
        <f t="shared" si="259"/>
        <v>304225981.43999994</v>
      </c>
      <c r="U266" s="170">
        <f t="shared" si="259"/>
        <v>310614727.05023992</v>
      </c>
      <c r="V266" s="170">
        <f t="shared" si="259"/>
        <v>317137636.31829494</v>
      </c>
      <c r="W266" s="170">
        <f t="shared" si="259"/>
        <v>323797526.68097907</v>
      </c>
      <c r="X266" s="170">
        <f t="shared" si="259"/>
        <v>330597274.74127966</v>
      </c>
      <c r="Y266" s="170">
        <f t="shared" si="259"/>
        <v>337539817.5108465</v>
      </c>
      <c r="Z266" s="170">
        <f t="shared" si="259"/>
        <v>344628153.6785742</v>
      </c>
      <c r="AB266" s="96" t="s">
        <v>15</v>
      </c>
      <c r="AC266" s="96">
        <v>358000</v>
      </c>
      <c r="AE266" s="96">
        <f t="shared" si="260"/>
        <v>432.97392923649915</v>
      </c>
      <c r="AF266" s="96">
        <f t="shared" si="260"/>
        <v>597.82340409683434</v>
      </c>
      <c r="AG266" s="96">
        <f t="shared" si="260"/>
        <v>728.65398608566113</v>
      </c>
      <c r="AH266" s="96">
        <f t="shared" si="260"/>
        <v>849.79324424580989</v>
      </c>
      <c r="AI266" s="96">
        <f t="shared" si="260"/>
        <v>867.63890237497185</v>
      </c>
      <c r="AJ266" s="96">
        <f t="shared" si="260"/>
        <v>885.85931932484618</v>
      </c>
      <c r="AK266" s="96">
        <f t="shared" si="260"/>
        <v>904.4623650306678</v>
      </c>
      <c r="AL266" s="96">
        <f t="shared" si="260"/>
        <v>923.45607469631193</v>
      </c>
      <c r="AM266" s="96">
        <f t="shared" si="260"/>
        <v>942.84865226493434</v>
      </c>
      <c r="AN266" s="96">
        <f t="shared" si="260"/>
        <v>962.64847396249775</v>
      </c>
      <c r="AS266" s="81" t="s">
        <v>15</v>
      </c>
      <c r="AT266" s="96">
        <f>AE266*$AQ$9</f>
        <v>55.723744692737441</v>
      </c>
      <c r="AU266" s="96">
        <f t="shared" si="265"/>
        <v>76.939872107262588</v>
      </c>
      <c r="AV266" s="96">
        <f t="shared" si="266"/>
        <v>93.777768009224587</v>
      </c>
      <c r="AW266" s="96">
        <f t="shared" si="267"/>
        <v>109.36839053443575</v>
      </c>
      <c r="AX266" s="96">
        <f t="shared" si="268"/>
        <v>111.66512673565889</v>
      </c>
      <c r="AY266" s="96">
        <f t="shared" si="269"/>
        <v>114.01009439710771</v>
      </c>
      <c r="AZ266" s="96">
        <f t="shared" si="270"/>
        <v>116.40430637944695</v>
      </c>
      <c r="BA266" s="96">
        <f t="shared" si="271"/>
        <v>118.84879681341535</v>
      </c>
      <c r="BB266" s="96">
        <f t="shared" si="272"/>
        <v>121.34462154649705</v>
      </c>
      <c r="BC266" s="96">
        <f t="shared" si="273"/>
        <v>123.89285859897346</v>
      </c>
      <c r="BE266" s="169">
        <f t="shared" si="196"/>
        <v>99.698086734840331</v>
      </c>
      <c r="BQ266" s="81" t="s">
        <v>79</v>
      </c>
      <c r="BR266" s="173">
        <f t="shared" si="249"/>
        <v>0</v>
      </c>
      <c r="BS266" s="173">
        <f t="shared" si="250"/>
        <v>0</v>
      </c>
      <c r="BT266" s="173">
        <f t="shared" si="251"/>
        <v>0</v>
      </c>
      <c r="BU266" s="173">
        <f t="shared" si="252"/>
        <v>0</v>
      </c>
      <c r="BV266" s="173">
        <f t="shared" si="253"/>
        <v>0</v>
      </c>
      <c r="BW266" s="173">
        <f t="shared" si="254"/>
        <v>0</v>
      </c>
      <c r="BX266" s="173">
        <f t="shared" si="255"/>
        <v>0</v>
      </c>
      <c r="BY266" s="173">
        <f t="shared" si="256"/>
        <v>0</v>
      </c>
      <c r="BZ266" s="173">
        <f t="shared" si="257"/>
        <v>0</v>
      </c>
      <c r="CA266" s="173">
        <f t="shared" si="258"/>
        <v>0</v>
      </c>
    </row>
    <row r="267" spans="1:110">
      <c r="BQ267" s="81" t="s">
        <v>80</v>
      </c>
      <c r="BR267" s="173">
        <f t="shared" si="249"/>
        <v>0</v>
      </c>
      <c r="BS267" s="173">
        <f t="shared" si="250"/>
        <v>0</v>
      </c>
      <c r="BT267" s="173">
        <f t="shared" si="251"/>
        <v>0</v>
      </c>
      <c r="BU267" s="173">
        <f t="shared" si="252"/>
        <v>0</v>
      </c>
      <c r="BV267" s="173">
        <f t="shared" si="253"/>
        <v>0</v>
      </c>
      <c r="BW267" s="173">
        <f t="shared" si="254"/>
        <v>0</v>
      </c>
      <c r="BX267" s="173">
        <f t="shared" si="255"/>
        <v>0</v>
      </c>
      <c r="BY267" s="173">
        <f t="shared" si="256"/>
        <v>0</v>
      </c>
      <c r="BZ267" s="173">
        <f t="shared" si="257"/>
        <v>0</v>
      </c>
      <c r="CA267" s="173">
        <f t="shared" si="258"/>
        <v>0</v>
      </c>
    </row>
    <row r="268" spans="1:110">
      <c r="BQ268" s="81" t="s">
        <v>53</v>
      </c>
      <c r="BR268" s="173">
        <f t="shared" si="249"/>
        <v>0</v>
      </c>
      <c r="BS268" s="173">
        <f t="shared" si="250"/>
        <v>0</v>
      </c>
      <c r="BT268" s="173">
        <f t="shared" si="251"/>
        <v>0</v>
      </c>
      <c r="BU268" s="173">
        <f t="shared" si="252"/>
        <v>0</v>
      </c>
      <c r="BV268" s="173">
        <f t="shared" si="253"/>
        <v>0</v>
      </c>
      <c r="BW268" s="173">
        <f t="shared" si="254"/>
        <v>0</v>
      </c>
      <c r="BX268" s="173">
        <f t="shared" si="255"/>
        <v>0</v>
      </c>
      <c r="BY268" s="173">
        <f t="shared" si="256"/>
        <v>0</v>
      </c>
      <c r="BZ268" s="173">
        <f t="shared" si="257"/>
        <v>0</v>
      </c>
      <c r="CA268" s="173">
        <f t="shared" si="258"/>
        <v>0</v>
      </c>
    </row>
    <row r="269" spans="1:110">
      <c r="BQ269" s="81" t="s">
        <v>81</v>
      </c>
      <c r="BR269" s="173">
        <f t="shared" si="249"/>
        <v>0</v>
      </c>
      <c r="BS269" s="173">
        <f t="shared" si="250"/>
        <v>0</v>
      </c>
      <c r="BT269" s="173">
        <f t="shared" si="251"/>
        <v>0</v>
      </c>
      <c r="BU269" s="173">
        <f t="shared" si="252"/>
        <v>0</v>
      </c>
      <c r="BV269" s="173">
        <f t="shared" si="253"/>
        <v>0</v>
      </c>
      <c r="BW269" s="173">
        <f t="shared" si="254"/>
        <v>0</v>
      </c>
      <c r="BX269" s="173">
        <f t="shared" si="255"/>
        <v>0</v>
      </c>
      <c r="BY269" s="173">
        <f t="shared" si="256"/>
        <v>0</v>
      </c>
      <c r="BZ269" s="173">
        <f t="shared" si="257"/>
        <v>0</v>
      </c>
      <c r="CA269" s="173">
        <f t="shared" si="258"/>
        <v>0</v>
      </c>
    </row>
    <row r="270" spans="1:110">
      <c r="BQ270" s="81" t="s">
        <v>55</v>
      </c>
      <c r="BR270" s="173">
        <f t="shared" si="249"/>
        <v>0</v>
      </c>
      <c r="BS270" s="173">
        <f t="shared" si="250"/>
        <v>0</v>
      </c>
      <c r="BT270" s="173">
        <f t="shared" si="251"/>
        <v>0</v>
      </c>
      <c r="BU270" s="173">
        <f t="shared" si="252"/>
        <v>0</v>
      </c>
      <c r="BV270" s="173">
        <f t="shared" si="253"/>
        <v>0</v>
      </c>
      <c r="BW270" s="173">
        <f t="shared" si="254"/>
        <v>0</v>
      </c>
      <c r="BX270" s="173">
        <f t="shared" si="255"/>
        <v>0</v>
      </c>
      <c r="BY270" s="173">
        <f t="shared" si="256"/>
        <v>0</v>
      </c>
      <c r="BZ270" s="173">
        <f t="shared" si="257"/>
        <v>0</v>
      </c>
      <c r="CA270" s="173">
        <f t="shared" si="258"/>
        <v>0</v>
      </c>
    </row>
    <row r="271" spans="1:110">
      <c r="BQ271" s="81" t="s">
        <v>56</v>
      </c>
      <c r="BR271" s="173">
        <f t="shared" si="249"/>
        <v>0</v>
      </c>
      <c r="BS271" s="173">
        <f t="shared" si="250"/>
        <v>0</v>
      </c>
      <c r="BT271" s="173">
        <f t="shared" si="251"/>
        <v>0</v>
      </c>
      <c r="BU271" s="173">
        <f t="shared" si="252"/>
        <v>0</v>
      </c>
      <c r="BV271" s="173">
        <f t="shared" si="253"/>
        <v>0</v>
      </c>
      <c r="BW271" s="173">
        <f t="shared" si="254"/>
        <v>0</v>
      </c>
      <c r="BX271" s="173">
        <f t="shared" si="255"/>
        <v>0</v>
      </c>
      <c r="BY271" s="173">
        <f t="shared" si="256"/>
        <v>0</v>
      </c>
      <c r="BZ271" s="173">
        <f t="shared" si="257"/>
        <v>0</v>
      </c>
      <c r="CA271" s="173">
        <f t="shared" si="258"/>
        <v>0</v>
      </c>
    </row>
    <row r="272" spans="1:110">
      <c r="BQ272" s="81" t="s">
        <v>58</v>
      </c>
      <c r="BR272" s="173">
        <f t="shared" si="249"/>
        <v>0</v>
      </c>
      <c r="BS272" s="173">
        <f t="shared" si="250"/>
        <v>0</v>
      </c>
      <c r="BT272" s="173">
        <f t="shared" si="251"/>
        <v>0</v>
      </c>
      <c r="BU272" s="173">
        <f t="shared" si="252"/>
        <v>0</v>
      </c>
      <c r="BV272" s="173">
        <f t="shared" si="253"/>
        <v>0</v>
      </c>
      <c r="BW272" s="173">
        <f t="shared" si="254"/>
        <v>0</v>
      </c>
      <c r="BX272" s="173">
        <f t="shared" si="255"/>
        <v>0</v>
      </c>
      <c r="BY272" s="173">
        <f t="shared" si="256"/>
        <v>0</v>
      </c>
      <c r="BZ272" s="173">
        <f t="shared" si="257"/>
        <v>0</v>
      </c>
      <c r="CA272" s="173">
        <f t="shared" si="258"/>
        <v>0</v>
      </c>
    </row>
    <row r="273" spans="69:79">
      <c r="BQ273" s="81" t="s">
        <v>60</v>
      </c>
      <c r="BR273" s="173">
        <f t="shared" si="249"/>
        <v>0</v>
      </c>
      <c r="BS273" s="173">
        <f t="shared" si="250"/>
        <v>0</v>
      </c>
      <c r="BT273" s="173">
        <f t="shared" si="251"/>
        <v>0</v>
      </c>
      <c r="BU273" s="173">
        <f t="shared" si="252"/>
        <v>0</v>
      </c>
      <c r="BV273" s="173">
        <f t="shared" si="253"/>
        <v>0</v>
      </c>
      <c r="BW273" s="173">
        <f t="shared" si="254"/>
        <v>0</v>
      </c>
      <c r="BX273" s="173">
        <f t="shared" si="255"/>
        <v>0</v>
      </c>
      <c r="BY273" s="173">
        <f t="shared" si="256"/>
        <v>0</v>
      </c>
      <c r="BZ273" s="173">
        <f t="shared" si="257"/>
        <v>0</v>
      </c>
      <c r="CA273" s="173">
        <f t="shared" si="258"/>
        <v>0</v>
      </c>
    </row>
    <row r="274" spans="69:79">
      <c r="BQ274" s="81" t="s">
        <v>82</v>
      </c>
      <c r="BR274" s="173">
        <f t="shared" si="249"/>
        <v>0</v>
      </c>
      <c r="BS274" s="173">
        <f t="shared" si="250"/>
        <v>0</v>
      </c>
      <c r="BT274" s="173">
        <f t="shared" si="251"/>
        <v>0</v>
      </c>
      <c r="BU274" s="173">
        <f t="shared" si="252"/>
        <v>0</v>
      </c>
      <c r="BV274" s="173">
        <f t="shared" si="253"/>
        <v>0</v>
      </c>
      <c r="BW274" s="173">
        <f t="shared" si="254"/>
        <v>0</v>
      </c>
      <c r="BX274" s="173">
        <f t="shared" si="255"/>
        <v>0</v>
      </c>
      <c r="BY274" s="173">
        <f t="shared" si="256"/>
        <v>0</v>
      </c>
      <c r="BZ274" s="173">
        <f t="shared" si="257"/>
        <v>0</v>
      </c>
      <c r="CA274" s="173">
        <f t="shared" si="258"/>
        <v>0</v>
      </c>
    </row>
    <row r="275" spans="69:79">
      <c r="BQ275" s="81" t="s">
        <v>83</v>
      </c>
      <c r="BR275" s="173">
        <f t="shared" si="249"/>
        <v>0</v>
      </c>
      <c r="BS275" s="173">
        <f t="shared" si="250"/>
        <v>0</v>
      </c>
      <c r="BT275" s="173">
        <f t="shared" si="251"/>
        <v>0</v>
      </c>
      <c r="BU275" s="173">
        <f t="shared" si="252"/>
        <v>0</v>
      </c>
      <c r="BV275" s="173">
        <f t="shared" si="253"/>
        <v>0</v>
      </c>
      <c r="BW275" s="173">
        <f t="shared" si="254"/>
        <v>0</v>
      </c>
      <c r="BX275" s="173">
        <f t="shared" si="255"/>
        <v>0</v>
      </c>
      <c r="BY275" s="173">
        <f t="shared" si="256"/>
        <v>0</v>
      </c>
      <c r="BZ275" s="173">
        <f t="shared" si="257"/>
        <v>0</v>
      </c>
      <c r="CA275" s="173">
        <f t="shared" si="258"/>
        <v>0</v>
      </c>
    </row>
    <row r="276" spans="69:79">
      <c r="BQ276" s="81" t="s">
        <v>84</v>
      </c>
      <c r="BR276" s="173">
        <f t="shared" si="249"/>
        <v>0</v>
      </c>
      <c r="BS276" s="173">
        <f t="shared" si="250"/>
        <v>0</v>
      </c>
      <c r="BT276" s="173">
        <f t="shared" si="251"/>
        <v>0</v>
      </c>
      <c r="BU276" s="173">
        <f t="shared" si="252"/>
        <v>0</v>
      </c>
      <c r="BV276" s="173">
        <f t="shared" si="253"/>
        <v>0</v>
      </c>
      <c r="BW276" s="173">
        <f t="shared" si="254"/>
        <v>0</v>
      </c>
      <c r="BX276" s="173">
        <f t="shared" si="255"/>
        <v>0</v>
      </c>
      <c r="BY276" s="173">
        <f t="shared" si="256"/>
        <v>0</v>
      </c>
      <c r="BZ276" s="173">
        <f t="shared" si="257"/>
        <v>0</v>
      </c>
      <c r="CA276" s="173">
        <f t="shared" si="258"/>
        <v>0</v>
      </c>
    </row>
    <row r="277" spans="69:79">
      <c r="BQ277" s="81" t="s">
        <v>62</v>
      </c>
      <c r="BR277" s="173">
        <f t="shared" si="249"/>
        <v>0</v>
      </c>
      <c r="BS277" s="173">
        <f t="shared" si="250"/>
        <v>0</v>
      </c>
      <c r="BT277" s="173">
        <f t="shared" si="251"/>
        <v>0</v>
      </c>
      <c r="BU277" s="173">
        <f t="shared" si="252"/>
        <v>0</v>
      </c>
      <c r="BV277" s="173">
        <f t="shared" si="253"/>
        <v>0</v>
      </c>
      <c r="BW277" s="173">
        <f t="shared" si="254"/>
        <v>0</v>
      </c>
      <c r="BX277" s="173">
        <f t="shared" si="255"/>
        <v>0</v>
      </c>
      <c r="BY277" s="173">
        <f t="shared" si="256"/>
        <v>0</v>
      </c>
      <c r="BZ277" s="173">
        <f t="shared" si="257"/>
        <v>0</v>
      </c>
      <c r="CA277" s="173">
        <f t="shared" si="258"/>
        <v>0</v>
      </c>
    </row>
    <row r="278" spans="69:79">
      <c r="BQ278" s="81" t="s">
        <v>63</v>
      </c>
      <c r="BR278" s="173">
        <f t="shared" si="249"/>
        <v>0</v>
      </c>
      <c r="BS278" s="173">
        <f t="shared" si="250"/>
        <v>0</v>
      </c>
      <c r="BT278" s="173">
        <f t="shared" si="251"/>
        <v>0</v>
      </c>
      <c r="BU278" s="173">
        <f t="shared" si="252"/>
        <v>0</v>
      </c>
      <c r="BV278" s="173">
        <f t="shared" si="253"/>
        <v>0</v>
      </c>
      <c r="BW278" s="173">
        <f t="shared" si="254"/>
        <v>0</v>
      </c>
      <c r="BX278" s="173">
        <f t="shared" si="255"/>
        <v>0</v>
      </c>
      <c r="BY278" s="173">
        <f t="shared" si="256"/>
        <v>0</v>
      </c>
      <c r="BZ278" s="173">
        <f t="shared" si="257"/>
        <v>0</v>
      </c>
      <c r="CA278" s="173">
        <f t="shared" si="258"/>
        <v>0</v>
      </c>
    </row>
    <row r="279" spans="69:79">
      <c r="BQ279" s="81" t="s">
        <v>64</v>
      </c>
      <c r="BR279" s="173">
        <f t="shared" si="249"/>
        <v>0</v>
      </c>
      <c r="BS279" s="173">
        <f t="shared" si="250"/>
        <v>0</v>
      </c>
      <c r="BT279" s="173">
        <f t="shared" si="251"/>
        <v>0</v>
      </c>
      <c r="BU279" s="173">
        <f t="shared" si="252"/>
        <v>0</v>
      </c>
      <c r="BV279" s="173">
        <f t="shared" si="253"/>
        <v>0</v>
      </c>
      <c r="BW279" s="173">
        <f t="shared" si="254"/>
        <v>0</v>
      </c>
      <c r="BX279" s="173">
        <f t="shared" si="255"/>
        <v>0</v>
      </c>
      <c r="BY279" s="173">
        <f t="shared" si="256"/>
        <v>0</v>
      </c>
      <c r="BZ279" s="173">
        <f t="shared" si="257"/>
        <v>0</v>
      </c>
      <c r="CA279" s="173">
        <f t="shared" si="258"/>
        <v>0</v>
      </c>
    </row>
    <row r="280" spans="69:79">
      <c r="BQ280" s="81" t="s">
        <v>65</v>
      </c>
      <c r="BR280" s="173">
        <f t="shared" si="249"/>
        <v>0</v>
      </c>
      <c r="BS280" s="173">
        <f t="shared" si="250"/>
        <v>0</v>
      </c>
      <c r="BT280" s="173">
        <f t="shared" si="251"/>
        <v>0</v>
      </c>
      <c r="BU280" s="173">
        <f t="shared" si="252"/>
        <v>0</v>
      </c>
      <c r="BV280" s="173">
        <f t="shared" si="253"/>
        <v>0</v>
      </c>
      <c r="BW280" s="173">
        <f t="shared" si="254"/>
        <v>0</v>
      </c>
      <c r="BX280" s="173">
        <f t="shared" si="255"/>
        <v>0</v>
      </c>
      <c r="BY280" s="173">
        <f t="shared" si="256"/>
        <v>0</v>
      </c>
      <c r="BZ280" s="173">
        <f t="shared" si="257"/>
        <v>0</v>
      </c>
      <c r="CA280" s="173">
        <f t="shared" si="258"/>
        <v>0</v>
      </c>
    </row>
    <row r="281" spans="69:79">
      <c r="BQ281" s="81" t="s">
        <v>66</v>
      </c>
      <c r="BR281" s="173">
        <f t="shared" si="249"/>
        <v>0</v>
      </c>
      <c r="BS281" s="173">
        <f t="shared" si="250"/>
        <v>0</v>
      </c>
      <c r="BT281" s="173">
        <f t="shared" si="251"/>
        <v>0</v>
      </c>
      <c r="BU281" s="173">
        <f t="shared" si="252"/>
        <v>0</v>
      </c>
      <c r="BV281" s="173">
        <f t="shared" si="253"/>
        <v>0</v>
      </c>
      <c r="BW281" s="173">
        <f t="shared" si="254"/>
        <v>0</v>
      </c>
      <c r="BX281" s="173">
        <f t="shared" si="255"/>
        <v>0</v>
      </c>
      <c r="BY281" s="173">
        <f t="shared" si="256"/>
        <v>0</v>
      </c>
      <c r="BZ281" s="173">
        <f t="shared" si="257"/>
        <v>0</v>
      </c>
      <c r="CA281" s="173">
        <f t="shared" si="258"/>
        <v>0</v>
      </c>
    </row>
    <row r="282" spans="69:79">
      <c r="BQ282" s="81" t="s">
        <v>85</v>
      </c>
      <c r="BR282" s="173">
        <f t="shared" si="249"/>
        <v>0</v>
      </c>
      <c r="BS282" s="173">
        <f t="shared" si="250"/>
        <v>0</v>
      </c>
      <c r="BT282" s="173">
        <f t="shared" si="251"/>
        <v>0</v>
      </c>
      <c r="BU282" s="173">
        <f t="shared" si="252"/>
        <v>0</v>
      </c>
      <c r="BV282" s="173">
        <f t="shared" si="253"/>
        <v>0</v>
      </c>
      <c r="BW282" s="173">
        <f t="shared" si="254"/>
        <v>0</v>
      </c>
      <c r="BX282" s="173">
        <f t="shared" si="255"/>
        <v>0</v>
      </c>
      <c r="BY282" s="173">
        <f t="shared" si="256"/>
        <v>0</v>
      </c>
      <c r="BZ282" s="173">
        <f t="shared" si="257"/>
        <v>0</v>
      </c>
      <c r="CA282" s="173">
        <f t="shared" si="258"/>
        <v>0</v>
      </c>
    </row>
    <row r="283" spans="69:79">
      <c r="BQ283" s="81" t="s">
        <v>68</v>
      </c>
      <c r="BR283" s="173">
        <f t="shared" si="249"/>
        <v>0</v>
      </c>
      <c r="BS283" s="173">
        <f t="shared" si="250"/>
        <v>0</v>
      </c>
      <c r="BT283" s="173">
        <f t="shared" si="251"/>
        <v>0</v>
      </c>
      <c r="BU283" s="173">
        <f t="shared" si="252"/>
        <v>0</v>
      </c>
      <c r="BV283" s="173">
        <f t="shared" si="253"/>
        <v>0</v>
      </c>
      <c r="BW283" s="173">
        <f t="shared" si="254"/>
        <v>0</v>
      </c>
      <c r="BX283" s="173">
        <f t="shared" si="255"/>
        <v>0</v>
      </c>
      <c r="BY283" s="173">
        <f t="shared" si="256"/>
        <v>0</v>
      </c>
      <c r="BZ283" s="173">
        <f t="shared" si="257"/>
        <v>0</v>
      </c>
      <c r="CA283" s="173">
        <f t="shared" si="258"/>
        <v>0</v>
      </c>
    </row>
    <row r="284" spans="69:79">
      <c r="BQ284" s="163" t="s">
        <v>7</v>
      </c>
    </row>
    <row r="285" spans="69:79">
      <c r="BQ285" s="81" t="s">
        <v>45</v>
      </c>
      <c r="BR285" s="173">
        <f t="shared" ref="BR285:BR316" si="274">IFERROR(SUMIFS(Q$262:Q$266,$P$262:$P$266,$BQ285)/SUMIFS($AC$262:$AC$266,$P$262:$P$266,$BQ285),0)*$AQ$9</f>
        <v>0</v>
      </c>
      <c r="BS285" s="173">
        <f t="shared" ref="BS285:BS316" si="275">IFERROR(SUMIFS(R$262:R$266,$P$262:$P$266,$BQ285)/SUMIFS($AC$262:$AC$266,$P$262:$P$266,$BQ285),0)*$AQ$9</f>
        <v>0</v>
      </c>
      <c r="BT285" s="173">
        <f t="shared" ref="BT285:BT316" si="276">IFERROR(SUMIFS(S$262:S$266,$P$262:$P$266,$BQ285)/SUMIFS($AC$262:$AC$266,$P$262:$P$266,$BQ285),0)*$AQ$9</f>
        <v>0</v>
      </c>
      <c r="BU285" s="173">
        <f t="shared" ref="BU285:BU316" si="277">IFERROR(SUMIFS(T$262:T$266,$P$262:$P$266,$BQ285)/SUMIFS($AC$262:$AC$266,$P$262:$P$266,$BQ285),0)*$AQ$9</f>
        <v>0</v>
      </c>
      <c r="BV285" s="173">
        <f t="shared" ref="BV285:BV316" si="278">IFERROR(SUMIFS(U$262:U$266,$P$262:$P$266,$BQ285)/SUMIFS($AC$262:$AC$266,$P$262:$P$266,$BQ285),0)*$AQ$9</f>
        <v>0</v>
      </c>
      <c r="BW285" s="173">
        <f t="shared" ref="BW285:BW316" si="279">IFERROR(SUMIFS(V$262:V$266,$P$262:$P$266,$BQ285)/SUMIFS($AC$262:$AC$266,$P$262:$P$266,$BQ285),0)*$AQ$9</f>
        <v>0</v>
      </c>
      <c r="BX285" s="173">
        <f t="shared" ref="BX285:BX316" si="280">IFERROR(SUMIFS(W$262:W$266,$P$262:$P$266,$BQ285)/SUMIFS($AC$262:$AC$266,$P$262:$P$266,$BQ285),0)*$AQ$9</f>
        <v>0</v>
      </c>
      <c r="BY285" s="173">
        <f t="shared" ref="BY285:BY316" si="281">IFERROR(SUMIFS(X$262:X$266,$P$262:$P$266,$BQ285)/SUMIFS($AC$262:$AC$266,$P$262:$P$266,$BQ285),0)*$AQ$9</f>
        <v>0</v>
      </c>
      <c r="BZ285" s="173">
        <f t="shared" ref="BZ285:BZ316" si="282">IFERROR(SUMIFS(Y$262:Y$266,$P$262:$P$266,$BQ285)/SUMIFS($AC$262:$AC$266,$P$262:$P$266,$BQ285),0)*$AQ$9</f>
        <v>0</v>
      </c>
      <c r="CA285" s="173">
        <f t="shared" ref="CA285:CA316" si="283">IFERROR(SUMIFS(Z$262:Z$266,$P$262:$P$266,$BQ285)/SUMIFS($AC$262:$AC$266,$P$262:$P$266,$BQ285),0)*$AQ$9</f>
        <v>0</v>
      </c>
    </row>
    <row r="286" spans="69:79">
      <c r="BQ286" s="81" t="s">
        <v>15</v>
      </c>
      <c r="BR286" s="173">
        <f t="shared" si="274"/>
        <v>55.723744692737441</v>
      </c>
      <c r="BS286" s="173">
        <f t="shared" si="275"/>
        <v>76.939872107262588</v>
      </c>
      <c r="BT286" s="173">
        <f t="shared" si="276"/>
        <v>93.777768009224587</v>
      </c>
      <c r="BU286" s="173">
        <f t="shared" si="277"/>
        <v>109.36839053443575</v>
      </c>
      <c r="BV286" s="173">
        <f t="shared" si="278"/>
        <v>111.66512673565889</v>
      </c>
      <c r="BW286" s="173">
        <f t="shared" si="279"/>
        <v>114.01009439710771</v>
      </c>
      <c r="BX286" s="173">
        <f t="shared" si="280"/>
        <v>116.40430637944695</v>
      </c>
      <c r="BY286" s="173">
        <f t="shared" si="281"/>
        <v>118.84879681341535</v>
      </c>
      <c r="BZ286" s="173">
        <f t="shared" si="282"/>
        <v>121.34462154649705</v>
      </c>
      <c r="CA286" s="173">
        <f t="shared" si="283"/>
        <v>123.89285859897346</v>
      </c>
    </row>
    <row r="287" spans="69:79">
      <c r="BQ287" s="81" t="s">
        <v>16</v>
      </c>
      <c r="BR287" s="173">
        <f t="shared" si="274"/>
        <v>0</v>
      </c>
      <c r="BS287" s="173">
        <f t="shared" si="275"/>
        <v>0</v>
      </c>
      <c r="BT287" s="173">
        <f t="shared" si="276"/>
        <v>0</v>
      </c>
      <c r="BU287" s="173">
        <f t="shared" si="277"/>
        <v>0</v>
      </c>
      <c r="BV287" s="173">
        <f t="shared" si="278"/>
        <v>0</v>
      </c>
      <c r="BW287" s="173">
        <f t="shared" si="279"/>
        <v>0</v>
      </c>
      <c r="BX287" s="173">
        <f t="shared" si="280"/>
        <v>0</v>
      </c>
      <c r="BY287" s="173">
        <f t="shared" si="281"/>
        <v>0</v>
      </c>
      <c r="BZ287" s="173">
        <f t="shared" si="282"/>
        <v>0</v>
      </c>
      <c r="CA287" s="173">
        <f t="shared" si="283"/>
        <v>0</v>
      </c>
    </row>
    <row r="288" spans="69:79">
      <c r="BQ288" s="81" t="s">
        <v>17</v>
      </c>
      <c r="BR288" s="173">
        <f t="shared" si="274"/>
        <v>0</v>
      </c>
      <c r="BS288" s="173">
        <f t="shared" si="275"/>
        <v>0</v>
      </c>
      <c r="BT288" s="173">
        <f t="shared" si="276"/>
        <v>0</v>
      </c>
      <c r="BU288" s="173">
        <f t="shared" si="277"/>
        <v>0</v>
      </c>
      <c r="BV288" s="173">
        <f t="shared" si="278"/>
        <v>0</v>
      </c>
      <c r="BW288" s="173">
        <f t="shared" si="279"/>
        <v>0</v>
      </c>
      <c r="BX288" s="173">
        <f t="shared" si="280"/>
        <v>0</v>
      </c>
      <c r="BY288" s="173">
        <f t="shared" si="281"/>
        <v>0</v>
      </c>
      <c r="BZ288" s="173">
        <f t="shared" si="282"/>
        <v>0</v>
      </c>
      <c r="CA288" s="173">
        <f t="shared" si="283"/>
        <v>0</v>
      </c>
    </row>
    <row r="289" spans="69:79">
      <c r="BQ289" s="81" t="s">
        <v>18</v>
      </c>
      <c r="BR289" s="173">
        <f t="shared" si="274"/>
        <v>0</v>
      </c>
      <c r="BS289" s="173">
        <f t="shared" si="275"/>
        <v>0</v>
      </c>
      <c r="BT289" s="173">
        <f t="shared" si="276"/>
        <v>0</v>
      </c>
      <c r="BU289" s="173">
        <f t="shared" si="277"/>
        <v>0</v>
      </c>
      <c r="BV289" s="173">
        <f t="shared" si="278"/>
        <v>0</v>
      </c>
      <c r="BW289" s="173">
        <f t="shared" si="279"/>
        <v>0</v>
      </c>
      <c r="BX289" s="173">
        <f t="shared" si="280"/>
        <v>0</v>
      </c>
      <c r="BY289" s="173">
        <f t="shared" si="281"/>
        <v>0</v>
      </c>
      <c r="BZ289" s="173">
        <f t="shared" si="282"/>
        <v>0</v>
      </c>
      <c r="CA289" s="173">
        <f t="shared" si="283"/>
        <v>0</v>
      </c>
    </row>
    <row r="290" spans="69:79">
      <c r="BQ290" s="81" t="s">
        <v>19</v>
      </c>
      <c r="BR290" s="173">
        <f t="shared" si="274"/>
        <v>0</v>
      </c>
      <c r="BS290" s="173">
        <f t="shared" si="275"/>
        <v>0</v>
      </c>
      <c r="BT290" s="173">
        <f t="shared" si="276"/>
        <v>0</v>
      </c>
      <c r="BU290" s="173">
        <f t="shared" si="277"/>
        <v>0</v>
      </c>
      <c r="BV290" s="173">
        <f t="shared" si="278"/>
        <v>0</v>
      </c>
      <c r="BW290" s="173">
        <f t="shared" si="279"/>
        <v>0</v>
      </c>
      <c r="BX290" s="173">
        <f t="shared" si="280"/>
        <v>0</v>
      </c>
      <c r="BY290" s="173">
        <f t="shared" si="281"/>
        <v>0</v>
      </c>
      <c r="BZ290" s="173">
        <f t="shared" si="282"/>
        <v>0</v>
      </c>
      <c r="CA290" s="173">
        <f t="shared" si="283"/>
        <v>0</v>
      </c>
    </row>
    <row r="291" spans="69:79">
      <c r="BQ291" s="81" t="s">
        <v>20</v>
      </c>
      <c r="BR291" s="173">
        <f t="shared" si="274"/>
        <v>0</v>
      </c>
      <c r="BS291" s="173">
        <f t="shared" si="275"/>
        <v>0</v>
      </c>
      <c r="BT291" s="173">
        <f t="shared" si="276"/>
        <v>0</v>
      </c>
      <c r="BU291" s="173">
        <f t="shared" si="277"/>
        <v>0</v>
      </c>
      <c r="BV291" s="173">
        <f t="shared" si="278"/>
        <v>0</v>
      </c>
      <c r="BW291" s="173">
        <f t="shared" si="279"/>
        <v>0</v>
      </c>
      <c r="BX291" s="173">
        <f t="shared" si="280"/>
        <v>0</v>
      </c>
      <c r="BY291" s="173">
        <f t="shared" si="281"/>
        <v>0</v>
      </c>
      <c r="BZ291" s="173">
        <f t="shared" si="282"/>
        <v>0</v>
      </c>
      <c r="CA291" s="173">
        <f t="shared" si="283"/>
        <v>0</v>
      </c>
    </row>
    <row r="292" spans="69:79">
      <c r="BQ292" s="81" t="s">
        <v>21</v>
      </c>
      <c r="BR292" s="173">
        <f t="shared" si="274"/>
        <v>0</v>
      </c>
      <c r="BS292" s="173">
        <f t="shared" si="275"/>
        <v>0</v>
      </c>
      <c r="BT292" s="173">
        <f t="shared" si="276"/>
        <v>0</v>
      </c>
      <c r="BU292" s="173">
        <f t="shared" si="277"/>
        <v>0</v>
      </c>
      <c r="BV292" s="173">
        <f t="shared" si="278"/>
        <v>0</v>
      </c>
      <c r="BW292" s="173">
        <f t="shared" si="279"/>
        <v>0</v>
      </c>
      <c r="BX292" s="173">
        <f t="shared" si="280"/>
        <v>0</v>
      </c>
      <c r="BY292" s="173">
        <f t="shared" si="281"/>
        <v>0</v>
      </c>
      <c r="BZ292" s="173">
        <f t="shared" si="282"/>
        <v>0</v>
      </c>
      <c r="CA292" s="173">
        <f t="shared" si="283"/>
        <v>0</v>
      </c>
    </row>
    <row r="293" spans="69:79">
      <c r="BQ293" s="81" t="s">
        <v>54</v>
      </c>
      <c r="BR293" s="173">
        <f t="shared" si="274"/>
        <v>0</v>
      </c>
      <c r="BS293" s="173">
        <f t="shared" si="275"/>
        <v>0</v>
      </c>
      <c r="BT293" s="173">
        <f t="shared" si="276"/>
        <v>0</v>
      </c>
      <c r="BU293" s="173">
        <f t="shared" si="277"/>
        <v>0</v>
      </c>
      <c r="BV293" s="173">
        <f t="shared" si="278"/>
        <v>0</v>
      </c>
      <c r="BW293" s="173">
        <f t="shared" si="279"/>
        <v>0</v>
      </c>
      <c r="BX293" s="173">
        <f t="shared" si="280"/>
        <v>0</v>
      </c>
      <c r="BY293" s="173">
        <f t="shared" si="281"/>
        <v>0</v>
      </c>
      <c r="BZ293" s="173">
        <f t="shared" si="282"/>
        <v>0</v>
      </c>
      <c r="CA293" s="173">
        <f t="shared" si="283"/>
        <v>0</v>
      </c>
    </row>
    <row r="294" spans="69:79">
      <c r="BQ294" s="81" t="s">
        <v>22</v>
      </c>
      <c r="BR294" s="173">
        <f t="shared" si="274"/>
        <v>0</v>
      </c>
      <c r="BS294" s="173">
        <f t="shared" si="275"/>
        <v>0</v>
      </c>
      <c r="BT294" s="173">
        <f t="shared" si="276"/>
        <v>0</v>
      </c>
      <c r="BU294" s="173">
        <f t="shared" si="277"/>
        <v>0</v>
      </c>
      <c r="BV294" s="173">
        <f t="shared" si="278"/>
        <v>0</v>
      </c>
      <c r="BW294" s="173">
        <f t="shared" si="279"/>
        <v>0</v>
      </c>
      <c r="BX294" s="173">
        <f t="shared" si="280"/>
        <v>0</v>
      </c>
      <c r="BY294" s="173">
        <f t="shared" si="281"/>
        <v>0</v>
      </c>
      <c r="BZ294" s="173">
        <f t="shared" si="282"/>
        <v>0</v>
      </c>
      <c r="CA294" s="173">
        <f t="shared" si="283"/>
        <v>0</v>
      </c>
    </row>
    <row r="295" spans="69:79">
      <c r="BQ295" s="81" t="s">
        <v>57</v>
      </c>
      <c r="BR295" s="173">
        <f t="shared" si="274"/>
        <v>0</v>
      </c>
      <c r="BS295" s="173">
        <f t="shared" si="275"/>
        <v>0</v>
      </c>
      <c r="BT295" s="173">
        <f t="shared" si="276"/>
        <v>0</v>
      </c>
      <c r="BU295" s="173">
        <f t="shared" si="277"/>
        <v>0</v>
      </c>
      <c r="BV295" s="173">
        <f t="shared" si="278"/>
        <v>0</v>
      </c>
      <c r="BW295" s="173">
        <f t="shared" si="279"/>
        <v>0</v>
      </c>
      <c r="BX295" s="173">
        <f t="shared" si="280"/>
        <v>0</v>
      </c>
      <c r="BY295" s="173">
        <f t="shared" si="281"/>
        <v>0</v>
      </c>
      <c r="BZ295" s="173">
        <f t="shared" si="282"/>
        <v>0</v>
      </c>
      <c r="CA295" s="173">
        <f t="shared" si="283"/>
        <v>0</v>
      </c>
    </row>
    <row r="296" spans="69:79">
      <c r="BQ296" s="81" t="s">
        <v>59</v>
      </c>
      <c r="BR296" s="173">
        <f t="shared" si="274"/>
        <v>0</v>
      </c>
      <c r="BS296" s="173">
        <f t="shared" si="275"/>
        <v>0</v>
      </c>
      <c r="BT296" s="173">
        <f t="shared" si="276"/>
        <v>0</v>
      </c>
      <c r="BU296" s="173">
        <f t="shared" si="277"/>
        <v>0</v>
      </c>
      <c r="BV296" s="173">
        <f t="shared" si="278"/>
        <v>0</v>
      </c>
      <c r="BW296" s="173">
        <f t="shared" si="279"/>
        <v>0</v>
      </c>
      <c r="BX296" s="173">
        <f t="shared" si="280"/>
        <v>0</v>
      </c>
      <c r="BY296" s="173">
        <f t="shared" si="281"/>
        <v>0</v>
      </c>
      <c r="BZ296" s="173">
        <f t="shared" si="282"/>
        <v>0</v>
      </c>
      <c r="CA296" s="173">
        <f t="shared" si="283"/>
        <v>0</v>
      </c>
    </row>
    <row r="297" spans="69:79">
      <c r="BQ297" s="81" t="s">
        <v>61</v>
      </c>
      <c r="BR297" s="173">
        <f t="shared" si="274"/>
        <v>0</v>
      </c>
      <c r="BS297" s="173">
        <f t="shared" si="275"/>
        <v>0</v>
      </c>
      <c r="BT297" s="173">
        <f t="shared" si="276"/>
        <v>0</v>
      </c>
      <c r="BU297" s="173">
        <f t="shared" si="277"/>
        <v>0</v>
      </c>
      <c r="BV297" s="173">
        <f t="shared" si="278"/>
        <v>0</v>
      </c>
      <c r="BW297" s="173">
        <f t="shared" si="279"/>
        <v>0</v>
      </c>
      <c r="BX297" s="173">
        <f t="shared" si="280"/>
        <v>0</v>
      </c>
      <c r="BY297" s="173">
        <f t="shared" si="281"/>
        <v>0</v>
      </c>
      <c r="BZ297" s="173">
        <f t="shared" si="282"/>
        <v>0</v>
      </c>
      <c r="CA297" s="173">
        <f t="shared" si="283"/>
        <v>0</v>
      </c>
    </row>
    <row r="298" spans="69:79">
      <c r="BQ298" s="81" t="s">
        <v>23</v>
      </c>
      <c r="BR298" s="173">
        <f t="shared" si="274"/>
        <v>0</v>
      </c>
      <c r="BS298" s="173">
        <f t="shared" si="275"/>
        <v>0</v>
      </c>
      <c r="BT298" s="173">
        <f t="shared" si="276"/>
        <v>0</v>
      </c>
      <c r="BU298" s="173">
        <f t="shared" si="277"/>
        <v>0</v>
      </c>
      <c r="BV298" s="173">
        <f t="shared" si="278"/>
        <v>0</v>
      </c>
      <c r="BW298" s="173">
        <f t="shared" si="279"/>
        <v>0</v>
      </c>
      <c r="BX298" s="173">
        <f t="shared" si="280"/>
        <v>0</v>
      </c>
      <c r="BY298" s="173">
        <f t="shared" si="281"/>
        <v>0</v>
      </c>
      <c r="BZ298" s="173">
        <f t="shared" si="282"/>
        <v>0</v>
      </c>
      <c r="CA298" s="173">
        <f t="shared" si="283"/>
        <v>0</v>
      </c>
    </row>
    <row r="299" spans="69:79">
      <c r="BQ299" s="81" t="s">
        <v>24</v>
      </c>
      <c r="BR299" s="173">
        <f t="shared" si="274"/>
        <v>0</v>
      </c>
      <c r="BS299" s="173">
        <f t="shared" si="275"/>
        <v>0</v>
      </c>
      <c r="BT299" s="173">
        <f t="shared" si="276"/>
        <v>0</v>
      </c>
      <c r="BU299" s="173">
        <f t="shared" si="277"/>
        <v>0</v>
      </c>
      <c r="BV299" s="173">
        <f t="shared" si="278"/>
        <v>0</v>
      </c>
      <c r="BW299" s="173">
        <f t="shared" si="279"/>
        <v>0</v>
      </c>
      <c r="BX299" s="173">
        <f t="shared" si="280"/>
        <v>0</v>
      </c>
      <c r="BY299" s="173">
        <f t="shared" si="281"/>
        <v>0</v>
      </c>
      <c r="BZ299" s="173">
        <f t="shared" si="282"/>
        <v>0</v>
      </c>
      <c r="CA299" s="173">
        <f t="shared" si="283"/>
        <v>0</v>
      </c>
    </row>
    <row r="300" spans="69:79">
      <c r="BQ300" s="81" t="s">
        <v>25</v>
      </c>
      <c r="BR300" s="173">
        <f t="shared" si="274"/>
        <v>0</v>
      </c>
      <c r="BS300" s="173">
        <f t="shared" si="275"/>
        <v>0</v>
      </c>
      <c r="BT300" s="173">
        <f t="shared" si="276"/>
        <v>0</v>
      </c>
      <c r="BU300" s="173">
        <f t="shared" si="277"/>
        <v>0</v>
      </c>
      <c r="BV300" s="173">
        <f t="shared" si="278"/>
        <v>0</v>
      </c>
      <c r="BW300" s="173">
        <f t="shared" si="279"/>
        <v>0</v>
      </c>
      <c r="BX300" s="173">
        <f t="shared" si="280"/>
        <v>0</v>
      </c>
      <c r="BY300" s="173">
        <f t="shared" si="281"/>
        <v>0</v>
      </c>
      <c r="BZ300" s="173">
        <f t="shared" si="282"/>
        <v>0</v>
      </c>
      <c r="CA300" s="173">
        <f t="shared" si="283"/>
        <v>0</v>
      </c>
    </row>
    <row r="301" spans="69:79">
      <c r="BQ301" s="81" t="s">
        <v>27</v>
      </c>
      <c r="BR301" s="173">
        <f t="shared" si="274"/>
        <v>0</v>
      </c>
      <c r="BS301" s="173">
        <f t="shared" si="275"/>
        <v>0</v>
      </c>
      <c r="BT301" s="173">
        <f t="shared" si="276"/>
        <v>0</v>
      </c>
      <c r="BU301" s="173">
        <f t="shared" si="277"/>
        <v>0</v>
      </c>
      <c r="BV301" s="173">
        <f t="shared" si="278"/>
        <v>0</v>
      </c>
      <c r="BW301" s="173">
        <f t="shared" si="279"/>
        <v>0</v>
      </c>
      <c r="BX301" s="173">
        <f t="shared" si="280"/>
        <v>0</v>
      </c>
      <c r="BY301" s="173">
        <f t="shared" si="281"/>
        <v>0</v>
      </c>
      <c r="BZ301" s="173">
        <f t="shared" si="282"/>
        <v>0</v>
      </c>
      <c r="CA301" s="173">
        <f t="shared" si="283"/>
        <v>0</v>
      </c>
    </row>
    <row r="302" spans="69:79">
      <c r="BQ302" s="81" t="s">
        <v>67</v>
      </c>
      <c r="BR302" s="173">
        <f t="shared" si="274"/>
        <v>0</v>
      </c>
      <c r="BS302" s="173">
        <f t="shared" si="275"/>
        <v>0</v>
      </c>
      <c r="BT302" s="173">
        <f t="shared" si="276"/>
        <v>0</v>
      </c>
      <c r="BU302" s="173">
        <f t="shared" si="277"/>
        <v>0</v>
      </c>
      <c r="BV302" s="173">
        <f t="shared" si="278"/>
        <v>0</v>
      </c>
      <c r="BW302" s="173">
        <f t="shared" si="279"/>
        <v>0</v>
      </c>
      <c r="BX302" s="173">
        <f t="shared" si="280"/>
        <v>0</v>
      </c>
      <c r="BY302" s="173">
        <f t="shared" si="281"/>
        <v>0</v>
      </c>
      <c r="BZ302" s="173">
        <f t="shared" si="282"/>
        <v>0</v>
      </c>
      <c r="CA302" s="173">
        <f t="shared" si="283"/>
        <v>0</v>
      </c>
    </row>
    <row r="303" spans="69:79">
      <c r="BQ303" s="81" t="s">
        <v>69</v>
      </c>
      <c r="BR303" s="173">
        <f t="shared" si="274"/>
        <v>0</v>
      </c>
      <c r="BS303" s="173">
        <f t="shared" si="275"/>
        <v>0</v>
      </c>
      <c r="BT303" s="173">
        <f t="shared" si="276"/>
        <v>0</v>
      </c>
      <c r="BU303" s="173">
        <f t="shared" si="277"/>
        <v>0</v>
      </c>
      <c r="BV303" s="173">
        <f t="shared" si="278"/>
        <v>0</v>
      </c>
      <c r="BW303" s="173">
        <f t="shared" si="279"/>
        <v>0</v>
      </c>
      <c r="BX303" s="173">
        <f t="shared" si="280"/>
        <v>0</v>
      </c>
      <c r="BY303" s="173">
        <f t="shared" si="281"/>
        <v>0</v>
      </c>
      <c r="BZ303" s="173">
        <f t="shared" si="282"/>
        <v>0</v>
      </c>
      <c r="CA303" s="173">
        <f t="shared" si="283"/>
        <v>0</v>
      </c>
    </row>
    <row r="304" spans="69:79">
      <c r="BQ304" s="81" t="s">
        <v>28</v>
      </c>
      <c r="BR304" s="173">
        <f t="shared" si="274"/>
        <v>0</v>
      </c>
      <c r="BS304" s="173">
        <f t="shared" si="275"/>
        <v>0</v>
      </c>
      <c r="BT304" s="173">
        <f t="shared" si="276"/>
        <v>0</v>
      </c>
      <c r="BU304" s="173">
        <f t="shared" si="277"/>
        <v>0</v>
      </c>
      <c r="BV304" s="173">
        <f t="shared" si="278"/>
        <v>0</v>
      </c>
      <c r="BW304" s="173">
        <f t="shared" si="279"/>
        <v>0</v>
      </c>
      <c r="BX304" s="173">
        <f t="shared" si="280"/>
        <v>0</v>
      </c>
      <c r="BY304" s="173">
        <f t="shared" si="281"/>
        <v>0</v>
      </c>
      <c r="BZ304" s="173">
        <f t="shared" si="282"/>
        <v>0</v>
      </c>
      <c r="CA304" s="173">
        <f t="shared" si="283"/>
        <v>0</v>
      </c>
    </row>
    <row r="305" spans="69:79">
      <c r="BQ305" s="81" t="s">
        <v>29</v>
      </c>
      <c r="BR305" s="173">
        <f t="shared" si="274"/>
        <v>0</v>
      </c>
      <c r="BS305" s="173">
        <f t="shared" si="275"/>
        <v>0</v>
      </c>
      <c r="BT305" s="173">
        <f t="shared" si="276"/>
        <v>0</v>
      </c>
      <c r="BU305" s="173">
        <f t="shared" si="277"/>
        <v>0</v>
      </c>
      <c r="BV305" s="173">
        <f t="shared" si="278"/>
        <v>0</v>
      </c>
      <c r="BW305" s="173">
        <f t="shared" si="279"/>
        <v>0</v>
      </c>
      <c r="BX305" s="173">
        <f t="shared" si="280"/>
        <v>0</v>
      </c>
      <c r="BY305" s="173">
        <f t="shared" si="281"/>
        <v>0</v>
      </c>
      <c r="BZ305" s="173">
        <f t="shared" si="282"/>
        <v>0</v>
      </c>
      <c r="CA305" s="173">
        <f t="shared" si="283"/>
        <v>0</v>
      </c>
    </row>
    <row r="306" spans="69:79">
      <c r="BQ306" s="81" t="s">
        <v>30</v>
      </c>
      <c r="BR306" s="173">
        <f t="shared" si="274"/>
        <v>0</v>
      </c>
      <c r="BS306" s="173">
        <f t="shared" si="275"/>
        <v>0</v>
      </c>
      <c r="BT306" s="173">
        <f t="shared" si="276"/>
        <v>0</v>
      </c>
      <c r="BU306" s="173">
        <f t="shared" si="277"/>
        <v>0</v>
      </c>
      <c r="BV306" s="173">
        <f t="shared" si="278"/>
        <v>0</v>
      </c>
      <c r="BW306" s="173">
        <f t="shared" si="279"/>
        <v>0</v>
      </c>
      <c r="BX306" s="173">
        <f t="shared" si="280"/>
        <v>0</v>
      </c>
      <c r="BY306" s="173">
        <f t="shared" si="281"/>
        <v>0</v>
      </c>
      <c r="BZ306" s="173">
        <f t="shared" si="282"/>
        <v>0</v>
      </c>
      <c r="CA306" s="173">
        <f t="shared" si="283"/>
        <v>0</v>
      </c>
    </row>
    <row r="307" spans="69:79">
      <c r="BQ307" s="81" t="s">
        <v>70</v>
      </c>
      <c r="BR307" s="173">
        <f t="shared" si="274"/>
        <v>0</v>
      </c>
      <c r="BS307" s="173">
        <f t="shared" si="275"/>
        <v>0</v>
      </c>
      <c r="BT307" s="173">
        <f t="shared" si="276"/>
        <v>0</v>
      </c>
      <c r="BU307" s="173">
        <f t="shared" si="277"/>
        <v>0</v>
      </c>
      <c r="BV307" s="173">
        <f t="shared" si="278"/>
        <v>0</v>
      </c>
      <c r="BW307" s="173">
        <f t="shared" si="279"/>
        <v>0</v>
      </c>
      <c r="BX307" s="173">
        <f t="shared" si="280"/>
        <v>0</v>
      </c>
      <c r="BY307" s="173">
        <f t="shared" si="281"/>
        <v>0</v>
      </c>
      <c r="BZ307" s="173">
        <f t="shared" si="282"/>
        <v>0</v>
      </c>
      <c r="CA307" s="173">
        <f t="shared" si="283"/>
        <v>0</v>
      </c>
    </row>
    <row r="308" spans="69:79">
      <c r="BQ308" s="81" t="s">
        <v>31</v>
      </c>
      <c r="BR308" s="173">
        <f t="shared" si="274"/>
        <v>0</v>
      </c>
      <c r="BS308" s="173">
        <f t="shared" si="275"/>
        <v>0</v>
      </c>
      <c r="BT308" s="173">
        <f t="shared" si="276"/>
        <v>0</v>
      </c>
      <c r="BU308" s="173">
        <f t="shared" si="277"/>
        <v>0</v>
      </c>
      <c r="BV308" s="173">
        <f t="shared" si="278"/>
        <v>0</v>
      </c>
      <c r="BW308" s="173">
        <f t="shared" si="279"/>
        <v>0</v>
      </c>
      <c r="BX308" s="173">
        <f t="shared" si="280"/>
        <v>0</v>
      </c>
      <c r="BY308" s="173">
        <f t="shared" si="281"/>
        <v>0</v>
      </c>
      <c r="BZ308" s="173">
        <f t="shared" si="282"/>
        <v>0</v>
      </c>
      <c r="CA308" s="173">
        <f t="shared" si="283"/>
        <v>0</v>
      </c>
    </row>
    <row r="309" spans="69:79">
      <c r="BQ309" s="81" t="s">
        <v>32</v>
      </c>
      <c r="BR309" s="173">
        <f t="shared" si="274"/>
        <v>0</v>
      </c>
      <c r="BS309" s="173">
        <f t="shared" si="275"/>
        <v>0</v>
      </c>
      <c r="BT309" s="173">
        <f t="shared" si="276"/>
        <v>0</v>
      </c>
      <c r="BU309" s="173">
        <f t="shared" si="277"/>
        <v>0</v>
      </c>
      <c r="BV309" s="173">
        <f t="shared" si="278"/>
        <v>0</v>
      </c>
      <c r="BW309" s="173">
        <f t="shared" si="279"/>
        <v>0</v>
      </c>
      <c r="BX309" s="173">
        <f t="shared" si="280"/>
        <v>0</v>
      </c>
      <c r="BY309" s="173">
        <f t="shared" si="281"/>
        <v>0</v>
      </c>
      <c r="BZ309" s="173">
        <f t="shared" si="282"/>
        <v>0</v>
      </c>
      <c r="CA309" s="173">
        <f t="shared" si="283"/>
        <v>0</v>
      </c>
    </row>
    <row r="310" spans="69:79">
      <c r="BQ310" s="81" t="s">
        <v>33</v>
      </c>
      <c r="BR310" s="173">
        <f t="shared" si="274"/>
        <v>55.723744692737441</v>
      </c>
      <c r="BS310" s="173">
        <f t="shared" si="275"/>
        <v>76.939872107262588</v>
      </c>
      <c r="BT310" s="173">
        <f t="shared" si="276"/>
        <v>93.777768009224587</v>
      </c>
      <c r="BU310" s="173">
        <f t="shared" si="277"/>
        <v>109.36839053443575</v>
      </c>
      <c r="BV310" s="173">
        <f t="shared" si="278"/>
        <v>111.66512673565889</v>
      </c>
      <c r="BW310" s="173">
        <f t="shared" si="279"/>
        <v>114.01009439710771</v>
      </c>
      <c r="BX310" s="173">
        <f t="shared" si="280"/>
        <v>116.40430637944695</v>
      </c>
      <c r="BY310" s="173">
        <f t="shared" si="281"/>
        <v>118.84879681341535</v>
      </c>
      <c r="BZ310" s="173">
        <f t="shared" si="282"/>
        <v>121.34462154649705</v>
      </c>
      <c r="CA310" s="173">
        <f t="shared" si="283"/>
        <v>123.89285859897346</v>
      </c>
    </row>
    <row r="311" spans="69:79">
      <c r="BQ311" s="81" t="s">
        <v>34</v>
      </c>
      <c r="BR311" s="173">
        <f t="shared" si="274"/>
        <v>0</v>
      </c>
      <c r="BS311" s="173">
        <f t="shared" si="275"/>
        <v>0</v>
      </c>
      <c r="BT311" s="173">
        <f t="shared" si="276"/>
        <v>0</v>
      </c>
      <c r="BU311" s="173">
        <f t="shared" si="277"/>
        <v>0</v>
      </c>
      <c r="BV311" s="173">
        <f t="shared" si="278"/>
        <v>0</v>
      </c>
      <c r="BW311" s="173">
        <f t="shared" si="279"/>
        <v>0</v>
      </c>
      <c r="BX311" s="173">
        <f t="shared" si="280"/>
        <v>0</v>
      </c>
      <c r="BY311" s="173">
        <f t="shared" si="281"/>
        <v>0</v>
      </c>
      <c r="BZ311" s="173">
        <f t="shared" si="282"/>
        <v>0</v>
      </c>
      <c r="CA311" s="173">
        <f t="shared" si="283"/>
        <v>0</v>
      </c>
    </row>
    <row r="312" spans="69:79">
      <c r="BQ312" s="81" t="s">
        <v>71</v>
      </c>
      <c r="BR312" s="173">
        <f t="shared" si="274"/>
        <v>0</v>
      </c>
      <c r="BS312" s="173">
        <f t="shared" si="275"/>
        <v>0</v>
      </c>
      <c r="BT312" s="173">
        <f t="shared" si="276"/>
        <v>0</v>
      </c>
      <c r="BU312" s="173">
        <f t="shared" si="277"/>
        <v>0</v>
      </c>
      <c r="BV312" s="173">
        <f t="shared" si="278"/>
        <v>0</v>
      </c>
      <c r="BW312" s="173">
        <f t="shared" si="279"/>
        <v>0</v>
      </c>
      <c r="BX312" s="173">
        <f t="shared" si="280"/>
        <v>0</v>
      </c>
      <c r="BY312" s="173">
        <f t="shared" si="281"/>
        <v>0</v>
      </c>
      <c r="BZ312" s="173">
        <f t="shared" si="282"/>
        <v>0</v>
      </c>
      <c r="CA312" s="173">
        <f t="shared" si="283"/>
        <v>0</v>
      </c>
    </row>
    <row r="313" spans="69:79">
      <c r="BQ313" s="81" t="s">
        <v>35</v>
      </c>
      <c r="BR313" s="173">
        <f t="shared" si="274"/>
        <v>0</v>
      </c>
      <c r="BS313" s="173">
        <f t="shared" si="275"/>
        <v>0</v>
      </c>
      <c r="BT313" s="173">
        <f t="shared" si="276"/>
        <v>0</v>
      </c>
      <c r="BU313" s="173">
        <f t="shared" si="277"/>
        <v>0</v>
      </c>
      <c r="BV313" s="173">
        <f t="shared" si="278"/>
        <v>0</v>
      </c>
      <c r="BW313" s="173">
        <f t="shared" si="279"/>
        <v>0</v>
      </c>
      <c r="BX313" s="173">
        <f t="shared" si="280"/>
        <v>0</v>
      </c>
      <c r="BY313" s="173">
        <f t="shared" si="281"/>
        <v>0</v>
      </c>
      <c r="BZ313" s="173">
        <f t="shared" si="282"/>
        <v>0</v>
      </c>
      <c r="CA313" s="173">
        <f t="shared" si="283"/>
        <v>0</v>
      </c>
    </row>
    <row r="314" spans="69:79">
      <c r="BQ314" s="81" t="s">
        <v>36</v>
      </c>
      <c r="BR314" s="173">
        <f t="shared" si="274"/>
        <v>0</v>
      </c>
      <c r="BS314" s="173">
        <f t="shared" si="275"/>
        <v>0</v>
      </c>
      <c r="BT314" s="173">
        <f t="shared" si="276"/>
        <v>0</v>
      </c>
      <c r="BU314" s="173">
        <f t="shared" si="277"/>
        <v>0</v>
      </c>
      <c r="BV314" s="173">
        <f t="shared" si="278"/>
        <v>0</v>
      </c>
      <c r="BW314" s="173">
        <f t="shared" si="279"/>
        <v>0</v>
      </c>
      <c r="BX314" s="173">
        <f t="shared" si="280"/>
        <v>0</v>
      </c>
      <c r="BY314" s="173">
        <f t="shared" si="281"/>
        <v>0</v>
      </c>
      <c r="BZ314" s="173">
        <f t="shared" si="282"/>
        <v>0</v>
      </c>
      <c r="CA314" s="173">
        <f t="shared" si="283"/>
        <v>0</v>
      </c>
    </row>
    <row r="315" spans="69:79">
      <c r="BQ315" s="81" t="s">
        <v>72</v>
      </c>
      <c r="BR315" s="173">
        <f t="shared" si="274"/>
        <v>0</v>
      </c>
      <c r="BS315" s="173">
        <f t="shared" si="275"/>
        <v>0</v>
      </c>
      <c r="BT315" s="173">
        <f t="shared" si="276"/>
        <v>0</v>
      </c>
      <c r="BU315" s="173">
        <f t="shared" si="277"/>
        <v>0</v>
      </c>
      <c r="BV315" s="173">
        <f t="shared" si="278"/>
        <v>0</v>
      </c>
      <c r="BW315" s="173">
        <f t="shared" si="279"/>
        <v>0</v>
      </c>
      <c r="BX315" s="173">
        <f t="shared" si="280"/>
        <v>0</v>
      </c>
      <c r="BY315" s="173">
        <f t="shared" si="281"/>
        <v>0</v>
      </c>
      <c r="BZ315" s="173">
        <f t="shared" si="282"/>
        <v>0</v>
      </c>
      <c r="CA315" s="173">
        <f t="shared" si="283"/>
        <v>0</v>
      </c>
    </row>
    <row r="316" spans="69:79">
      <c r="BQ316" s="81" t="s">
        <v>73</v>
      </c>
      <c r="BR316" s="173">
        <f t="shared" si="274"/>
        <v>0</v>
      </c>
      <c r="BS316" s="173">
        <f t="shared" si="275"/>
        <v>0</v>
      </c>
      <c r="BT316" s="173">
        <f t="shared" si="276"/>
        <v>0</v>
      </c>
      <c r="BU316" s="173">
        <f t="shared" si="277"/>
        <v>0</v>
      </c>
      <c r="BV316" s="173">
        <f t="shared" si="278"/>
        <v>0</v>
      </c>
      <c r="BW316" s="173">
        <f t="shared" si="279"/>
        <v>0</v>
      </c>
      <c r="BX316" s="173">
        <f t="shared" si="280"/>
        <v>0</v>
      </c>
      <c r="BY316" s="173">
        <f t="shared" si="281"/>
        <v>0</v>
      </c>
      <c r="BZ316" s="173">
        <f t="shared" si="282"/>
        <v>0</v>
      </c>
      <c r="CA316" s="173">
        <f t="shared" si="283"/>
        <v>0</v>
      </c>
    </row>
    <row r="317" spans="69:79">
      <c r="BQ317" s="81" t="s">
        <v>37</v>
      </c>
      <c r="BR317" s="173">
        <f t="shared" ref="BR317:BR353" si="284">IFERROR(SUMIFS(Q$262:Q$266,$P$262:$P$266,$BQ317)/SUMIFS($AC$262:$AC$266,$P$262:$P$266,$BQ317),0)*$AQ$9</f>
        <v>30.695848743016761</v>
      </c>
      <c r="BS317" s="173">
        <f t="shared" ref="BS317:BS353" si="285">IFERROR(SUMIFS(R$262:R$266,$P$262:$P$266,$BQ317)/SUMIFS($AC$262:$AC$266,$P$262:$P$266,$BQ317),0)*$AQ$9</f>
        <v>63.148370520670397</v>
      </c>
      <c r="BT317" s="173">
        <f t="shared" ref="BT317:BT353" si="286">IFERROR(SUMIFS(S$262:S$266,$P$262:$P$266,$BQ317)/SUMIFS($AC$262:$AC$266,$P$262:$P$266,$BQ317),0)*$AQ$9</f>
        <v>88.717183311660349</v>
      </c>
      <c r="BU317" s="173">
        <f t="shared" ref="BU317:BU353" si="287">IFERROR(SUMIFS(T$262:T$266,$P$262:$P$266,$BQ317)/SUMIFS($AC$262:$AC$266,$P$262:$P$266,$BQ317),0)*$AQ$9</f>
        <v>113.60977346910892</v>
      </c>
      <c r="BV317" s="173">
        <f t="shared" ref="BV317:BV353" si="288">IFERROR(SUMIFS(U$262:U$266,$P$262:$P$266,$BQ317)/SUMIFS($AC$262:$AC$266,$P$262:$P$266,$BQ317),0)*$AQ$9</f>
        <v>115.99557871196018</v>
      </c>
      <c r="BW317" s="173">
        <f t="shared" ref="BW317:BW353" si="289">IFERROR(SUMIFS(V$262:V$266,$P$262:$P$266,$BQ317)/SUMIFS($AC$262:$AC$266,$P$262:$P$266,$BQ317),0)*$AQ$9</f>
        <v>118.43148586491135</v>
      </c>
      <c r="BX317" s="173">
        <f t="shared" ref="BX317:BX353" si="290">IFERROR(SUMIFS(W$262:W$266,$P$262:$P$266,$BQ317)/SUMIFS($AC$262:$AC$266,$P$262:$P$266,$BQ317),0)*$AQ$9</f>
        <v>120.91854706807445</v>
      </c>
      <c r="BY317" s="173">
        <f t="shared" ref="BY317:BY353" si="291">IFERROR(SUMIFS(X$262:X$266,$P$262:$P$266,$BQ317)/SUMIFS($AC$262:$AC$266,$P$262:$P$266,$BQ317),0)*$AQ$9</f>
        <v>123.45783655650403</v>
      </c>
      <c r="BZ317" s="173">
        <f t="shared" ref="BZ317:BZ353" si="292">IFERROR(SUMIFS(Y$262:Y$266,$P$262:$P$266,$BQ317)/SUMIFS($AC$262:$AC$266,$P$262:$P$266,$BQ317),0)*$AQ$9</f>
        <v>126.05045112419059</v>
      </c>
      <c r="CA317" s="173">
        <f t="shared" ref="CA317:CA353" si="293">IFERROR(SUMIFS(Z$262:Z$266,$P$262:$P$266,$BQ317)/SUMIFS($AC$262:$AC$266,$P$262:$P$266,$BQ317),0)*$AQ$9</f>
        <v>128.69751059779858</v>
      </c>
    </row>
    <row r="318" spans="69:79">
      <c r="BQ318" s="81" t="s">
        <v>38</v>
      </c>
      <c r="BR318" s="173">
        <f t="shared" si="284"/>
        <v>30.695848743016761</v>
      </c>
      <c r="BS318" s="173">
        <f t="shared" si="285"/>
        <v>63.148370520670397</v>
      </c>
      <c r="BT318" s="173">
        <f t="shared" si="286"/>
        <v>88.717183311660349</v>
      </c>
      <c r="BU318" s="173">
        <f t="shared" si="287"/>
        <v>113.60977346910892</v>
      </c>
      <c r="BV318" s="173">
        <f t="shared" si="288"/>
        <v>115.99557871196018</v>
      </c>
      <c r="BW318" s="173">
        <f t="shared" si="289"/>
        <v>118.43148586491135</v>
      </c>
      <c r="BX318" s="173">
        <f t="shared" si="290"/>
        <v>120.91854706807445</v>
      </c>
      <c r="BY318" s="173">
        <f t="shared" si="291"/>
        <v>123.45783655650403</v>
      </c>
      <c r="BZ318" s="173">
        <f t="shared" si="292"/>
        <v>126.05045112419059</v>
      </c>
      <c r="CA318" s="173">
        <f t="shared" si="293"/>
        <v>128.69751059779858</v>
      </c>
    </row>
    <row r="319" spans="69:79">
      <c r="BQ319" s="81" t="s">
        <v>39</v>
      </c>
      <c r="BR319" s="173">
        <f t="shared" si="284"/>
        <v>0</v>
      </c>
      <c r="BS319" s="173">
        <f t="shared" si="285"/>
        <v>0</v>
      </c>
      <c r="BT319" s="173">
        <f t="shared" si="286"/>
        <v>0</v>
      </c>
      <c r="BU319" s="173">
        <f t="shared" si="287"/>
        <v>0</v>
      </c>
      <c r="BV319" s="173">
        <f t="shared" si="288"/>
        <v>0</v>
      </c>
      <c r="BW319" s="173">
        <f t="shared" si="289"/>
        <v>0</v>
      </c>
      <c r="BX319" s="173">
        <f t="shared" si="290"/>
        <v>0</v>
      </c>
      <c r="BY319" s="173">
        <f t="shared" si="291"/>
        <v>0</v>
      </c>
      <c r="BZ319" s="173">
        <f t="shared" si="292"/>
        <v>0</v>
      </c>
      <c r="CA319" s="173">
        <f t="shared" si="293"/>
        <v>0</v>
      </c>
    </row>
    <row r="320" spans="69:79">
      <c r="BQ320" s="81" t="s">
        <v>74</v>
      </c>
      <c r="BR320" s="173">
        <f t="shared" si="284"/>
        <v>0</v>
      </c>
      <c r="BS320" s="173">
        <f t="shared" si="285"/>
        <v>0</v>
      </c>
      <c r="BT320" s="173">
        <f t="shared" si="286"/>
        <v>0</v>
      </c>
      <c r="BU320" s="173">
        <f t="shared" si="287"/>
        <v>0</v>
      </c>
      <c r="BV320" s="173">
        <f t="shared" si="288"/>
        <v>0</v>
      </c>
      <c r="BW320" s="173">
        <f t="shared" si="289"/>
        <v>0</v>
      </c>
      <c r="BX320" s="173">
        <f t="shared" si="290"/>
        <v>0</v>
      </c>
      <c r="BY320" s="173">
        <f t="shared" si="291"/>
        <v>0</v>
      </c>
      <c r="BZ320" s="173">
        <f t="shared" si="292"/>
        <v>0</v>
      </c>
      <c r="CA320" s="173">
        <f t="shared" si="293"/>
        <v>0</v>
      </c>
    </row>
    <row r="321" spans="69:79">
      <c r="BQ321" s="81" t="s">
        <v>40</v>
      </c>
      <c r="BR321" s="173">
        <f t="shared" si="284"/>
        <v>0</v>
      </c>
      <c r="BS321" s="173">
        <f t="shared" si="285"/>
        <v>0</v>
      </c>
      <c r="BT321" s="173">
        <f t="shared" si="286"/>
        <v>0</v>
      </c>
      <c r="BU321" s="173">
        <f t="shared" si="287"/>
        <v>0</v>
      </c>
      <c r="BV321" s="173">
        <f t="shared" si="288"/>
        <v>0</v>
      </c>
      <c r="BW321" s="173">
        <f t="shared" si="289"/>
        <v>0</v>
      </c>
      <c r="BX321" s="173">
        <f t="shared" si="290"/>
        <v>0</v>
      </c>
      <c r="BY321" s="173">
        <f t="shared" si="291"/>
        <v>0</v>
      </c>
      <c r="BZ321" s="173">
        <f t="shared" si="292"/>
        <v>0</v>
      </c>
      <c r="CA321" s="173">
        <f t="shared" si="293"/>
        <v>0</v>
      </c>
    </row>
    <row r="322" spans="69:79">
      <c r="BQ322" s="81" t="s">
        <v>75</v>
      </c>
      <c r="BR322" s="173">
        <f t="shared" si="284"/>
        <v>0</v>
      </c>
      <c r="BS322" s="173">
        <f t="shared" si="285"/>
        <v>0</v>
      </c>
      <c r="BT322" s="173">
        <f t="shared" si="286"/>
        <v>0</v>
      </c>
      <c r="BU322" s="173">
        <f t="shared" si="287"/>
        <v>0</v>
      </c>
      <c r="BV322" s="173">
        <f t="shared" si="288"/>
        <v>0</v>
      </c>
      <c r="BW322" s="173">
        <f t="shared" si="289"/>
        <v>0</v>
      </c>
      <c r="BX322" s="173">
        <f t="shared" si="290"/>
        <v>0</v>
      </c>
      <c r="BY322" s="173">
        <f t="shared" si="291"/>
        <v>0</v>
      </c>
      <c r="BZ322" s="173">
        <f t="shared" si="292"/>
        <v>0</v>
      </c>
      <c r="CA322" s="173">
        <f t="shared" si="293"/>
        <v>0</v>
      </c>
    </row>
    <row r="323" spans="69:79">
      <c r="BQ323" s="81" t="s">
        <v>41</v>
      </c>
      <c r="BR323" s="173">
        <f t="shared" si="284"/>
        <v>0</v>
      </c>
      <c r="BS323" s="173">
        <f t="shared" si="285"/>
        <v>0</v>
      </c>
      <c r="BT323" s="173">
        <f t="shared" si="286"/>
        <v>0</v>
      </c>
      <c r="BU323" s="173">
        <f t="shared" si="287"/>
        <v>0</v>
      </c>
      <c r="BV323" s="173">
        <f t="shared" si="288"/>
        <v>0</v>
      </c>
      <c r="BW323" s="173">
        <f t="shared" si="289"/>
        <v>0</v>
      </c>
      <c r="BX323" s="173">
        <f t="shared" si="290"/>
        <v>0</v>
      </c>
      <c r="BY323" s="173">
        <f t="shared" si="291"/>
        <v>0</v>
      </c>
      <c r="BZ323" s="173">
        <f t="shared" si="292"/>
        <v>0</v>
      </c>
      <c r="CA323" s="173">
        <f t="shared" si="293"/>
        <v>0</v>
      </c>
    </row>
    <row r="324" spans="69:79">
      <c r="BQ324" s="81" t="s">
        <v>42</v>
      </c>
      <c r="BR324" s="173">
        <f t="shared" si="284"/>
        <v>0</v>
      </c>
      <c r="BS324" s="173">
        <f t="shared" si="285"/>
        <v>0</v>
      </c>
      <c r="BT324" s="173">
        <f t="shared" si="286"/>
        <v>0</v>
      </c>
      <c r="BU324" s="173">
        <f t="shared" si="287"/>
        <v>0</v>
      </c>
      <c r="BV324" s="173">
        <f t="shared" si="288"/>
        <v>0</v>
      </c>
      <c r="BW324" s="173">
        <f t="shared" si="289"/>
        <v>0</v>
      </c>
      <c r="BX324" s="173">
        <f t="shared" si="290"/>
        <v>0</v>
      </c>
      <c r="BY324" s="173">
        <f t="shared" si="291"/>
        <v>0</v>
      </c>
      <c r="BZ324" s="173">
        <f t="shared" si="292"/>
        <v>0</v>
      </c>
      <c r="CA324" s="173">
        <f t="shared" si="293"/>
        <v>0</v>
      </c>
    </row>
    <row r="325" spans="69:79">
      <c r="BQ325" s="81" t="s">
        <v>44</v>
      </c>
      <c r="BR325" s="173">
        <f t="shared" si="284"/>
        <v>0</v>
      </c>
      <c r="BS325" s="173">
        <f t="shared" si="285"/>
        <v>0</v>
      </c>
      <c r="BT325" s="173">
        <f t="shared" si="286"/>
        <v>0</v>
      </c>
      <c r="BU325" s="173">
        <f t="shared" si="287"/>
        <v>0</v>
      </c>
      <c r="BV325" s="173">
        <f t="shared" si="288"/>
        <v>0</v>
      </c>
      <c r="BW325" s="173">
        <f t="shared" si="289"/>
        <v>0</v>
      </c>
      <c r="BX325" s="173">
        <f t="shared" si="290"/>
        <v>0</v>
      </c>
      <c r="BY325" s="173">
        <f t="shared" si="291"/>
        <v>0</v>
      </c>
      <c r="BZ325" s="173">
        <f t="shared" si="292"/>
        <v>0</v>
      </c>
      <c r="CA325" s="173">
        <f t="shared" si="293"/>
        <v>0</v>
      </c>
    </row>
    <row r="326" spans="69:79">
      <c r="BQ326" s="81" t="s">
        <v>46</v>
      </c>
      <c r="BR326" s="173">
        <f t="shared" si="284"/>
        <v>55.723744692737441</v>
      </c>
      <c r="BS326" s="173">
        <f t="shared" si="285"/>
        <v>76.939872107262588</v>
      </c>
      <c r="BT326" s="173">
        <f t="shared" si="286"/>
        <v>93.777768009224587</v>
      </c>
      <c r="BU326" s="173">
        <f t="shared" si="287"/>
        <v>109.36839053443575</v>
      </c>
      <c r="BV326" s="173">
        <f t="shared" si="288"/>
        <v>111.66512673565889</v>
      </c>
      <c r="BW326" s="173">
        <f t="shared" si="289"/>
        <v>114.01009439710771</v>
      </c>
      <c r="BX326" s="173">
        <f t="shared" si="290"/>
        <v>116.40430637944695</v>
      </c>
      <c r="BY326" s="173">
        <f t="shared" si="291"/>
        <v>118.84879681341535</v>
      </c>
      <c r="BZ326" s="173">
        <f t="shared" si="292"/>
        <v>121.34462154649705</v>
      </c>
      <c r="CA326" s="173">
        <f t="shared" si="293"/>
        <v>123.89285859897346</v>
      </c>
    </row>
    <row r="327" spans="69:79">
      <c r="BQ327" s="81" t="s">
        <v>47</v>
      </c>
      <c r="BR327" s="173">
        <f t="shared" si="284"/>
        <v>0</v>
      </c>
      <c r="BS327" s="173">
        <f t="shared" si="285"/>
        <v>0</v>
      </c>
      <c r="BT327" s="173">
        <f t="shared" si="286"/>
        <v>0</v>
      </c>
      <c r="BU327" s="173">
        <f t="shared" si="287"/>
        <v>0</v>
      </c>
      <c r="BV327" s="173">
        <f t="shared" si="288"/>
        <v>0</v>
      </c>
      <c r="BW327" s="173">
        <f t="shared" si="289"/>
        <v>0</v>
      </c>
      <c r="BX327" s="173">
        <f t="shared" si="290"/>
        <v>0</v>
      </c>
      <c r="BY327" s="173">
        <f t="shared" si="291"/>
        <v>0</v>
      </c>
      <c r="BZ327" s="173">
        <f t="shared" si="292"/>
        <v>0</v>
      </c>
      <c r="CA327" s="173">
        <f t="shared" si="293"/>
        <v>0</v>
      </c>
    </row>
    <row r="328" spans="69:79">
      <c r="BQ328" s="81" t="s">
        <v>48</v>
      </c>
      <c r="BR328" s="173">
        <f t="shared" si="284"/>
        <v>0</v>
      </c>
      <c r="BS328" s="173">
        <f t="shared" si="285"/>
        <v>0</v>
      </c>
      <c r="BT328" s="173">
        <f t="shared" si="286"/>
        <v>0</v>
      </c>
      <c r="BU328" s="173">
        <f t="shared" si="287"/>
        <v>0</v>
      </c>
      <c r="BV328" s="173">
        <f t="shared" si="288"/>
        <v>0</v>
      </c>
      <c r="BW328" s="173">
        <f t="shared" si="289"/>
        <v>0</v>
      </c>
      <c r="BX328" s="173">
        <f t="shared" si="290"/>
        <v>0</v>
      </c>
      <c r="BY328" s="173">
        <f t="shared" si="291"/>
        <v>0</v>
      </c>
      <c r="BZ328" s="173">
        <f t="shared" si="292"/>
        <v>0</v>
      </c>
      <c r="CA328" s="173">
        <f t="shared" si="293"/>
        <v>0</v>
      </c>
    </row>
    <row r="329" spans="69:79">
      <c r="BQ329" s="81" t="s">
        <v>76</v>
      </c>
      <c r="BR329" s="173">
        <f t="shared" si="284"/>
        <v>0</v>
      </c>
      <c r="BS329" s="173">
        <f t="shared" si="285"/>
        <v>0</v>
      </c>
      <c r="BT329" s="173">
        <f t="shared" si="286"/>
        <v>0</v>
      </c>
      <c r="BU329" s="173">
        <f t="shared" si="287"/>
        <v>0</v>
      </c>
      <c r="BV329" s="173">
        <f t="shared" si="288"/>
        <v>0</v>
      </c>
      <c r="BW329" s="173">
        <f t="shared" si="289"/>
        <v>0</v>
      </c>
      <c r="BX329" s="173">
        <f t="shared" si="290"/>
        <v>0</v>
      </c>
      <c r="BY329" s="173">
        <f t="shared" si="291"/>
        <v>0</v>
      </c>
      <c r="BZ329" s="173">
        <f t="shared" si="292"/>
        <v>0</v>
      </c>
      <c r="CA329" s="173">
        <f t="shared" si="293"/>
        <v>0</v>
      </c>
    </row>
    <row r="330" spans="69:79">
      <c r="BQ330" s="81" t="s">
        <v>49</v>
      </c>
      <c r="BR330" s="173">
        <f t="shared" si="284"/>
        <v>0</v>
      </c>
      <c r="BS330" s="173">
        <f t="shared" si="285"/>
        <v>0</v>
      </c>
      <c r="BT330" s="173">
        <f t="shared" si="286"/>
        <v>0</v>
      </c>
      <c r="BU330" s="173">
        <f t="shared" si="287"/>
        <v>0</v>
      </c>
      <c r="BV330" s="173">
        <f t="shared" si="288"/>
        <v>0</v>
      </c>
      <c r="BW330" s="173">
        <f t="shared" si="289"/>
        <v>0</v>
      </c>
      <c r="BX330" s="173">
        <f t="shared" si="290"/>
        <v>0</v>
      </c>
      <c r="BY330" s="173">
        <f t="shared" si="291"/>
        <v>0</v>
      </c>
      <c r="BZ330" s="173">
        <f t="shared" si="292"/>
        <v>0</v>
      </c>
      <c r="CA330" s="173">
        <f t="shared" si="293"/>
        <v>0</v>
      </c>
    </row>
    <row r="331" spans="69:79">
      <c r="BQ331" s="81" t="s">
        <v>50</v>
      </c>
      <c r="BR331" s="173">
        <f t="shared" si="284"/>
        <v>0</v>
      </c>
      <c r="BS331" s="173">
        <f t="shared" si="285"/>
        <v>0</v>
      </c>
      <c r="BT331" s="173">
        <f t="shared" si="286"/>
        <v>0</v>
      </c>
      <c r="BU331" s="173">
        <f t="shared" si="287"/>
        <v>0</v>
      </c>
      <c r="BV331" s="173">
        <f t="shared" si="288"/>
        <v>0</v>
      </c>
      <c r="BW331" s="173">
        <f t="shared" si="289"/>
        <v>0</v>
      </c>
      <c r="BX331" s="173">
        <f t="shared" si="290"/>
        <v>0</v>
      </c>
      <c r="BY331" s="173">
        <f t="shared" si="291"/>
        <v>0</v>
      </c>
      <c r="BZ331" s="173">
        <f t="shared" si="292"/>
        <v>0</v>
      </c>
      <c r="CA331" s="173">
        <f t="shared" si="293"/>
        <v>0</v>
      </c>
    </row>
    <row r="332" spans="69:79">
      <c r="BQ332" s="81" t="s">
        <v>51</v>
      </c>
      <c r="BR332" s="173">
        <f t="shared" si="284"/>
        <v>0</v>
      </c>
      <c r="BS332" s="173">
        <f t="shared" si="285"/>
        <v>0</v>
      </c>
      <c r="BT332" s="173">
        <f t="shared" si="286"/>
        <v>0</v>
      </c>
      <c r="BU332" s="173">
        <f t="shared" si="287"/>
        <v>0</v>
      </c>
      <c r="BV332" s="173">
        <f t="shared" si="288"/>
        <v>0</v>
      </c>
      <c r="BW332" s="173">
        <f t="shared" si="289"/>
        <v>0</v>
      </c>
      <c r="BX332" s="173">
        <f t="shared" si="290"/>
        <v>0</v>
      </c>
      <c r="BY332" s="173">
        <f t="shared" si="291"/>
        <v>0</v>
      </c>
      <c r="BZ332" s="173">
        <f t="shared" si="292"/>
        <v>0</v>
      </c>
      <c r="CA332" s="173">
        <f t="shared" si="293"/>
        <v>0</v>
      </c>
    </row>
    <row r="333" spans="69:79">
      <c r="BQ333" s="81" t="s">
        <v>77</v>
      </c>
      <c r="BR333" s="173">
        <f t="shared" si="284"/>
        <v>0</v>
      </c>
      <c r="BS333" s="173">
        <f t="shared" si="285"/>
        <v>0</v>
      </c>
      <c r="BT333" s="173">
        <f t="shared" si="286"/>
        <v>0</v>
      </c>
      <c r="BU333" s="173">
        <f t="shared" si="287"/>
        <v>0</v>
      </c>
      <c r="BV333" s="173">
        <f t="shared" si="288"/>
        <v>0</v>
      </c>
      <c r="BW333" s="173">
        <f t="shared" si="289"/>
        <v>0</v>
      </c>
      <c r="BX333" s="173">
        <f t="shared" si="290"/>
        <v>0</v>
      </c>
      <c r="BY333" s="173">
        <f t="shared" si="291"/>
        <v>0</v>
      </c>
      <c r="BZ333" s="173">
        <f t="shared" si="292"/>
        <v>0</v>
      </c>
      <c r="CA333" s="173">
        <f t="shared" si="293"/>
        <v>0</v>
      </c>
    </row>
    <row r="334" spans="69:79">
      <c r="BQ334" s="81" t="s">
        <v>52</v>
      </c>
      <c r="BR334" s="173">
        <f t="shared" si="284"/>
        <v>0</v>
      </c>
      <c r="BS334" s="173">
        <f t="shared" si="285"/>
        <v>0</v>
      </c>
      <c r="BT334" s="173">
        <f t="shared" si="286"/>
        <v>0</v>
      </c>
      <c r="BU334" s="173">
        <f t="shared" si="287"/>
        <v>0</v>
      </c>
      <c r="BV334" s="173">
        <f t="shared" si="288"/>
        <v>0</v>
      </c>
      <c r="BW334" s="173">
        <f t="shared" si="289"/>
        <v>0</v>
      </c>
      <c r="BX334" s="173">
        <f t="shared" si="290"/>
        <v>0</v>
      </c>
      <c r="BY334" s="173">
        <f t="shared" si="291"/>
        <v>0</v>
      </c>
      <c r="BZ334" s="173">
        <f t="shared" si="292"/>
        <v>0</v>
      </c>
      <c r="CA334" s="173">
        <f t="shared" si="293"/>
        <v>0</v>
      </c>
    </row>
    <row r="335" spans="69:79">
      <c r="BQ335" s="81" t="s">
        <v>78</v>
      </c>
      <c r="BR335" s="173">
        <f t="shared" si="284"/>
        <v>0</v>
      </c>
      <c r="BS335" s="173">
        <f t="shared" si="285"/>
        <v>0</v>
      </c>
      <c r="BT335" s="173">
        <f t="shared" si="286"/>
        <v>0</v>
      </c>
      <c r="BU335" s="173">
        <f t="shared" si="287"/>
        <v>0</v>
      </c>
      <c r="BV335" s="173">
        <f t="shared" si="288"/>
        <v>0</v>
      </c>
      <c r="BW335" s="173">
        <f t="shared" si="289"/>
        <v>0</v>
      </c>
      <c r="BX335" s="173">
        <f t="shared" si="290"/>
        <v>0</v>
      </c>
      <c r="BY335" s="173">
        <f t="shared" si="291"/>
        <v>0</v>
      </c>
      <c r="BZ335" s="173">
        <f t="shared" si="292"/>
        <v>0</v>
      </c>
      <c r="CA335" s="173">
        <f t="shared" si="293"/>
        <v>0</v>
      </c>
    </row>
    <row r="336" spans="69:79">
      <c r="BQ336" s="81" t="s">
        <v>79</v>
      </c>
      <c r="BR336" s="173">
        <f t="shared" si="284"/>
        <v>0</v>
      </c>
      <c r="BS336" s="173">
        <f t="shared" si="285"/>
        <v>0</v>
      </c>
      <c r="BT336" s="173">
        <f t="shared" si="286"/>
        <v>0</v>
      </c>
      <c r="BU336" s="173">
        <f t="shared" si="287"/>
        <v>0</v>
      </c>
      <c r="BV336" s="173">
        <f t="shared" si="288"/>
        <v>0</v>
      </c>
      <c r="BW336" s="173">
        <f t="shared" si="289"/>
        <v>0</v>
      </c>
      <c r="BX336" s="173">
        <f t="shared" si="290"/>
        <v>0</v>
      </c>
      <c r="BY336" s="173">
        <f t="shared" si="291"/>
        <v>0</v>
      </c>
      <c r="BZ336" s="173">
        <f t="shared" si="292"/>
        <v>0</v>
      </c>
      <c r="CA336" s="173">
        <f t="shared" si="293"/>
        <v>0</v>
      </c>
    </row>
    <row r="337" spans="69:79">
      <c r="BQ337" s="81" t="s">
        <v>80</v>
      </c>
      <c r="BR337" s="173">
        <f t="shared" si="284"/>
        <v>0</v>
      </c>
      <c r="BS337" s="173">
        <f t="shared" si="285"/>
        <v>0</v>
      </c>
      <c r="BT337" s="173">
        <f t="shared" si="286"/>
        <v>0</v>
      </c>
      <c r="BU337" s="173">
        <f t="shared" si="287"/>
        <v>0</v>
      </c>
      <c r="BV337" s="173">
        <f t="shared" si="288"/>
        <v>0</v>
      </c>
      <c r="BW337" s="173">
        <f t="shared" si="289"/>
        <v>0</v>
      </c>
      <c r="BX337" s="173">
        <f t="shared" si="290"/>
        <v>0</v>
      </c>
      <c r="BY337" s="173">
        <f t="shared" si="291"/>
        <v>0</v>
      </c>
      <c r="BZ337" s="173">
        <f t="shared" si="292"/>
        <v>0</v>
      </c>
      <c r="CA337" s="173">
        <f t="shared" si="293"/>
        <v>0</v>
      </c>
    </row>
    <row r="338" spans="69:79">
      <c r="BQ338" s="81" t="s">
        <v>53</v>
      </c>
      <c r="BR338" s="173">
        <f t="shared" si="284"/>
        <v>0</v>
      </c>
      <c r="BS338" s="173">
        <f t="shared" si="285"/>
        <v>0</v>
      </c>
      <c r="BT338" s="173">
        <f t="shared" si="286"/>
        <v>0</v>
      </c>
      <c r="BU338" s="173">
        <f t="shared" si="287"/>
        <v>0</v>
      </c>
      <c r="BV338" s="173">
        <f t="shared" si="288"/>
        <v>0</v>
      </c>
      <c r="BW338" s="173">
        <f t="shared" si="289"/>
        <v>0</v>
      </c>
      <c r="BX338" s="173">
        <f t="shared" si="290"/>
        <v>0</v>
      </c>
      <c r="BY338" s="173">
        <f t="shared" si="291"/>
        <v>0</v>
      </c>
      <c r="BZ338" s="173">
        <f t="shared" si="292"/>
        <v>0</v>
      </c>
      <c r="CA338" s="173">
        <f t="shared" si="293"/>
        <v>0</v>
      </c>
    </row>
    <row r="339" spans="69:79">
      <c r="BQ339" s="81" t="s">
        <v>81</v>
      </c>
      <c r="BR339" s="173">
        <f t="shared" si="284"/>
        <v>0</v>
      </c>
      <c r="BS339" s="173">
        <f t="shared" si="285"/>
        <v>0</v>
      </c>
      <c r="BT339" s="173">
        <f t="shared" si="286"/>
        <v>0</v>
      </c>
      <c r="BU339" s="173">
        <f t="shared" si="287"/>
        <v>0</v>
      </c>
      <c r="BV339" s="173">
        <f t="shared" si="288"/>
        <v>0</v>
      </c>
      <c r="BW339" s="173">
        <f t="shared" si="289"/>
        <v>0</v>
      </c>
      <c r="BX339" s="173">
        <f t="shared" si="290"/>
        <v>0</v>
      </c>
      <c r="BY339" s="173">
        <f t="shared" si="291"/>
        <v>0</v>
      </c>
      <c r="BZ339" s="173">
        <f t="shared" si="292"/>
        <v>0</v>
      </c>
      <c r="CA339" s="173">
        <f t="shared" si="293"/>
        <v>0</v>
      </c>
    </row>
    <row r="340" spans="69:79">
      <c r="BQ340" s="81" t="s">
        <v>55</v>
      </c>
      <c r="BR340" s="173">
        <f t="shared" si="284"/>
        <v>0</v>
      </c>
      <c r="BS340" s="173">
        <f t="shared" si="285"/>
        <v>0</v>
      </c>
      <c r="BT340" s="173">
        <f t="shared" si="286"/>
        <v>0</v>
      </c>
      <c r="BU340" s="173">
        <f t="shared" si="287"/>
        <v>0</v>
      </c>
      <c r="BV340" s="173">
        <f t="shared" si="288"/>
        <v>0</v>
      </c>
      <c r="BW340" s="173">
        <f t="shared" si="289"/>
        <v>0</v>
      </c>
      <c r="BX340" s="173">
        <f t="shared" si="290"/>
        <v>0</v>
      </c>
      <c r="BY340" s="173">
        <f t="shared" si="291"/>
        <v>0</v>
      </c>
      <c r="BZ340" s="173">
        <f t="shared" si="292"/>
        <v>0</v>
      </c>
      <c r="CA340" s="173">
        <f t="shared" si="293"/>
        <v>0</v>
      </c>
    </row>
    <row r="341" spans="69:79">
      <c r="BQ341" s="81" t="s">
        <v>56</v>
      </c>
      <c r="BR341" s="173">
        <f t="shared" si="284"/>
        <v>0</v>
      </c>
      <c r="BS341" s="173">
        <f t="shared" si="285"/>
        <v>0</v>
      </c>
      <c r="BT341" s="173">
        <f t="shared" si="286"/>
        <v>0</v>
      </c>
      <c r="BU341" s="173">
        <f t="shared" si="287"/>
        <v>0</v>
      </c>
      <c r="BV341" s="173">
        <f t="shared" si="288"/>
        <v>0</v>
      </c>
      <c r="BW341" s="173">
        <f t="shared" si="289"/>
        <v>0</v>
      </c>
      <c r="BX341" s="173">
        <f t="shared" si="290"/>
        <v>0</v>
      </c>
      <c r="BY341" s="173">
        <f t="shared" si="291"/>
        <v>0</v>
      </c>
      <c r="BZ341" s="173">
        <f t="shared" si="292"/>
        <v>0</v>
      </c>
      <c r="CA341" s="173">
        <f t="shared" si="293"/>
        <v>0</v>
      </c>
    </row>
    <row r="342" spans="69:79">
      <c r="BQ342" s="81" t="s">
        <v>58</v>
      </c>
      <c r="BR342" s="173">
        <f t="shared" si="284"/>
        <v>0</v>
      </c>
      <c r="BS342" s="173">
        <f t="shared" si="285"/>
        <v>0</v>
      </c>
      <c r="BT342" s="173">
        <f t="shared" si="286"/>
        <v>0</v>
      </c>
      <c r="BU342" s="173">
        <f t="shared" si="287"/>
        <v>0</v>
      </c>
      <c r="BV342" s="173">
        <f t="shared" si="288"/>
        <v>0</v>
      </c>
      <c r="BW342" s="173">
        <f t="shared" si="289"/>
        <v>0</v>
      </c>
      <c r="BX342" s="173">
        <f t="shared" si="290"/>
        <v>0</v>
      </c>
      <c r="BY342" s="173">
        <f t="shared" si="291"/>
        <v>0</v>
      </c>
      <c r="BZ342" s="173">
        <f t="shared" si="292"/>
        <v>0</v>
      </c>
      <c r="CA342" s="173">
        <f t="shared" si="293"/>
        <v>0</v>
      </c>
    </row>
    <row r="343" spans="69:79">
      <c r="BQ343" s="81" t="s">
        <v>60</v>
      </c>
      <c r="BR343" s="173">
        <f t="shared" si="284"/>
        <v>0</v>
      </c>
      <c r="BS343" s="173">
        <f t="shared" si="285"/>
        <v>0</v>
      </c>
      <c r="BT343" s="173">
        <f t="shared" si="286"/>
        <v>0</v>
      </c>
      <c r="BU343" s="173">
        <f t="shared" si="287"/>
        <v>0</v>
      </c>
      <c r="BV343" s="173">
        <f t="shared" si="288"/>
        <v>0</v>
      </c>
      <c r="BW343" s="173">
        <f t="shared" si="289"/>
        <v>0</v>
      </c>
      <c r="BX343" s="173">
        <f t="shared" si="290"/>
        <v>0</v>
      </c>
      <c r="BY343" s="173">
        <f t="shared" si="291"/>
        <v>0</v>
      </c>
      <c r="BZ343" s="173">
        <f t="shared" si="292"/>
        <v>0</v>
      </c>
      <c r="CA343" s="173">
        <f t="shared" si="293"/>
        <v>0</v>
      </c>
    </row>
    <row r="344" spans="69:79">
      <c r="BQ344" s="81" t="s">
        <v>82</v>
      </c>
      <c r="BR344" s="173">
        <f t="shared" si="284"/>
        <v>0</v>
      </c>
      <c r="BS344" s="173">
        <f t="shared" si="285"/>
        <v>0</v>
      </c>
      <c r="BT344" s="173">
        <f t="shared" si="286"/>
        <v>0</v>
      </c>
      <c r="BU344" s="173">
        <f t="shared" si="287"/>
        <v>0</v>
      </c>
      <c r="BV344" s="173">
        <f t="shared" si="288"/>
        <v>0</v>
      </c>
      <c r="BW344" s="173">
        <f t="shared" si="289"/>
        <v>0</v>
      </c>
      <c r="BX344" s="173">
        <f t="shared" si="290"/>
        <v>0</v>
      </c>
      <c r="BY344" s="173">
        <f t="shared" si="291"/>
        <v>0</v>
      </c>
      <c r="BZ344" s="173">
        <f t="shared" si="292"/>
        <v>0</v>
      </c>
      <c r="CA344" s="173">
        <f t="shared" si="293"/>
        <v>0</v>
      </c>
    </row>
    <row r="345" spans="69:79">
      <c r="BQ345" s="81" t="s">
        <v>83</v>
      </c>
      <c r="BR345" s="173">
        <f t="shared" si="284"/>
        <v>0</v>
      </c>
      <c r="BS345" s="173">
        <f t="shared" si="285"/>
        <v>0</v>
      </c>
      <c r="BT345" s="173">
        <f t="shared" si="286"/>
        <v>0</v>
      </c>
      <c r="BU345" s="173">
        <f t="shared" si="287"/>
        <v>0</v>
      </c>
      <c r="BV345" s="173">
        <f t="shared" si="288"/>
        <v>0</v>
      </c>
      <c r="BW345" s="173">
        <f t="shared" si="289"/>
        <v>0</v>
      </c>
      <c r="BX345" s="173">
        <f t="shared" si="290"/>
        <v>0</v>
      </c>
      <c r="BY345" s="173">
        <f t="shared" si="291"/>
        <v>0</v>
      </c>
      <c r="BZ345" s="173">
        <f t="shared" si="292"/>
        <v>0</v>
      </c>
      <c r="CA345" s="173">
        <f t="shared" si="293"/>
        <v>0</v>
      </c>
    </row>
    <row r="346" spans="69:79">
      <c r="BQ346" s="81" t="s">
        <v>84</v>
      </c>
      <c r="BR346" s="173">
        <f t="shared" si="284"/>
        <v>0</v>
      </c>
      <c r="BS346" s="173">
        <f t="shared" si="285"/>
        <v>0</v>
      </c>
      <c r="BT346" s="173">
        <f t="shared" si="286"/>
        <v>0</v>
      </c>
      <c r="BU346" s="173">
        <f t="shared" si="287"/>
        <v>0</v>
      </c>
      <c r="BV346" s="173">
        <f t="shared" si="288"/>
        <v>0</v>
      </c>
      <c r="BW346" s="173">
        <f t="shared" si="289"/>
        <v>0</v>
      </c>
      <c r="BX346" s="173">
        <f t="shared" si="290"/>
        <v>0</v>
      </c>
      <c r="BY346" s="173">
        <f t="shared" si="291"/>
        <v>0</v>
      </c>
      <c r="BZ346" s="173">
        <f t="shared" si="292"/>
        <v>0</v>
      </c>
      <c r="CA346" s="173">
        <f t="shared" si="293"/>
        <v>0</v>
      </c>
    </row>
    <row r="347" spans="69:79">
      <c r="BQ347" s="81" t="s">
        <v>62</v>
      </c>
      <c r="BR347" s="173">
        <f t="shared" si="284"/>
        <v>0</v>
      </c>
      <c r="BS347" s="173">
        <f t="shared" si="285"/>
        <v>0</v>
      </c>
      <c r="BT347" s="173">
        <f t="shared" si="286"/>
        <v>0</v>
      </c>
      <c r="BU347" s="173">
        <f t="shared" si="287"/>
        <v>0</v>
      </c>
      <c r="BV347" s="173">
        <f t="shared" si="288"/>
        <v>0</v>
      </c>
      <c r="BW347" s="173">
        <f t="shared" si="289"/>
        <v>0</v>
      </c>
      <c r="BX347" s="173">
        <f t="shared" si="290"/>
        <v>0</v>
      </c>
      <c r="BY347" s="173">
        <f t="shared" si="291"/>
        <v>0</v>
      </c>
      <c r="BZ347" s="173">
        <f t="shared" si="292"/>
        <v>0</v>
      </c>
      <c r="CA347" s="173">
        <f t="shared" si="293"/>
        <v>0</v>
      </c>
    </row>
    <row r="348" spans="69:79">
      <c r="BQ348" s="81" t="s">
        <v>63</v>
      </c>
      <c r="BR348" s="173">
        <f t="shared" si="284"/>
        <v>0</v>
      </c>
      <c r="BS348" s="173">
        <f t="shared" si="285"/>
        <v>0</v>
      </c>
      <c r="BT348" s="173">
        <f t="shared" si="286"/>
        <v>0</v>
      </c>
      <c r="BU348" s="173">
        <f t="shared" si="287"/>
        <v>0</v>
      </c>
      <c r="BV348" s="173">
        <f t="shared" si="288"/>
        <v>0</v>
      </c>
      <c r="BW348" s="173">
        <f t="shared" si="289"/>
        <v>0</v>
      </c>
      <c r="BX348" s="173">
        <f t="shared" si="290"/>
        <v>0</v>
      </c>
      <c r="BY348" s="173">
        <f t="shared" si="291"/>
        <v>0</v>
      </c>
      <c r="BZ348" s="173">
        <f t="shared" si="292"/>
        <v>0</v>
      </c>
      <c r="CA348" s="173">
        <f t="shared" si="293"/>
        <v>0</v>
      </c>
    </row>
    <row r="349" spans="69:79">
      <c r="BQ349" s="81" t="s">
        <v>64</v>
      </c>
      <c r="BR349" s="173">
        <f t="shared" si="284"/>
        <v>0</v>
      </c>
      <c r="BS349" s="173">
        <f t="shared" si="285"/>
        <v>0</v>
      </c>
      <c r="BT349" s="173">
        <f t="shared" si="286"/>
        <v>0</v>
      </c>
      <c r="BU349" s="173">
        <f t="shared" si="287"/>
        <v>0</v>
      </c>
      <c r="BV349" s="173">
        <f t="shared" si="288"/>
        <v>0</v>
      </c>
      <c r="BW349" s="173">
        <f t="shared" si="289"/>
        <v>0</v>
      </c>
      <c r="BX349" s="173">
        <f t="shared" si="290"/>
        <v>0</v>
      </c>
      <c r="BY349" s="173">
        <f t="shared" si="291"/>
        <v>0</v>
      </c>
      <c r="BZ349" s="173">
        <f t="shared" si="292"/>
        <v>0</v>
      </c>
      <c r="CA349" s="173">
        <f t="shared" si="293"/>
        <v>0</v>
      </c>
    </row>
    <row r="350" spans="69:79">
      <c r="BQ350" s="81" t="s">
        <v>65</v>
      </c>
      <c r="BR350" s="173">
        <f t="shared" si="284"/>
        <v>0</v>
      </c>
      <c r="BS350" s="173">
        <f t="shared" si="285"/>
        <v>0</v>
      </c>
      <c r="BT350" s="173">
        <f t="shared" si="286"/>
        <v>0</v>
      </c>
      <c r="BU350" s="173">
        <f t="shared" si="287"/>
        <v>0</v>
      </c>
      <c r="BV350" s="173">
        <f t="shared" si="288"/>
        <v>0</v>
      </c>
      <c r="BW350" s="173">
        <f t="shared" si="289"/>
        <v>0</v>
      </c>
      <c r="BX350" s="173">
        <f t="shared" si="290"/>
        <v>0</v>
      </c>
      <c r="BY350" s="173">
        <f t="shared" si="291"/>
        <v>0</v>
      </c>
      <c r="BZ350" s="173">
        <f t="shared" si="292"/>
        <v>0</v>
      </c>
      <c r="CA350" s="173">
        <f t="shared" si="293"/>
        <v>0</v>
      </c>
    </row>
    <row r="351" spans="69:79">
      <c r="BQ351" s="81" t="s">
        <v>66</v>
      </c>
      <c r="BR351" s="173">
        <f t="shared" si="284"/>
        <v>0</v>
      </c>
      <c r="BS351" s="173">
        <f t="shared" si="285"/>
        <v>0</v>
      </c>
      <c r="BT351" s="173">
        <f t="shared" si="286"/>
        <v>0</v>
      </c>
      <c r="BU351" s="173">
        <f t="shared" si="287"/>
        <v>0</v>
      </c>
      <c r="BV351" s="173">
        <f t="shared" si="288"/>
        <v>0</v>
      </c>
      <c r="BW351" s="173">
        <f t="shared" si="289"/>
        <v>0</v>
      </c>
      <c r="BX351" s="173">
        <f t="shared" si="290"/>
        <v>0</v>
      </c>
      <c r="BY351" s="173">
        <f t="shared" si="291"/>
        <v>0</v>
      </c>
      <c r="BZ351" s="173">
        <f t="shared" si="292"/>
        <v>0</v>
      </c>
      <c r="CA351" s="173">
        <f t="shared" si="293"/>
        <v>0</v>
      </c>
    </row>
    <row r="352" spans="69:79">
      <c r="BQ352" s="81" t="s">
        <v>85</v>
      </c>
      <c r="BR352" s="173">
        <f t="shared" si="284"/>
        <v>0</v>
      </c>
      <c r="BS352" s="173">
        <f t="shared" si="285"/>
        <v>0</v>
      </c>
      <c r="BT352" s="173">
        <f t="shared" si="286"/>
        <v>0</v>
      </c>
      <c r="BU352" s="173">
        <f t="shared" si="287"/>
        <v>0</v>
      </c>
      <c r="BV352" s="173">
        <f t="shared" si="288"/>
        <v>0</v>
      </c>
      <c r="BW352" s="173">
        <f t="shared" si="289"/>
        <v>0</v>
      </c>
      <c r="BX352" s="173">
        <f t="shared" si="290"/>
        <v>0</v>
      </c>
      <c r="BY352" s="173">
        <f t="shared" si="291"/>
        <v>0</v>
      </c>
      <c r="BZ352" s="173">
        <f t="shared" si="292"/>
        <v>0</v>
      </c>
      <c r="CA352" s="173">
        <f t="shared" si="293"/>
        <v>0</v>
      </c>
    </row>
    <row r="353" spans="69:79">
      <c r="BQ353" s="81" t="s">
        <v>68</v>
      </c>
      <c r="BR353" s="173">
        <f t="shared" si="284"/>
        <v>0</v>
      </c>
      <c r="BS353" s="173">
        <f t="shared" si="285"/>
        <v>0</v>
      </c>
      <c r="BT353" s="173">
        <f t="shared" si="286"/>
        <v>0</v>
      </c>
      <c r="BU353" s="173">
        <f t="shared" si="287"/>
        <v>0</v>
      </c>
      <c r="BV353" s="173">
        <f t="shared" si="288"/>
        <v>0</v>
      </c>
      <c r="BW353" s="173">
        <f t="shared" si="289"/>
        <v>0</v>
      </c>
      <c r="BX353" s="173">
        <f t="shared" si="290"/>
        <v>0</v>
      </c>
      <c r="BY353" s="173">
        <f t="shared" si="291"/>
        <v>0</v>
      </c>
      <c r="BZ353" s="173">
        <f t="shared" si="292"/>
        <v>0</v>
      </c>
      <c r="CA353" s="173">
        <f t="shared" si="293"/>
        <v>0</v>
      </c>
    </row>
  </sheetData>
  <mergeCells count="5">
    <mergeCell ref="Q3:Z3"/>
    <mergeCell ref="AT3:BC3"/>
    <mergeCell ref="BR3:CA3"/>
    <mergeCell ref="BM3:BN3"/>
    <mergeCell ref="CC3:CM3"/>
  </mergeCells>
  <pageMargins left="0.7" right="0.7" top="0.75" bottom="0.75" header="0.3" footer="0.3"/>
  <pageSetup scale="1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0CECF-AFC6-49B4-B10D-D6244EE8C852}">
  <sheetPr>
    <pageSetUpPr fitToPage="1"/>
  </sheetPr>
  <dimension ref="B2:K33"/>
  <sheetViews>
    <sheetView workbookViewId="0">
      <selection activeCell="B3" sqref="B3"/>
    </sheetView>
  </sheetViews>
  <sheetFormatPr defaultColWidth="9.140625" defaultRowHeight="15"/>
  <cols>
    <col min="1" max="3" width="9.140625" style="155"/>
    <col min="4" max="4" width="14.5703125" style="155" customWidth="1"/>
    <col min="5" max="5" width="12.7109375" style="155" bestFit="1" customWidth="1"/>
    <col min="6" max="6" width="11.5703125" style="155" customWidth="1"/>
    <col min="7" max="7" width="12.7109375" style="155" customWidth="1"/>
    <col min="8" max="8" width="11.140625" style="155" customWidth="1"/>
    <col min="9" max="9" width="11" style="155" customWidth="1"/>
    <col min="10" max="10" width="7.42578125" style="155" customWidth="1"/>
    <col min="11" max="11" width="14.28515625" style="155" customWidth="1"/>
    <col min="12" max="16384" width="9.140625" style="155"/>
  </cols>
  <sheetData>
    <row r="2" spans="2:11" ht="18.75">
      <c r="B2" s="230" t="s">
        <v>1738</v>
      </c>
    </row>
    <row r="5" spans="2:11">
      <c r="B5" s="155" t="s">
        <v>890</v>
      </c>
    </row>
    <row r="6" spans="2:11">
      <c r="B6" s="155" t="s">
        <v>891</v>
      </c>
      <c r="C6" s="155" t="s">
        <v>96</v>
      </c>
      <c r="D6" s="155" t="s">
        <v>892</v>
      </c>
      <c r="E6" s="155" t="s">
        <v>893</v>
      </c>
      <c r="F6" s="155" t="s">
        <v>894</v>
      </c>
      <c r="G6" s="155" t="s">
        <v>895</v>
      </c>
      <c r="H6" s="155" t="s">
        <v>896</v>
      </c>
      <c r="I6" s="155" t="s">
        <v>897</v>
      </c>
      <c r="K6" s="155" t="s">
        <v>898</v>
      </c>
    </row>
    <row r="7" spans="2:11">
      <c r="B7" s="155">
        <v>35</v>
      </c>
      <c r="C7" s="155">
        <v>100</v>
      </c>
      <c r="D7" s="155" t="s">
        <v>899</v>
      </c>
      <c r="E7" s="155">
        <v>1</v>
      </c>
      <c r="F7" s="155">
        <v>1</v>
      </c>
      <c r="G7" s="155">
        <v>1</v>
      </c>
      <c r="H7" s="155">
        <v>1</v>
      </c>
      <c r="I7" s="155">
        <v>1</v>
      </c>
      <c r="K7" s="243">
        <f>B7*(C7*1000)</f>
        <v>3500000</v>
      </c>
    </row>
    <row r="8" spans="2:11">
      <c r="B8" s="155">
        <v>50</v>
      </c>
      <c r="C8" s="155">
        <v>30</v>
      </c>
      <c r="D8" s="155" t="s">
        <v>900</v>
      </c>
      <c r="E8" s="155">
        <v>1</v>
      </c>
      <c r="F8" s="155">
        <v>0</v>
      </c>
      <c r="G8" s="155">
        <v>0</v>
      </c>
      <c r="H8" s="155">
        <v>0</v>
      </c>
      <c r="I8" s="155">
        <v>0</v>
      </c>
      <c r="K8" s="243">
        <f>B8*(C8*1000)</f>
        <v>1500000</v>
      </c>
    </row>
    <row r="9" spans="2:11">
      <c r="B9" s="155">
        <v>25</v>
      </c>
      <c r="C9" s="155">
        <v>20</v>
      </c>
      <c r="D9" s="155" t="s">
        <v>901</v>
      </c>
      <c r="E9" s="155">
        <v>1</v>
      </c>
      <c r="F9" s="155">
        <v>0</v>
      </c>
      <c r="G9" s="155">
        <v>0</v>
      </c>
      <c r="H9" s="155">
        <v>0</v>
      </c>
      <c r="I9" s="155">
        <v>0</v>
      </c>
      <c r="K9" s="243">
        <f>B9*(C9*1000)</f>
        <v>500000</v>
      </c>
    </row>
    <row r="10" spans="2:11">
      <c r="B10" s="155">
        <v>20</v>
      </c>
      <c r="C10" s="155">
        <v>10</v>
      </c>
      <c r="D10" s="155" t="s">
        <v>902</v>
      </c>
      <c r="E10" s="155">
        <v>1</v>
      </c>
      <c r="F10" s="155">
        <v>0</v>
      </c>
      <c r="G10" s="155">
        <v>0</v>
      </c>
      <c r="H10" s="155">
        <v>0</v>
      </c>
      <c r="I10" s="155">
        <v>0</v>
      </c>
      <c r="K10" s="243">
        <f>B10*(C10*1000)</f>
        <v>200000</v>
      </c>
    </row>
    <row r="11" spans="2:11">
      <c r="B11" s="155">
        <v>10</v>
      </c>
      <c r="C11" s="155">
        <v>5</v>
      </c>
      <c r="D11" s="155" t="s">
        <v>903</v>
      </c>
      <c r="E11" s="155">
        <v>1</v>
      </c>
      <c r="F11" s="155">
        <v>0</v>
      </c>
      <c r="G11" s="155">
        <v>0</v>
      </c>
      <c r="H11" s="155">
        <v>0</v>
      </c>
      <c r="I11" s="155">
        <v>0</v>
      </c>
      <c r="K11" s="243">
        <f>B11*(C11*1000)</f>
        <v>50000</v>
      </c>
    </row>
    <row r="12" spans="2:11">
      <c r="J12" s="100" t="s">
        <v>874</v>
      </c>
      <c r="K12" s="243">
        <f>SUM(K7:K11)</f>
        <v>5750000</v>
      </c>
    </row>
    <row r="15" spans="2:11">
      <c r="B15" s="155" t="s">
        <v>905</v>
      </c>
    </row>
    <row r="16" spans="2:11">
      <c r="B16" s="155" t="s">
        <v>891</v>
      </c>
      <c r="C16" s="155" t="s">
        <v>96</v>
      </c>
      <c r="D16" s="155" t="s">
        <v>892</v>
      </c>
      <c r="E16" s="155" t="s">
        <v>893</v>
      </c>
      <c r="F16" s="155" t="s">
        <v>894</v>
      </c>
      <c r="G16" s="155" t="s">
        <v>895</v>
      </c>
      <c r="H16" s="155" t="s">
        <v>896</v>
      </c>
      <c r="I16" s="155" t="s">
        <v>897</v>
      </c>
      <c r="K16" s="155" t="s">
        <v>904</v>
      </c>
    </row>
    <row r="17" spans="2:11">
      <c r="B17" s="155">
        <f>B$7</f>
        <v>35</v>
      </c>
      <c r="C17" s="155">
        <f>C$7</f>
        <v>100</v>
      </c>
      <c r="D17" s="155" t="s">
        <v>899</v>
      </c>
      <c r="E17" s="243">
        <f t="shared" ref="E17:I21" si="0">$B7*($C7*1000)</f>
        <v>3500000</v>
      </c>
      <c r="F17" s="243">
        <f t="shared" si="0"/>
        <v>3500000</v>
      </c>
      <c r="G17" s="243">
        <f t="shared" si="0"/>
        <v>3500000</v>
      </c>
      <c r="H17" s="243">
        <f t="shared" si="0"/>
        <v>3500000</v>
      </c>
      <c r="I17" s="243">
        <f t="shared" si="0"/>
        <v>3500000</v>
      </c>
      <c r="J17" s="243"/>
      <c r="K17" s="243">
        <f>SUM(E17:J17)</f>
        <v>17500000</v>
      </c>
    </row>
    <row r="18" spans="2:11">
      <c r="B18" s="155">
        <f>B$8</f>
        <v>50</v>
      </c>
      <c r="C18" s="155">
        <f>C$8</f>
        <v>30</v>
      </c>
      <c r="D18" s="155" t="s">
        <v>900</v>
      </c>
      <c r="E18" s="243">
        <f t="shared" si="0"/>
        <v>1500000</v>
      </c>
      <c r="F18" s="243">
        <f t="shared" si="0"/>
        <v>1500000</v>
      </c>
      <c r="G18" s="243">
        <f t="shared" si="0"/>
        <v>1500000</v>
      </c>
      <c r="H18" s="243">
        <f t="shared" si="0"/>
        <v>1500000</v>
      </c>
      <c r="I18" s="243">
        <f t="shared" si="0"/>
        <v>1500000</v>
      </c>
      <c r="J18" s="243"/>
      <c r="K18" s="243">
        <f t="shared" ref="K18:K21" si="1">SUM(E18:J18)</f>
        <v>7500000</v>
      </c>
    </row>
    <row r="19" spans="2:11">
      <c r="B19" s="155">
        <f>B$9</f>
        <v>25</v>
      </c>
      <c r="C19" s="155">
        <f>C$9</f>
        <v>20</v>
      </c>
      <c r="D19" s="155" t="s">
        <v>901</v>
      </c>
      <c r="E19" s="243">
        <f t="shared" si="0"/>
        <v>500000</v>
      </c>
      <c r="F19" s="243">
        <f t="shared" si="0"/>
        <v>500000</v>
      </c>
      <c r="G19" s="243">
        <f t="shared" si="0"/>
        <v>500000</v>
      </c>
      <c r="H19" s="243">
        <f t="shared" si="0"/>
        <v>500000</v>
      </c>
      <c r="I19" s="243">
        <f t="shared" si="0"/>
        <v>500000</v>
      </c>
      <c r="J19" s="243"/>
      <c r="K19" s="243">
        <f t="shared" si="1"/>
        <v>2500000</v>
      </c>
    </row>
    <row r="20" spans="2:11">
      <c r="B20" s="155">
        <f>B$10</f>
        <v>20</v>
      </c>
      <c r="C20" s="155">
        <f>C$10</f>
        <v>10</v>
      </c>
      <c r="D20" s="155" t="s">
        <v>902</v>
      </c>
      <c r="E20" s="243">
        <f t="shared" si="0"/>
        <v>200000</v>
      </c>
      <c r="F20" s="243">
        <f t="shared" si="0"/>
        <v>200000</v>
      </c>
      <c r="G20" s="243">
        <f t="shared" si="0"/>
        <v>200000</v>
      </c>
      <c r="H20" s="243">
        <f t="shared" si="0"/>
        <v>200000</v>
      </c>
      <c r="I20" s="243">
        <f t="shared" si="0"/>
        <v>200000</v>
      </c>
      <c r="J20" s="243"/>
      <c r="K20" s="243">
        <f t="shared" si="1"/>
        <v>1000000</v>
      </c>
    </row>
    <row r="21" spans="2:11">
      <c r="B21" s="155">
        <f>B$11</f>
        <v>10</v>
      </c>
      <c r="C21" s="155">
        <f>C$11</f>
        <v>5</v>
      </c>
      <c r="D21" s="155" t="s">
        <v>903</v>
      </c>
      <c r="E21" s="243">
        <f t="shared" si="0"/>
        <v>50000</v>
      </c>
      <c r="F21" s="243">
        <f t="shared" si="0"/>
        <v>50000</v>
      </c>
      <c r="G21" s="243">
        <f t="shared" si="0"/>
        <v>50000</v>
      </c>
      <c r="H21" s="243">
        <f t="shared" si="0"/>
        <v>50000</v>
      </c>
      <c r="I21" s="243">
        <f t="shared" si="0"/>
        <v>50000</v>
      </c>
      <c r="J21" s="243"/>
      <c r="K21" s="243">
        <f t="shared" si="1"/>
        <v>250000</v>
      </c>
    </row>
    <row r="22" spans="2:11">
      <c r="F22" s="243"/>
      <c r="G22" s="243"/>
      <c r="H22" s="243"/>
      <c r="I22" s="243"/>
      <c r="J22" s="100" t="s">
        <v>874</v>
      </c>
      <c r="K22" s="243">
        <f>SUM(K17:K21)</f>
        <v>28750000</v>
      </c>
    </row>
    <row r="24" spans="2:11">
      <c r="B24" s="155" t="s">
        <v>2271</v>
      </c>
    </row>
    <row r="25" spans="2:11">
      <c r="B25" s="155" t="s">
        <v>2273</v>
      </c>
    </row>
    <row r="26" spans="2:11">
      <c r="B26" s="155" t="s">
        <v>2274</v>
      </c>
    </row>
    <row r="27" spans="2:11">
      <c r="B27" s="155" t="s">
        <v>891</v>
      </c>
      <c r="C27" s="155" t="s">
        <v>96</v>
      </c>
      <c r="D27" s="155" t="s">
        <v>892</v>
      </c>
      <c r="E27" s="155" t="s">
        <v>893</v>
      </c>
      <c r="F27" s="155" t="s">
        <v>894</v>
      </c>
      <c r="G27" s="155" t="s">
        <v>895</v>
      </c>
      <c r="H27" s="155" t="s">
        <v>896</v>
      </c>
      <c r="I27" s="155" t="s">
        <v>897</v>
      </c>
      <c r="K27" s="155" t="s">
        <v>904</v>
      </c>
    </row>
    <row r="28" spans="2:11">
      <c r="B28" s="155">
        <f>B$7</f>
        <v>35</v>
      </c>
      <c r="C28" s="155">
        <f>C$7</f>
        <v>100</v>
      </c>
      <c r="D28" s="155" t="s">
        <v>899</v>
      </c>
      <c r="E28" s="243">
        <f t="shared" ref="E28:I32" si="2">$B7*(($C7/($E7+$F7+$G7+$H7+$I7))*1000)*E7</f>
        <v>700000</v>
      </c>
      <c r="F28" s="243">
        <f t="shared" si="2"/>
        <v>700000</v>
      </c>
      <c r="G28" s="243">
        <f t="shared" si="2"/>
        <v>700000</v>
      </c>
      <c r="H28" s="243">
        <f t="shared" si="2"/>
        <v>700000</v>
      </c>
      <c r="I28" s="243">
        <f t="shared" si="2"/>
        <v>700000</v>
      </c>
      <c r="J28" s="243"/>
      <c r="K28" s="243">
        <f>SUM(E28:J28)</f>
        <v>3500000</v>
      </c>
    </row>
    <row r="29" spans="2:11">
      <c r="B29" s="155">
        <f>B$8</f>
        <v>50</v>
      </c>
      <c r="C29" s="155">
        <f>C$8</f>
        <v>30</v>
      </c>
      <c r="D29" s="155" t="s">
        <v>900</v>
      </c>
      <c r="E29" s="243">
        <f t="shared" si="2"/>
        <v>1500000</v>
      </c>
      <c r="F29" s="243">
        <f t="shared" si="2"/>
        <v>0</v>
      </c>
      <c r="G29" s="243">
        <f t="shared" si="2"/>
        <v>0</v>
      </c>
      <c r="H29" s="243">
        <f t="shared" si="2"/>
        <v>0</v>
      </c>
      <c r="I29" s="243">
        <f t="shared" si="2"/>
        <v>0</v>
      </c>
      <c r="J29" s="243"/>
      <c r="K29" s="243">
        <f t="shared" ref="K29:K32" si="3">SUM(E29:J29)</f>
        <v>1500000</v>
      </c>
    </row>
    <row r="30" spans="2:11">
      <c r="B30" s="155">
        <f>B$9</f>
        <v>25</v>
      </c>
      <c r="C30" s="155">
        <f>C$9</f>
        <v>20</v>
      </c>
      <c r="D30" s="155" t="s">
        <v>901</v>
      </c>
      <c r="E30" s="243">
        <f t="shared" si="2"/>
        <v>500000</v>
      </c>
      <c r="F30" s="243">
        <f t="shared" si="2"/>
        <v>0</v>
      </c>
      <c r="G30" s="243">
        <f t="shared" si="2"/>
        <v>0</v>
      </c>
      <c r="H30" s="243">
        <f t="shared" si="2"/>
        <v>0</v>
      </c>
      <c r="I30" s="243">
        <f t="shared" si="2"/>
        <v>0</v>
      </c>
      <c r="J30" s="243"/>
      <c r="K30" s="243">
        <f t="shared" si="3"/>
        <v>500000</v>
      </c>
    </row>
    <row r="31" spans="2:11">
      <c r="B31" s="155">
        <f>B$10</f>
        <v>20</v>
      </c>
      <c r="C31" s="155">
        <f>C$10</f>
        <v>10</v>
      </c>
      <c r="D31" s="155" t="s">
        <v>902</v>
      </c>
      <c r="E31" s="243">
        <f t="shared" si="2"/>
        <v>200000</v>
      </c>
      <c r="F31" s="243">
        <f t="shared" si="2"/>
        <v>0</v>
      </c>
      <c r="G31" s="243">
        <f t="shared" si="2"/>
        <v>0</v>
      </c>
      <c r="H31" s="243">
        <f t="shared" si="2"/>
        <v>0</v>
      </c>
      <c r="I31" s="243">
        <f t="shared" si="2"/>
        <v>0</v>
      </c>
      <c r="J31" s="243"/>
      <c r="K31" s="243">
        <f t="shared" si="3"/>
        <v>200000</v>
      </c>
    </row>
    <row r="32" spans="2:11">
      <c r="B32" s="155">
        <f>B$11</f>
        <v>10</v>
      </c>
      <c r="C32" s="155">
        <f>C$11</f>
        <v>5</v>
      </c>
      <c r="D32" s="155" t="s">
        <v>903</v>
      </c>
      <c r="E32" s="243">
        <f t="shared" si="2"/>
        <v>50000</v>
      </c>
      <c r="F32" s="243">
        <f t="shared" si="2"/>
        <v>0</v>
      </c>
      <c r="G32" s="243">
        <f t="shared" si="2"/>
        <v>0</v>
      </c>
      <c r="H32" s="243">
        <f t="shared" si="2"/>
        <v>0</v>
      </c>
      <c r="I32" s="243">
        <f t="shared" si="2"/>
        <v>0</v>
      </c>
      <c r="J32" s="243"/>
      <c r="K32" s="243">
        <f t="shared" si="3"/>
        <v>50000</v>
      </c>
    </row>
    <row r="33" spans="6:11">
      <c r="F33" s="243"/>
      <c r="G33" s="243"/>
      <c r="H33" s="243"/>
      <c r="I33" s="243"/>
      <c r="J33" s="100" t="s">
        <v>874</v>
      </c>
      <c r="K33" s="243">
        <f>SUM(K28:K32)</f>
        <v>5750000</v>
      </c>
    </row>
  </sheetData>
  <pageMargins left="0.7" right="0.7" top="0.75" bottom="0.75" header="0.3" footer="0.3"/>
  <pageSetup scale="7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0EBF6-6544-432F-A099-AC166479071A}">
  <sheetPr>
    <pageSetUpPr fitToPage="1"/>
  </sheetPr>
  <dimension ref="A1:R68"/>
  <sheetViews>
    <sheetView workbookViewId="0">
      <selection activeCell="D2" sqref="D2"/>
    </sheetView>
  </sheetViews>
  <sheetFormatPr defaultRowHeight="15"/>
  <sheetData>
    <row r="1" spans="1:18">
      <c r="A1" t="s">
        <v>2278</v>
      </c>
    </row>
    <row r="3" spans="1:18">
      <c r="A3" s="119" t="s">
        <v>108</v>
      </c>
      <c r="B3" s="119"/>
      <c r="C3" s="119"/>
      <c r="D3" s="119"/>
      <c r="E3" s="119"/>
      <c r="F3" s="119"/>
      <c r="G3" s="119" t="s">
        <v>109</v>
      </c>
      <c r="H3" s="119"/>
      <c r="I3" s="119"/>
      <c r="J3" s="119"/>
      <c r="K3" s="119"/>
      <c r="L3" s="119"/>
      <c r="M3" s="119"/>
      <c r="N3" s="119"/>
      <c r="O3" s="119"/>
      <c r="P3" s="119"/>
      <c r="Q3" s="99" t="s">
        <v>2270</v>
      </c>
      <c r="R3" s="99"/>
    </row>
    <row r="4" spans="1:18">
      <c r="A4" s="119" t="s">
        <v>110</v>
      </c>
      <c r="B4" s="119" t="s">
        <v>111</v>
      </c>
      <c r="C4" s="119" t="s">
        <v>112</v>
      </c>
      <c r="D4" s="119" t="s">
        <v>113</v>
      </c>
      <c r="E4" s="119" t="s">
        <v>114</v>
      </c>
      <c r="F4" s="119" t="s">
        <v>115</v>
      </c>
      <c r="G4" s="119" t="s">
        <v>116</v>
      </c>
      <c r="H4" s="119"/>
      <c r="I4" s="119" t="s">
        <v>8</v>
      </c>
      <c r="J4" s="119"/>
      <c r="K4" s="119" t="s">
        <v>117</v>
      </c>
      <c r="L4" s="119"/>
      <c r="M4" s="119" t="s">
        <v>96</v>
      </c>
      <c r="N4" s="119"/>
      <c r="O4" s="119" t="s">
        <v>387</v>
      </c>
      <c r="P4" s="119"/>
      <c r="Q4" s="119" t="s">
        <v>118</v>
      </c>
      <c r="R4" s="119" t="s">
        <v>119</v>
      </c>
    </row>
    <row r="5" spans="1:18">
      <c r="A5" s="119" t="s">
        <v>120</v>
      </c>
      <c r="B5" s="119" t="s">
        <v>121</v>
      </c>
      <c r="C5" s="119">
        <v>2.73</v>
      </c>
      <c r="D5" s="119">
        <v>3.37</v>
      </c>
      <c r="E5" s="119">
        <v>3.04</v>
      </c>
      <c r="F5" s="119">
        <f>SUM(C5:E5)</f>
        <v>9.14</v>
      </c>
      <c r="G5" s="119">
        <v>16459</v>
      </c>
      <c r="H5" s="119">
        <f t="shared" ref="H5:H40" si="0">G5/63</f>
        <v>261.25396825396825</v>
      </c>
      <c r="I5" s="119">
        <v>61850</v>
      </c>
      <c r="J5" s="119">
        <f t="shared" ref="J5:J22" si="1">I5/59</f>
        <v>1048.3050847457628</v>
      </c>
      <c r="K5" s="119">
        <v>296500</v>
      </c>
      <c r="L5" s="119">
        <f t="shared" ref="L5:L21" si="2">K5/60</f>
        <v>4941.666666666667</v>
      </c>
      <c r="M5" s="119">
        <f t="shared" ref="M5:M36" si="3">SUM(G5,I5,K5)/1000</f>
        <v>374.80900000000003</v>
      </c>
      <c r="N5" s="119"/>
      <c r="O5" s="119">
        <f>SUMPRODUCT(F5:F68,M5:M68)/SUM(M5:M68)</f>
        <v>12.896588369635092</v>
      </c>
      <c r="P5" s="119"/>
      <c r="Q5" s="119">
        <f>D5+E5</f>
        <v>6.41</v>
      </c>
      <c r="R5" s="119">
        <f>C5</f>
        <v>2.73</v>
      </c>
    </row>
    <row r="6" spans="1:18">
      <c r="A6" s="119" t="s">
        <v>120</v>
      </c>
      <c r="B6" s="119" t="s">
        <v>122</v>
      </c>
      <c r="C6" s="119">
        <v>2.73</v>
      </c>
      <c r="D6" s="119">
        <v>3.37</v>
      </c>
      <c r="E6" s="119">
        <v>3.06</v>
      </c>
      <c r="F6" s="119">
        <f t="shared" ref="F6:F68" si="4">SUM(C6:E6)</f>
        <v>9.16</v>
      </c>
      <c r="G6" s="119">
        <v>16459</v>
      </c>
      <c r="H6" s="119">
        <f t="shared" si="0"/>
        <v>261.25396825396825</v>
      </c>
      <c r="I6" s="119">
        <v>61850</v>
      </c>
      <c r="J6" s="119">
        <f t="shared" si="1"/>
        <v>1048.3050847457628</v>
      </c>
      <c r="K6" s="119">
        <v>296500</v>
      </c>
      <c r="L6" s="119">
        <f t="shared" si="2"/>
        <v>4941.666666666667</v>
      </c>
      <c r="M6" s="119">
        <f t="shared" si="3"/>
        <v>374.80900000000003</v>
      </c>
      <c r="N6" s="119"/>
      <c r="O6" s="119"/>
      <c r="P6" s="119"/>
      <c r="Q6" s="119">
        <f t="shared" ref="Q6:Q68" si="5">D6+E6</f>
        <v>6.43</v>
      </c>
      <c r="R6" s="119">
        <f t="shared" ref="R6:R68" si="6">C6</f>
        <v>2.73</v>
      </c>
    </row>
    <row r="7" spans="1:18">
      <c r="A7" s="119" t="s">
        <v>120</v>
      </c>
      <c r="B7" s="119" t="s">
        <v>123</v>
      </c>
      <c r="C7" s="119">
        <v>2.73</v>
      </c>
      <c r="D7" s="119">
        <v>3.37</v>
      </c>
      <c r="E7" s="119">
        <v>3.27</v>
      </c>
      <c r="F7" s="119">
        <f t="shared" si="4"/>
        <v>9.3699999999999992</v>
      </c>
      <c r="G7" s="119">
        <v>16459</v>
      </c>
      <c r="H7" s="119">
        <f t="shared" si="0"/>
        <v>261.25396825396825</v>
      </c>
      <c r="I7" s="119">
        <v>61850</v>
      </c>
      <c r="J7" s="119">
        <f t="shared" si="1"/>
        <v>1048.3050847457628</v>
      </c>
      <c r="K7" s="119">
        <v>296500</v>
      </c>
      <c r="L7" s="119">
        <f t="shared" si="2"/>
        <v>4941.666666666667</v>
      </c>
      <c r="M7" s="119">
        <f t="shared" si="3"/>
        <v>374.80900000000003</v>
      </c>
      <c r="N7" s="119"/>
      <c r="O7" s="119"/>
      <c r="P7" s="119"/>
      <c r="Q7" s="119">
        <f t="shared" si="5"/>
        <v>6.6400000000000006</v>
      </c>
      <c r="R7" s="119">
        <f t="shared" si="6"/>
        <v>2.73</v>
      </c>
    </row>
    <row r="8" spans="1:18">
      <c r="A8" s="119" t="s">
        <v>120</v>
      </c>
      <c r="B8" s="119" t="s">
        <v>124</v>
      </c>
      <c r="C8" s="119">
        <v>2.73</v>
      </c>
      <c r="D8" s="119">
        <v>3.37</v>
      </c>
      <c r="E8" s="119">
        <v>3.03</v>
      </c>
      <c r="F8" s="119">
        <f t="shared" si="4"/>
        <v>9.129999999999999</v>
      </c>
      <c r="G8" s="119">
        <v>16459</v>
      </c>
      <c r="H8" s="119">
        <f t="shared" si="0"/>
        <v>261.25396825396825</v>
      </c>
      <c r="I8" s="119">
        <v>61850</v>
      </c>
      <c r="J8" s="119">
        <f t="shared" si="1"/>
        <v>1048.3050847457628</v>
      </c>
      <c r="K8" s="119">
        <v>296500</v>
      </c>
      <c r="L8" s="119">
        <f t="shared" si="2"/>
        <v>4941.666666666667</v>
      </c>
      <c r="M8" s="119">
        <f t="shared" si="3"/>
        <v>374.80900000000003</v>
      </c>
      <c r="N8" s="119"/>
      <c r="O8" s="119"/>
      <c r="P8" s="119"/>
      <c r="Q8" s="119">
        <f t="shared" si="5"/>
        <v>6.4</v>
      </c>
      <c r="R8" s="119">
        <f t="shared" si="6"/>
        <v>2.73</v>
      </c>
    </row>
    <row r="9" spans="1:18">
      <c r="A9" s="119" t="s">
        <v>120</v>
      </c>
      <c r="B9" s="119" t="s">
        <v>125</v>
      </c>
      <c r="C9" s="119">
        <v>2.73</v>
      </c>
      <c r="D9" s="119">
        <v>3.37</v>
      </c>
      <c r="E9" s="119">
        <v>1.77</v>
      </c>
      <c r="F9" s="119">
        <f t="shared" si="4"/>
        <v>7.8699999999999992</v>
      </c>
      <c r="G9" s="119">
        <v>16459</v>
      </c>
      <c r="H9" s="119">
        <f t="shared" si="0"/>
        <v>261.25396825396825</v>
      </c>
      <c r="I9" s="119">
        <v>61850</v>
      </c>
      <c r="J9" s="119">
        <f t="shared" si="1"/>
        <v>1048.3050847457628</v>
      </c>
      <c r="K9" s="119">
        <v>296500</v>
      </c>
      <c r="L9" s="119">
        <f t="shared" si="2"/>
        <v>4941.666666666667</v>
      </c>
      <c r="M9" s="119">
        <f t="shared" si="3"/>
        <v>374.80900000000003</v>
      </c>
      <c r="N9" s="119"/>
      <c r="O9" s="119"/>
      <c r="P9" s="119"/>
      <c r="Q9" s="119">
        <f t="shared" si="5"/>
        <v>5.1400000000000006</v>
      </c>
      <c r="R9" s="119">
        <f t="shared" si="6"/>
        <v>2.73</v>
      </c>
    </row>
    <row r="10" spans="1:18">
      <c r="A10" s="119" t="s">
        <v>120</v>
      </c>
      <c r="B10" s="119" t="s">
        <v>126</v>
      </c>
      <c r="C10" s="119">
        <v>2.73</v>
      </c>
      <c r="D10" s="119">
        <v>3.37</v>
      </c>
      <c r="E10" s="119">
        <v>3.07</v>
      </c>
      <c r="F10" s="119">
        <f t="shared" si="4"/>
        <v>9.17</v>
      </c>
      <c r="G10" s="119">
        <v>16459</v>
      </c>
      <c r="H10" s="119">
        <f t="shared" si="0"/>
        <v>261.25396825396825</v>
      </c>
      <c r="I10" s="119">
        <v>61850</v>
      </c>
      <c r="J10" s="119">
        <f t="shared" si="1"/>
        <v>1048.3050847457628</v>
      </c>
      <c r="K10" s="119">
        <v>296500</v>
      </c>
      <c r="L10" s="119">
        <f t="shared" si="2"/>
        <v>4941.666666666667</v>
      </c>
      <c r="M10" s="119">
        <f t="shared" si="3"/>
        <v>374.80900000000003</v>
      </c>
      <c r="N10" s="119"/>
      <c r="O10" s="119"/>
      <c r="P10" s="119"/>
      <c r="Q10" s="119">
        <f t="shared" si="5"/>
        <v>6.4399999999999995</v>
      </c>
      <c r="R10" s="119">
        <f t="shared" si="6"/>
        <v>2.73</v>
      </c>
    </row>
    <row r="11" spans="1:18">
      <c r="A11" s="119" t="s">
        <v>120</v>
      </c>
      <c r="B11" s="119" t="s">
        <v>127</v>
      </c>
      <c r="C11" s="119">
        <v>2.73</v>
      </c>
      <c r="D11" s="119">
        <v>3.37</v>
      </c>
      <c r="E11" s="119">
        <v>3.03</v>
      </c>
      <c r="F11" s="119">
        <f t="shared" si="4"/>
        <v>9.129999999999999</v>
      </c>
      <c r="G11" s="119">
        <v>16459</v>
      </c>
      <c r="H11" s="119">
        <f t="shared" si="0"/>
        <v>261.25396825396825</v>
      </c>
      <c r="I11" s="119">
        <v>61850</v>
      </c>
      <c r="J11" s="119">
        <f t="shared" si="1"/>
        <v>1048.3050847457628</v>
      </c>
      <c r="K11" s="119">
        <v>296500</v>
      </c>
      <c r="L11" s="119">
        <f t="shared" si="2"/>
        <v>4941.666666666667</v>
      </c>
      <c r="M11" s="119">
        <f t="shared" si="3"/>
        <v>374.80900000000003</v>
      </c>
      <c r="N11" s="119"/>
      <c r="O11" s="119"/>
      <c r="P11" s="119"/>
      <c r="Q11" s="119">
        <f t="shared" si="5"/>
        <v>6.4</v>
      </c>
      <c r="R11" s="119">
        <f t="shared" si="6"/>
        <v>2.73</v>
      </c>
    </row>
    <row r="12" spans="1:18">
      <c r="A12" s="119" t="s">
        <v>120</v>
      </c>
      <c r="B12" s="119" t="s">
        <v>128</v>
      </c>
      <c r="C12" s="119">
        <v>2.73</v>
      </c>
      <c r="D12" s="119">
        <v>3.37</v>
      </c>
      <c r="E12" s="119">
        <v>3.1</v>
      </c>
      <c r="F12" s="119">
        <f t="shared" si="4"/>
        <v>9.1999999999999993</v>
      </c>
      <c r="G12" s="119">
        <v>16459</v>
      </c>
      <c r="H12" s="119">
        <f t="shared" si="0"/>
        <v>261.25396825396825</v>
      </c>
      <c r="I12" s="119">
        <v>61850</v>
      </c>
      <c r="J12" s="119">
        <f t="shared" si="1"/>
        <v>1048.3050847457628</v>
      </c>
      <c r="K12" s="119">
        <v>296500</v>
      </c>
      <c r="L12" s="119">
        <f t="shared" si="2"/>
        <v>4941.666666666667</v>
      </c>
      <c r="M12" s="119">
        <f t="shared" si="3"/>
        <v>374.80900000000003</v>
      </c>
      <c r="N12" s="119"/>
      <c r="O12" s="119"/>
      <c r="P12" s="119"/>
      <c r="Q12" s="119">
        <f t="shared" si="5"/>
        <v>6.4700000000000006</v>
      </c>
      <c r="R12" s="119">
        <f t="shared" si="6"/>
        <v>2.73</v>
      </c>
    </row>
    <row r="13" spans="1:18">
      <c r="A13" s="119" t="s">
        <v>120</v>
      </c>
      <c r="B13" s="119" t="s">
        <v>129</v>
      </c>
      <c r="C13" s="119">
        <v>2.73</v>
      </c>
      <c r="D13" s="119">
        <v>3.37</v>
      </c>
      <c r="E13" s="119">
        <v>3.05</v>
      </c>
      <c r="F13" s="119">
        <f t="shared" si="4"/>
        <v>9.1499999999999986</v>
      </c>
      <c r="G13" s="119">
        <v>16459</v>
      </c>
      <c r="H13" s="119">
        <f t="shared" si="0"/>
        <v>261.25396825396825</v>
      </c>
      <c r="I13" s="119">
        <v>61850</v>
      </c>
      <c r="J13" s="119">
        <f t="shared" si="1"/>
        <v>1048.3050847457628</v>
      </c>
      <c r="K13" s="119">
        <v>296500</v>
      </c>
      <c r="L13" s="119">
        <f t="shared" si="2"/>
        <v>4941.666666666667</v>
      </c>
      <c r="M13" s="119">
        <f t="shared" si="3"/>
        <v>374.80900000000003</v>
      </c>
      <c r="N13" s="119"/>
      <c r="O13" s="119"/>
      <c r="P13" s="119"/>
      <c r="Q13" s="119">
        <f t="shared" si="5"/>
        <v>6.42</v>
      </c>
      <c r="R13" s="119">
        <f t="shared" si="6"/>
        <v>2.73</v>
      </c>
    </row>
    <row r="14" spans="1:18">
      <c r="A14" s="119" t="s">
        <v>130</v>
      </c>
      <c r="B14" s="119" t="s">
        <v>131</v>
      </c>
      <c r="C14" s="119">
        <v>2.73</v>
      </c>
      <c r="D14" s="119">
        <v>3.37</v>
      </c>
      <c r="E14" s="119">
        <v>3.03</v>
      </c>
      <c r="F14" s="119">
        <f t="shared" si="4"/>
        <v>9.129999999999999</v>
      </c>
      <c r="G14" s="119">
        <v>16459</v>
      </c>
      <c r="H14" s="119">
        <f t="shared" si="0"/>
        <v>261.25396825396825</v>
      </c>
      <c r="I14" s="119">
        <v>61850</v>
      </c>
      <c r="J14" s="119">
        <f t="shared" si="1"/>
        <v>1048.3050847457628</v>
      </c>
      <c r="K14" s="119">
        <v>296500</v>
      </c>
      <c r="L14" s="119">
        <f t="shared" si="2"/>
        <v>4941.666666666667</v>
      </c>
      <c r="M14" s="119">
        <f t="shared" si="3"/>
        <v>374.80900000000003</v>
      </c>
      <c r="N14" s="119"/>
      <c r="O14" s="119"/>
      <c r="P14" s="119"/>
      <c r="Q14" s="119">
        <f t="shared" si="5"/>
        <v>6.4</v>
      </c>
      <c r="R14" s="119">
        <f t="shared" si="6"/>
        <v>2.73</v>
      </c>
    </row>
    <row r="15" spans="1:18">
      <c r="A15" s="119" t="s">
        <v>130</v>
      </c>
      <c r="B15" s="119" t="s">
        <v>132</v>
      </c>
      <c r="C15" s="119">
        <v>2.73</v>
      </c>
      <c r="D15" s="119">
        <v>3.37</v>
      </c>
      <c r="E15" s="119">
        <v>3.1</v>
      </c>
      <c r="F15" s="119">
        <f t="shared" si="4"/>
        <v>9.1999999999999993</v>
      </c>
      <c r="G15" s="119">
        <v>16459</v>
      </c>
      <c r="H15" s="119">
        <f t="shared" si="0"/>
        <v>261.25396825396825</v>
      </c>
      <c r="I15" s="119">
        <v>61850</v>
      </c>
      <c r="J15" s="119">
        <f t="shared" si="1"/>
        <v>1048.3050847457628</v>
      </c>
      <c r="K15" s="119">
        <v>296500</v>
      </c>
      <c r="L15" s="119">
        <f t="shared" si="2"/>
        <v>4941.666666666667</v>
      </c>
      <c r="M15" s="119">
        <f t="shared" si="3"/>
        <v>374.80900000000003</v>
      </c>
      <c r="N15" s="119"/>
      <c r="O15" s="119"/>
      <c r="P15" s="119"/>
      <c r="Q15" s="119">
        <f t="shared" si="5"/>
        <v>6.4700000000000006</v>
      </c>
      <c r="R15" s="119">
        <f t="shared" si="6"/>
        <v>2.73</v>
      </c>
    </row>
    <row r="16" spans="1:18">
      <c r="A16" s="119" t="s">
        <v>130</v>
      </c>
      <c r="B16" s="119" t="s">
        <v>133</v>
      </c>
      <c r="C16" s="119">
        <v>2.73</v>
      </c>
      <c r="D16" s="119">
        <v>3.37</v>
      </c>
      <c r="E16" s="119">
        <v>3.22</v>
      </c>
      <c r="F16" s="119">
        <f t="shared" si="4"/>
        <v>9.32</v>
      </c>
      <c r="G16" s="119">
        <v>16459</v>
      </c>
      <c r="H16" s="119">
        <f t="shared" si="0"/>
        <v>261.25396825396825</v>
      </c>
      <c r="I16" s="119">
        <v>61850</v>
      </c>
      <c r="J16" s="119">
        <f t="shared" si="1"/>
        <v>1048.3050847457628</v>
      </c>
      <c r="K16" s="119">
        <v>296500</v>
      </c>
      <c r="L16" s="119">
        <f t="shared" si="2"/>
        <v>4941.666666666667</v>
      </c>
      <c r="M16" s="119">
        <f t="shared" si="3"/>
        <v>374.80900000000003</v>
      </c>
      <c r="N16" s="119"/>
      <c r="O16" s="119"/>
      <c r="P16" s="119"/>
      <c r="Q16" s="119">
        <f t="shared" si="5"/>
        <v>6.59</v>
      </c>
      <c r="R16" s="119">
        <f t="shared" si="6"/>
        <v>2.73</v>
      </c>
    </row>
    <row r="17" spans="1:18">
      <c r="A17" s="119" t="s">
        <v>134</v>
      </c>
      <c r="B17" s="119" t="s">
        <v>135</v>
      </c>
      <c r="C17" s="119">
        <v>2.73</v>
      </c>
      <c r="D17" s="119">
        <v>3.37</v>
      </c>
      <c r="E17" s="119">
        <v>3.23</v>
      </c>
      <c r="F17" s="119">
        <f t="shared" si="4"/>
        <v>9.33</v>
      </c>
      <c r="G17" s="119">
        <v>16459</v>
      </c>
      <c r="H17" s="119">
        <f t="shared" si="0"/>
        <v>261.25396825396825</v>
      </c>
      <c r="I17" s="119">
        <v>61850</v>
      </c>
      <c r="J17" s="119">
        <f t="shared" si="1"/>
        <v>1048.3050847457628</v>
      </c>
      <c r="K17" s="119">
        <v>296500</v>
      </c>
      <c r="L17" s="119">
        <f t="shared" si="2"/>
        <v>4941.666666666667</v>
      </c>
      <c r="M17" s="119">
        <f t="shared" si="3"/>
        <v>374.80900000000003</v>
      </c>
      <c r="N17" s="119"/>
      <c r="O17" s="119"/>
      <c r="P17" s="119"/>
      <c r="Q17" s="119">
        <f t="shared" si="5"/>
        <v>6.6</v>
      </c>
      <c r="R17" s="119">
        <f t="shared" si="6"/>
        <v>2.73</v>
      </c>
    </row>
    <row r="18" spans="1:18">
      <c r="A18" s="119" t="s">
        <v>134</v>
      </c>
      <c r="B18" s="119" t="s">
        <v>136</v>
      </c>
      <c r="C18" s="119">
        <v>2.73</v>
      </c>
      <c r="D18" s="119">
        <v>3.37</v>
      </c>
      <c r="E18" s="119">
        <v>3.03</v>
      </c>
      <c r="F18" s="119">
        <f t="shared" si="4"/>
        <v>9.129999999999999</v>
      </c>
      <c r="G18" s="119">
        <v>16459</v>
      </c>
      <c r="H18" s="119">
        <f t="shared" si="0"/>
        <v>261.25396825396825</v>
      </c>
      <c r="I18" s="119">
        <v>61850</v>
      </c>
      <c r="J18" s="119">
        <f t="shared" si="1"/>
        <v>1048.3050847457628</v>
      </c>
      <c r="K18" s="119">
        <v>296500</v>
      </c>
      <c r="L18" s="119">
        <f t="shared" si="2"/>
        <v>4941.666666666667</v>
      </c>
      <c r="M18" s="119">
        <f t="shared" si="3"/>
        <v>374.80900000000003</v>
      </c>
      <c r="N18" s="119"/>
      <c r="O18" s="119"/>
      <c r="P18" s="119"/>
      <c r="Q18" s="119">
        <f t="shared" si="5"/>
        <v>6.4</v>
      </c>
      <c r="R18" s="119">
        <f t="shared" si="6"/>
        <v>2.73</v>
      </c>
    </row>
    <row r="19" spans="1:18">
      <c r="A19" s="119" t="s">
        <v>134</v>
      </c>
      <c r="B19" s="119" t="s">
        <v>137</v>
      </c>
      <c r="C19" s="119">
        <v>2.73</v>
      </c>
      <c r="D19" s="119">
        <v>3.37</v>
      </c>
      <c r="E19" s="119">
        <v>3.03</v>
      </c>
      <c r="F19" s="119">
        <f t="shared" si="4"/>
        <v>9.129999999999999</v>
      </c>
      <c r="G19" s="119">
        <v>16459</v>
      </c>
      <c r="H19" s="119">
        <f t="shared" si="0"/>
        <v>261.25396825396825</v>
      </c>
      <c r="I19" s="119">
        <v>61850</v>
      </c>
      <c r="J19" s="119">
        <f t="shared" si="1"/>
        <v>1048.3050847457628</v>
      </c>
      <c r="K19" s="119">
        <v>296500</v>
      </c>
      <c r="L19" s="119">
        <f t="shared" si="2"/>
        <v>4941.666666666667</v>
      </c>
      <c r="M19" s="119">
        <f t="shared" si="3"/>
        <v>374.80900000000003</v>
      </c>
      <c r="N19" s="119"/>
      <c r="O19" s="119"/>
      <c r="P19" s="119"/>
      <c r="Q19" s="119">
        <f t="shared" si="5"/>
        <v>6.4</v>
      </c>
      <c r="R19" s="119">
        <f t="shared" si="6"/>
        <v>2.73</v>
      </c>
    </row>
    <row r="20" spans="1:18">
      <c r="A20" s="119" t="s">
        <v>134</v>
      </c>
      <c r="B20" s="119" t="s">
        <v>138</v>
      </c>
      <c r="C20" s="119">
        <v>2.73</v>
      </c>
      <c r="D20" s="119">
        <v>3.37</v>
      </c>
      <c r="E20" s="119">
        <v>3.03</v>
      </c>
      <c r="F20" s="119">
        <f t="shared" si="4"/>
        <v>9.129999999999999</v>
      </c>
      <c r="G20" s="119">
        <v>16459</v>
      </c>
      <c r="H20" s="119">
        <f t="shared" si="0"/>
        <v>261.25396825396825</v>
      </c>
      <c r="I20" s="119">
        <v>61850</v>
      </c>
      <c r="J20" s="119">
        <f t="shared" si="1"/>
        <v>1048.3050847457628</v>
      </c>
      <c r="K20" s="119">
        <v>296500</v>
      </c>
      <c r="L20" s="119">
        <f t="shared" si="2"/>
        <v>4941.666666666667</v>
      </c>
      <c r="M20" s="119">
        <f t="shared" si="3"/>
        <v>374.80900000000003</v>
      </c>
      <c r="N20" s="119"/>
      <c r="O20" s="119"/>
      <c r="P20" s="119"/>
      <c r="Q20" s="119">
        <f t="shared" si="5"/>
        <v>6.4</v>
      </c>
      <c r="R20" s="119">
        <f t="shared" si="6"/>
        <v>2.73</v>
      </c>
    </row>
    <row r="21" spans="1:18">
      <c r="A21" s="119" t="s">
        <v>134</v>
      </c>
      <c r="B21" s="119" t="s">
        <v>139</v>
      </c>
      <c r="C21" s="119">
        <v>2.73</v>
      </c>
      <c r="D21" s="119">
        <v>3.37</v>
      </c>
      <c r="E21" s="119">
        <v>3.03</v>
      </c>
      <c r="F21" s="119">
        <f t="shared" si="4"/>
        <v>9.129999999999999</v>
      </c>
      <c r="G21" s="119">
        <v>16459</v>
      </c>
      <c r="H21" s="119">
        <f t="shared" si="0"/>
        <v>261.25396825396825</v>
      </c>
      <c r="I21" s="119">
        <v>61850</v>
      </c>
      <c r="J21" s="119">
        <f t="shared" si="1"/>
        <v>1048.3050847457628</v>
      </c>
      <c r="K21" s="119">
        <v>296500</v>
      </c>
      <c r="L21" s="119">
        <f t="shared" si="2"/>
        <v>4941.666666666667</v>
      </c>
      <c r="M21" s="119">
        <f t="shared" si="3"/>
        <v>374.80900000000003</v>
      </c>
      <c r="N21" s="119"/>
      <c r="O21" s="119"/>
      <c r="P21" s="119"/>
      <c r="Q21" s="119">
        <f t="shared" si="5"/>
        <v>6.4</v>
      </c>
      <c r="R21" s="119">
        <f t="shared" si="6"/>
        <v>2.73</v>
      </c>
    </row>
    <row r="22" spans="1:18">
      <c r="A22" s="119" t="s">
        <v>140</v>
      </c>
      <c r="B22" s="119" t="s">
        <v>141</v>
      </c>
      <c r="C22" s="119">
        <v>0</v>
      </c>
      <c r="D22" s="119">
        <v>3.37</v>
      </c>
      <c r="E22" s="119">
        <v>3.12</v>
      </c>
      <c r="F22" s="119">
        <f t="shared" si="4"/>
        <v>6.49</v>
      </c>
      <c r="G22" s="119">
        <v>16459</v>
      </c>
      <c r="H22" s="119">
        <f t="shared" si="0"/>
        <v>261.25396825396825</v>
      </c>
      <c r="I22" s="119">
        <v>61850</v>
      </c>
      <c r="J22" s="119">
        <f t="shared" si="1"/>
        <v>1048.3050847457628</v>
      </c>
      <c r="K22" s="119">
        <v>166500</v>
      </c>
      <c r="L22" s="119">
        <v>166500</v>
      </c>
      <c r="M22" s="119">
        <f t="shared" si="3"/>
        <v>244.809</v>
      </c>
      <c r="N22" s="119"/>
      <c r="O22" s="119"/>
      <c r="P22" s="119"/>
      <c r="Q22" s="119">
        <f t="shared" si="5"/>
        <v>6.49</v>
      </c>
      <c r="R22" s="119">
        <f t="shared" si="6"/>
        <v>0</v>
      </c>
    </row>
    <row r="23" spans="1:18">
      <c r="A23" s="119" t="s">
        <v>142</v>
      </c>
      <c r="B23" s="119" t="s">
        <v>143</v>
      </c>
      <c r="C23" s="119">
        <v>0</v>
      </c>
      <c r="D23" s="119">
        <v>142.9</v>
      </c>
      <c r="E23" s="119">
        <v>3.09</v>
      </c>
      <c r="F23" s="119">
        <f t="shared" si="4"/>
        <v>145.99</v>
      </c>
      <c r="G23" s="119">
        <v>16459</v>
      </c>
      <c r="H23" s="119">
        <f t="shared" si="0"/>
        <v>261.25396825396825</v>
      </c>
      <c r="I23" s="119">
        <v>6800</v>
      </c>
      <c r="J23" s="119">
        <v>6800</v>
      </c>
      <c r="K23" s="119">
        <v>166500</v>
      </c>
      <c r="L23" s="119">
        <v>166500</v>
      </c>
      <c r="M23" s="119">
        <f t="shared" si="3"/>
        <v>189.75899999999999</v>
      </c>
      <c r="N23" s="119"/>
      <c r="O23" s="119"/>
      <c r="P23" s="119"/>
      <c r="Q23" s="119">
        <f t="shared" si="5"/>
        <v>145.99</v>
      </c>
      <c r="R23" s="119">
        <f t="shared" si="6"/>
        <v>0</v>
      </c>
    </row>
    <row r="24" spans="1:18">
      <c r="A24" s="119" t="s">
        <v>144</v>
      </c>
      <c r="B24" s="119" t="s">
        <v>145</v>
      </c>
      <c r="C24" s="119">
        <v>2.73</v>
      </c>
      <c r="D24" s="119">
        <v>3.37</v>
      </c>
      <c r="E24" s="119">
        <v>3.14</v>
      </c>
      <c r="F24" s="119">
        <f t="shared" si="4"/>
        <v>9.24</v>
      </c>
      <c r="G24" s="119">
        <v>16459</v>
      </c>
      <c r="H24" s="119">
        <f t="shared" si="0"/>
        <v>261.25396825396825</v>
      </c>
      <c r="I24" s="119">
        <v>61850</v>
      </c>
      <c r="J24" s="119">
        <v>1048.3050000000001</v>
      </c>
      <c r="K24" s="119">
        <v>296500</v>
      </c>
      <c r="L24" s="119">
        <v>4941.6670000000004</v>
      </c>
      <c r="M24" s="119">
        <f t="shared" si="3"/>
        <v>374.80900000000003</v>
      </c>
      <c r="N24" s="119"/>
      <c r="O24" s="119"/>
      <c r="P24" s="119"/>
      <c r="Q24" s="119">
        <f t="shared" si="5"/>
        <v>6.51</v>
      </c>
      <c r="R24" s="119">
        <f t="shared" si="6"/>
        <v>2.73</v>
      </c>
    </row>
    <row r="25" spans="1:18">
      <c r="A25" s="119" t="s">
        <v>146</v>
      </c>
      <c r="B25" s="119" t="s">
        <v>147</v>
      </c>
      <c r="C25" s="119">
        <v>2.73</v>
      </c>
      <c r="D25" s="119">
        <v>3.37</v>
      </c>
      <c r="E25" s="119">
        <v>3.03</v>
      </c>
      <c r="F25" s="119">
        <f t="shared" si="4"/>
        <v>9.129999999999999</v>
      </c>
      <c r="G25" s="119">
        <v>16459</v>
      </c>
      <c r="H25" s="119">
        <f t="shared" si="0"/>
        <v>261.25396825396825</v>
      </c>
      <c r="I25" s="119">
        <v>61850</v>
      </c>
      <c r="J25" s="119">
        <v>1048.3050000000001</v>
      </c>
      <c r="K25" s="119">
        <v>296500</v>
      </c>
      <c r="L25" s="119">
        <v>4941.6670000000004</v>
      </c>
      <c r="M25" s="119">
        <f t="shared" si="3"/>
        <v>374.80900000000003</v>
      </c>
      <c r="N25" s="119"/>
      <c r="O25" s="119"/>
      <c r="P25" s="119"/>
      <c r="Q25" s="119">
        <f t="shared" si="5"/>
        <v>6.4</v>
      </c>
      <c r="R25" s="119">
        <f t="shared" si="6"/>
        <v>2.73</v>
      </c>
    </row>
    <row r="26" spans="1:18">
      <c r="A26" s="119" t="s">
        <v>148</v>
      </c>
      <c r="B26" s="119" t="s">
        <v>149</v>
      </c>
      <c r="C26" s="119">
        <v>2.73</v>
      </c>
      <c r="D26" s="119">
        <v>3.37</v>
      </c>
      <c r="E26" s="119">
        <v>3.03</v>
      </c>
      <c r="F26" s="119">
        <f t="shared" si="4"/>
        <v>9.129999999999999</v>
      </c>
      <c r="G26" s="119">
        <v>16459</v>
      </c>
      <c r="H26" s="119">
        <f t="shared" si="0"/>
        <v>261.25396825396825</v>
      </c>
      <c r="I26" s="119">
        <v>61850</v>
      </c>
      <c r="J26" s="119">
        <v>1048.3050000000001</v>
      </c>
      <c r="K26" s="119">
        <v>296500</v>
      </c>
      <c r="L26" s="119">
        <v>4941.6670000000004</v>
      </c>
      <c r="M26" s="119">
        <f t="shared" si="3"/>
        <v>374.80900000000003</v>
      </c>
      <c r="N26" s="119"/>
      <c r="O26" s="119"/>
      <c r="P26" s="119"/>
      <c r="Q26" s="119">
        <f t="shared" si="5"/>
        <v>6.4</v>
      </c>
      <c r="R26" s="119">
        <f t="shared" si="6"/>
        <v>2.73</v>
      </c>
    </row>
    <row r="27" spans="1:18">
      <c r="A27" s="119" t="s">
        <v>150</v>
      </c>
      <c r="B27" s="119" t="s">
        <v>151</v>
      </c>
      <c r="C27" s="119">
        <v>2.73</v>
      </c>
      <c r="D27" s="119">
        <v>3.37</v>
      </c>
      <c r="E27" s="119">
        <v>3.11</v>
      </c>
      <c r="F27" s="119">
        <f t="shared" si="4"/>
        <v>9.2099999999999991</v>
      </c>
      <c r="G27" s="119">
        <v>16459</v>
      </c>
      <c r="H27" s="119">
        <f t="shared" si="0"/>
        <v>261.25396825396825</v>
      </c>
      <c r="I27" s="119">
        <v>61850</v>
      </c>
      <c r="J27" s="119">
        <v>1048.3050000000001</v>
      </c>
      <c r="K27" s="119">
        <v>296500</v>
      </c>
      <c r="L27" s="119">
        <v>4941.6670000000004</v>
      </c>
      <c r="M27" s="119">
        <f t="shared" si="3"/>
        <v>374.80900000000003</v>
      </c>
      <c r="N27" s="119"/>
      <c r="O27" s="119"/>
      <c r="P27" s="119"/>
      <c r="Q27" s="119">
        <f t="shared" si="5"/>
        <v>6.48</v>
      </c>
      <c r="R27" s="119">
        <f t="shared" si="6"/>
        <v>2.73</v>
      </c>
    </row>
    <row r="28" spans="1:18">
      <c r="A28" s="119" t="s">
        <v>152</v>
      </c>
      <c r="B28" s="119" t="s">
        <v>153</v>
      </c>
      <c r="C28" s="119">
        <v>2.73</v>
      </c>
      <c r="D28" s="119">
        <v>3.37</v>
      </c>
      <c r="E28" s="119">
        <v>3.03</v>
      </c>
      <c r="F28" s="119">
        <f t="shared" si="4"/>
        <v>9.129999999999999</v>
      </c>
      <c r="G28" s="119">
        <v>16459</v>
      </c>
      <c r="H28" s="119">
        <f t="shared" si="0"/>
        <v>261.25396825396825</v>
      </c>
      <c r="I28" s="119">
        <v>61850</v>
      </c>
      <c r="J28" s="119">
        <v>1048.3050000000001</v>
      </c>
      <c r="K28" s="119">
        <v>296500</v>
      </c>
      <c r="L28" s="119">
        <v>4941.6670000000004</v>
      </c>
      <c r="M28" s="119">
        <f t="shared" si="3"/>
        <v>374.80900000000003</v>
      </c>
      <c r="N28" s="119"/>
      <c r="O28" s="119"/>
      <c r="P28" s="119"/>
      <c r="Q28" s="119">
        <f t="shared" si="5"/>
        <v>6.4</v>
      </c>
      <c r="R28" s="119">
        <f t="shared" si="6"/>
        <v>2.73</v>
      </c>
    </row>
    <row r="29" spans="1:18">
      <c r="A29" s="119" t="s">
        <v>154</v>
      </c>
      <c r="B29" s="119" t="s">
        <v>155</v>
      </c>
      <c r="C29" s="119">
        <v>2.73</v>
      </c>
      <c r="D29" s="119">
        <v>81.540000000000006</v>
      </c>
      <c r="E29" s="119">
        <v>3.28</v>
      </c>
      <c r="F29" s="119">
        <f t="shared" si="4"/>
        <v>87.550000000000011</v>
      </c>
      <c r="G29" s="119">
        <v>16459</v>
      </c>
      <c r="H29" s="119">
        <f t="shared" si="0"/>
        <v>261.25396825396825</v>
      </c>
      <c r="I29" s="119">
        <v>7250</v>
      </c>
      <c r="J29" s="119">
        <v>7250</v>
      </c>
      <c r="K29" s="119">
        <v>296500</v>
      </c>
      <c r="L29" s="119">
        <v>4941.6670000000004</v>
      </c>
      <c r="M29" s="119">
        <f t="shared" si="3"/>
        <v>320.209</v>
      </c>
      <c r="N29" s="119"/>
      <c r="O29" s="119"/>
      <c r="P29" s="119"/>
      <c r="Q29" s="119">
        <f t="shared" si="5"/>
        <v>84.820000000000007</v>
      </c>
      <c r="R29" s="119">
        <f t="shared" si="6"/>
        <v>2.73</v>
      </c>
    </row>
    <row r="30" spans="1:18">
      <c r="A30" s="119" t="s">
        <v>156</v>
      </c>
      <c r="B30" s="119" t="s">
        <v>157</v>
      </c>
      <c r="C30" s="119">
        <v>2.73</v>
      </c>
      <c r="D30" s="119">
        <v>3.37</v>
      </c>
      <c r="E30" s="119">
        <v>3.03</v>
      </c>
      <c r="F30" s="119">
        <f t="shared" si="4"/>
        <v>9.129999999999999</v>
      </c>
      <c r="G30" s="119">
        <v>16459</v>
      </c>
      <c r="H30" s="119">
        <f t="shared" si="0"/>
        <v>261.25396825396825</v>
      </c>
      <c r="I30" s="119">
        <v>61850</v>
      </c>
      <c r="J30" s="119">
        <v>1048.3050000000001</v>
      </c>
      <c r="K30" s="119">
        <v>296500</v>
      </c>
      <c r="L30" s="119">
        <v>4941.6670000000004</v>
      </c>
      <c r="M30" s="119">
        <f t="shared" si="3"/>
        <v>374.80900000000003</v>
      </c>
      <c r="N30" s="119"/>
      <c r="O30" s="119"/>
      <c r="P30" s="119"/>
      <c r="Q30" s="119">
        <f t="shared" si="5"/>
        <v>6.4</v>
      </c>
      <c r="R30" s="119">
        <f t="shared" si="6"/>
        <v>2.73</v>
      </c>
    </row>
    <row r="31" spans="1:18">
      <c r="A31" s="119" t="s">
        <v>158</v>
      </c>
      <c r="B31" s="119" t="s">
        <v>159</v>
      </c>
      <c r="C31" s="119">
        <v>2.73</v>
      </c>
      <c r="D31" s="119">
        <v>3.37</v>
      </c>
      <c r="E31" s="119">
        <v>3.03</v>
      </c>
      <c r="F31" s="119">
        <f t="shared" si="4"/>
        <v>9.129999999999999</v>
      </c>
      <c r="G31" s="119">
        <v>16459</v>
      </c>
      <c r="H31" s="119">
        <f t="shared" si="0"/>
        <v>261.25396825396825</v>
      </c>
      <c r="I31" s="119">
        <v>61850</v>
      </c>
      <c r="J31" s="119">
        <v>1048.3050000000001</v>
      </c>
      <c r="K31" s="119">
        <v>296500</v>
      </c>
      <c r="L31" s="119">
        <v>4941.6670000000004</v>
      </c>
      <c r="M31" s="119">
        <f t="shared" si="3"/>
        <v>374.80900000000003</v>
      </c>
      <c r="N31" s="119"/>
      <c r="O31" s="119"/>
      <c r="P31" s="119"/>
      <c r="Q31" s="119">
        <f t="shared" si="5"/>
        <v>6.4</v>
      </c>
      <c r="R31" s="119">
        <f t="shared" si="6"/>
        <v>2.73</v>
      </c>
    </row>
    <row r="32" spans="1:18">
      <c r="A32" s="119" t="s">
        <v>160</v>
      </c>
      <c r="B32" s="119" t="s">
        <v>161</v>
      </c>
      <c r="C32" s="119">
        <v>2.73</v>
      </c>
      <c r="D32" s="119">
        <v>3.37</v>
      </c>
      <c r="E32" s="119">
        <v>3.04</v>
      </c>
      <c r="F32" s="119">
        <f t="shared" si="4"/>
        <v>9.14</v>
      </c>
      <c r="G32" s="119">
        <v>16459</v>
      </c>
      <c r="H32" s="119">
        <f t="shared" si="0"/>
        <v>261.25396825396825</v>
      </c>
      <c r="I32" s="119">
        <v>61850</v>
      </c>
      <c r="J32" s="119">
        <v>1048.3050000000001</v>
      </c>
      <c r="K32" s="119">
        <v>296500</v>
      </c>
      <c r="L32" s="119">
        <v>4941.6670000000004</v>
      </c>
      <c r="M32" s="119">
        <f t="shared" si="3"/>
        <v>374.80900000000003</v>
      </c>
      <c r="N32" s="119"/>
      <c r="O32" s="119"/>
      <c r="P32" s="119"/>
      <c r="Q32" s="119">
        <f t="shared" si="5"/>
        <v>6.41</v>
      </c>
      <c r="R32" s="119">
        <f t="shared" si="6"/>
        <v>2.73</v>
      </c>
    </row>
    <row r="33" spans="1:18">
      <c r="A33" s="119" t="s">
        <v>162</v>
      </c>
      <c r="B33" s="119" t="s">
        <v>163</v>
      </c>
      <c r="C33" s="119">
        <v>2.73</v>
      </c>
      <c r="D33" s="119">
        <v>3.37</v>
      </c>
      <c r="E33" s="119">
        <v>3.54</v>
      </c>
      <c r="F33" s="119">
        <f t="shared" si="4"/>
        <v>9.64</v>
      </c>
      <c r="G33" s="119">
        <v>16459</v>
      </c>
      <c r="H33" s="119">
        <f t="shared" si="0"/>
        <v>261.25396825396825</v>
      </c>
      <c r="I33" s="119">
        <v>61850</v>
      </c>
      <c r="J33" s="119">
        <v>1048.3050000000001</v>
      </c>
      <c r="K33" s="119">
        <v>296500</v>
      </c>
      <c r="L33" s="119">
        <v>4941.6670000000004</v>
      </c>
      <c r="M33" s="119">
        <f t="shared" si="3"/>
        <v>374.80900000000003</v>
      </c>
      <c r="N33" s="119"/>
      <c r="O33" s="119"/>
      <c r="P33" s="119"/>
      <c r="Q33" s="119">
        <f t="shared" si="5"/>
        <v>6.91</v>
      </c>
      <c r="R33" s="119">
        <f t="shared" si="6"/>
        <v>2.73</v>
      </c>
    </row>
    <row r="34" spans="1:18">
      <c r="A34" s="119" t="s">
        <v>164</v>
      </c>
      <c r="B34" s="119" t="s">
        <v>165</v>
      </c>
      <c r="C34" s="119">
        <v>2.73</v>
      </c>
      <c r="D34" s="119">
        <v>3.37</v>
      </c>
      <c r="E34" s="119">
        <v>3.05</v>
      </c>
      <c r="F34" s="119">
        <f t="shared" si="4"/>
        <v>9.1499999999999986</v>
      </c>
      <c r="G34" s="119">
        <v>16459</v>
      </c>
      <c r="H34" s="119">
        <f t="shared" si="0"/>
        <v>261.25396825396825</v>
      </c>
      <c r="I34" s="119">
        <v>61850</v>
      </c>
      <c r="J34" s="119">
        <v>1048.3050000000001</v>
      </c>
      <c r="K34" s="119">
        <v>296500</v>
      </c>
      <c r="L34" s="119">
        <v>4941.6670000000004</v>
      </c>
      <c r="M34" s="119">
        <f t="shared" si="3"/>
        <v>374.80900000000003</v>
      </c>
      <c r="N34" s="119"/>
      <c r="O34" s="119"/>
      <c r="P34" s="119"/>
      <c r="Q34" s="119">
        <f t="shared" si="5"/>
        <v>6.42</v>
      </c>
      <c r="R34" s="119">
        <f t="shared" si="6"/>
        <v>2.73</v>
      </c>
    </row>
    <row r="35" spans="1:18">
      <c r="A35" s="119" t="s">
        <v>166</v>
      </c>
      <c r="B35" s="119" t="s">
        <v>167</v>
      </c>
      <c r="C35" s="119">
        <v>0</v>
      </c>
      <c r="D35" s="119">
        <v>3.37</v>
      </c>
      <c r="E35" s="119">
        <v>3.25</v>
      </c>
      <c r="F35" s="119">
        <f t="shared" si="4"/>
        <v>6.62</v>
      </c>
      <c r="G35" s="119">
        <v>16459</v>
      </c>
      <c r="H35" s="119">
        <f t="shared" si="0"/>
        <v>261.25396825396825</v>
      </c>
      <c r="I35" s="119">
        <v>61850</v>
      </c>
      <c r="J35" s="119">
        <v>1048.3050000000001</v>
      </c>
      <c r="K35" s="119">
        <v>130000</v>
      </c>
      <c r="L35" s="119">
        <v>130000</v>
      </c>
      <c r="M35" s="119">
        <f t="shared" si="3"/>
        <v>208.309</v>
      </c>
      <c r="N35" s="119"/>
      <c r="O35" s="119"/>
      <c r="P35" s="119"/>
      <c r="Q35" s="119">
        <f t="shared" si="5"/>
        <v>6.62</v>
      </c>
      <c r="R35" s="119">
        <f t="shared" si="6"/>
        <v>0</v>
      </c>
    </row>
    <row r="36" spans="1:18">
      <c r="A36" s="119" t="s">
        <v>166</v>
      </c>
      <c r="B36" s="119" t="s">
        <v>168</v>
      </c>
      <c r="C36" s="119">
        <v>0</v>
      </c>
      <c r="D36" s="119">
        <v>3.37</v>
      </c>
      <c r="E36" s="119">
        <v>3.23</v>
      </c>
      <c r="F36" s="119">
        <f t="shared" si="4"/>
        <v>6.6</v>
      </c>
      <c r="G36" s="119">
        <v>16459</v>
      </c>
      <c r="H36" s="119">
        <f t="shared" si="0"/>
        <v>261.25396825396825</v>
      </c>
      <c r="I36" s="119">
        <v>61850</v>
      </c>
      <c r="J36" s="119">
        <v>1048.3050000000001</v>
      </c>
      <c r="K36" s="119">
        <v>130000</v>
      </c>
      <c r="L36" s="119">
        <v>130000</v>
      </c>
      <c r="M36" s="119">
        <f t="shared" si="3"/>
        <v>208.309</v>
      </c>
      <c r="N36" s="119"/>
      <c r="O36" s="119"/>
      <c r="P36" s="119"/>
      <c r="Q36" s="119">
        <f t="shared" si="5"/>
        <v>6.6</v>
      </c>
      <c r="R36" s="119">
        <f t="shared" si="6"/>
        <v>0</v>
      </c>
    </row>
    <row r="37" spans="1:18">
      <c r="A37" s="119" t="s">
        <v>169</v>
      </c>
      <c r="B37" s="119" t="s">
        <v>170</v>
      </c>
      <c r="C37" s="119">
        <v>2.73</v>
      </c>
      <c r="D37" s="119">
        <v>3.37</v>
      </c>
      <c r="E37" s="119">
        <v>3.55</v>
      </c>
      <c r="F37" s="119">
        <f t="shared" si="4"/>
        <v>9.6499999999999986</v>
      </c>
      <c r="G37" s="119">
        <v>16459</v>
      </c>
      <c r="H37" s="119">
        <f t="shared" si="0"/>
        <v>261.25396825396825</v>
      </c>
      <c r="I37" s="119">
        <v>61850</v>
      </c>
      <c r="J37" s="119">
        <v>1048.3050000000001</v>
      </c>
      <c r="K37" s="119">
        <v>296500</v>
      </c>
      <c r="L37" s="119">
        <v>4941.6670000000004</v>
      </c>
      <c r="M37" s="119">
        <f t="shared" ref="M37:M68" si="7">SUM(G37,I37,K37)/1000</f>
        <v>374.80900000000003</v>
      </c>
      <c r="N37" s="119"/>
      <c r="O37" s="119"/>
      <c r="P37" s="119"/>
      <c r="Q37" s="119">
        <f t="shared" si="5"/>
        <v>6.92</v>
      </c>
      <c r="R37" s="119">
        <f t="shared" si="6"/>
        <v>2.73</v>
      </c>
    </row>
    <row r="38" spans="1:18">
      <c r="A38" s="119" t="s">
        <v>169</v>
      </c>
      <c r="B38" s="119" t="s">
        <v>171</v>
      </c>
      <c r="C38" s="119">
        <v>2.73</v>
      </c>
      <c r="D38" s="119">
        <v>3.37</v>
      </c>
      <c r="E38" s="119">
        <v>3.2</v>
      </c>
      <c r="F38" s="119">
        <f t="shared" si="4"/>
        <v>9.3000000000000007</v>
      </c>
      <c r="G38" s="119">
        <v>16459</v>
      </c>
      <c r="H38" s="119">
        <f t="shared" si="0"/>
        <v>261.25396825396825</v>
      </c>
      <c r="I38" s="119">
        <v>61850</v>
      </c>
      <c r="J38" s="119">
        <v>1048.3050000000001</v>
      </c>
      <c r="K38" s="119">
        <v>296500</v>
      </c>
      <c r="L38" s="119">
        <v>4941.6670000000004</v>
      </c>
      <c r="M38" s="119">
        <f t="shared" si="7"/>
        <v>374.80900000000003</v>
      </c>
      <c r="N38" s="119"/>
      <c r="O38" s="119"/>
      <c r="P38" s="119"/>
      <c r="Q38" s="119">
        <f t="shared" si="5"/>
        <v>6.57</v>
      </c>
      <c r="R38" s="119">
        <f t="shared" si="6"/>
        <v>2.73</v>
      </c>
    </row>
    <row r="39" spans="1:18">
      <c r="A39" s="119" t="s">
        <v>169</v>
      </c>
      <c r="B39" s="119" t="s">
        <v>172</v>
      </c>
      <c r="C39" s="119">
        <v>2.73</v>
      </c>
      <c r="D39" s="119">
        <v>3.37</v>
      </c>
      <c r="E39" s="119">
        <v>3.03</v>
      </c>
      <c r="F39" s="119">
        <f t="shared" si="4"/>
        <v>9.129999999999999</v>
      </c>
      <c r="G39" s="119">
        <v>16459</v>
      </c>
      <c r="H39" s="119">
        <f t="shared" si="0"/>
        <v>261.25396825396825</v>
      </c>
      <c r="I39" s="119">
        <v>61850</v>
      </c>
      <c r="J39" s="119">
        <v>1048.3050000000001</v>
      </c>
      <c r="K39" s="119">
        <v>296500</v>
      </c>
      <c r="L39" s="119">
        <v>4941.6670000000004</v>
      </c>
      <c r="M39" s="119">
        <f t="shared" si="7"/>
        <v>374.80900000000003</v>
      </c>
      <c r="N39" s="119"/>
      <c r="O39" s="119"/>
      <c r="P39" s="119"/>
      <c r="Q39" s="119">
        <f t="shared" si="5"/>
        <v>6.4</v>
      </c>
      <c r="R39" s="119">
        <f t="shared" si="6"/>
        <v>2.73</v>
      </c>
    </row>
    <row r="40" spans="1:18">
      <c r="A40" s="119" t="s">
        <v>169</v>
      </c>
      <c r="B40" s="119" t="s">
        <v>173</v>
      </c>
      <c r="C40" s="119">
        <v>2.73</v>
      </c>
      <c r="D40" s="119">
        <v>3.37</v>
      </c>
      <c r="E40" s="119">
        <v>3.25</v>
      </c>
      <c r="F40" s="119">
        <f t="shared" si="4"/>
        <v>9.35</v>
      </c>
      <c r="G40" s="119">
        <v>16459</v>
      </c>
      <c r="H40" s="119">
        <f t="shared" si="0"/>
        <v>261.25396825396825</v>
      </c>
      <c r="I40" s="119">
        <v>61850</v>
      </c>
      <c r="J40" s="119">
        <v>1048.3050000000001</v>
      </c>
      <c r="K40" s="119">
        <v>296500</v>
      </c>
      <c r="L40" s="119">
        <v>4941.6670000000004</v>
      </c>
      <c r="M40" s="119">
        <f t="shared" si="7"/>
        <v>374.80900000000003</v>
      </c>
      <c r="N40" s="119"/>
      <c r="O40" s="119"/>
      <c r="P40" s="119"/>
      <c r="Q40" s="119">
        <f t="shared" si="5"/>
        <v>6.62</v>
      </c>
      <c r="R40" s="119">
        <f t="shared" si="6"/>
        <v>2.73</v>
      </c>
    </row>
    <row r="41" spans="1:18">
      <c r="A41" s="119" t="s">
        <v>169</v>
      </c>
      <c r="B41" s="119" t="s">
        <v>174</v>
      </c>
      <c r="C41" s="119">
        <v>2.73</v>
      </c>
      <c r="D41" s="119">
        <v>3.37</v>
      </c>
      <c r="E41" s="119">
        <v>8.66</v>
      </c>
      <c r="F41" s="119">
        <f t="shared" si="4"/>
        <v>14.76</v>
      </c>
      <c r="G41" s="119">
        <v>13000</v>
      </c>
      <c r="H41" s="119">
        <v>13000</v>
      </c>
      <c r="I41" s="119">
        <v>61850</v>
      </c>
      <c r="J41" s="119">
        <v>1048.3050000000001</v>
      </c>
      <c r="K41" s="119">
        <v>296500</v>
      </c>
      <c r="L41" s="119">
        <v>4941.6670000000004</v>
      </c>
      <c r="M41" s="119">
        <f t="shared" si="7"/>
        <v>371.35</v>
      </c>
      <c r="N41" s="119"/>
      <c r="O41" s="119"/>
      <c r="P41" s="119"/>
      <c r="Q41" s="119">
        <f t="shared" si="5"/>
        <v>12.030000000000001</v>
      </c>
      <c r="R41" s="119">
        <f t="shared" si="6"/>
        <v>2.73</v>
      </c>
    </row>
    <row r="42" spans="1:18">
      <c r="A42" s="119" t="s">
        <v>175</v>
      </c>
      <c r="B42" s="119" t="s">
        <v>176</v>
      </c>
      <c r="C42" s="119">
        <v>2.73</v>
      </c>
      <c r="D42" s="119">
        <v>3.37</v>
      </c>
      <c r="E42" s="119">
        <v>3.08</v>
      </c>
      <c r="F42" s="119">
        <f t="shared" si="4"/>
        <v>9.18</v>
      </c>
      <c r="G42" s="119">
        <v>16459</v>
      </c>
      <c r="H42" s="119">
        <f t="shared" ref="H42:H68" si="8">G42/63</f>
        <v>261.25396825396825</v>
      </c>
      <c r="I42" s="119">
        <v>61850</v>
      </c>
      <c r="J42" s="119">
        <v>1048.3050000000001</v>
      </c>
      <c r="K42" s="119">
        <v>296500</v>
      </c>
      <c r="L42" s="119">
        <v>4941.6670000000004</v>
      </c>
      <c r="M42" s="119">
        <f t="shared" si="7"/>
        <v>374.80900000000003</v>
      </c>
      <c r="N42" s="119"/>
      <c r="O42" s="119"/>
      <c r="P42" s="119"/>
      <c r="Q42" s="119">
        <f t="shared" si="5"/>
        <v>6.45</v>
      </c>
      <c r="R42" s="119">
        <f t="shared" si="6"/>
        <v>2.73</v>
      </c>
    </row>
    <row r="43" spans="1:18">
      <c r="A43" s="119" t="s">
        <v>175</v>
      </c>
      <c r="B43" s="119" t="s">
        <v>177</v>
      </c>
      <c r="C43" s="119">
        <v>2.73</v>
      </c>
      <c r="D43" s="119">
        <v>3.37</v>
      </c>
      <c r="E43" s="119">
        <v>3.06</v>
      </c>
      <c r="F43" s="119">
        <f t="shared" si="4"/>
        <v>9.16</v>
      </c>
      <c r="G43" s="119">
        <v>16459</v>
      </c>
      <c r="H43" s="119">
        <f t="shared" si="8"/>
        <v>261.25396825396825</v>
      </c>
      <c r="I43" s="119">
        <v>61850</v>
      </c>
      <c r="J43" s="119">
        <v>1048.3050000000001</v>
      </c>
      <c r="K43" s="119">
        <v>296500</v>
      </c>
      <c r="L43" s="119">
        <v>4941.6670000000004</v>
      </c>
      <c r="M43" s="119">
        <f t="shared" si="7"/>
        <v>374.80900000000003</v>
      </c>
      <c r="N43" s="119"/>
      <c r="O43" s="119"/>
      <c r="P43" s="119"/>
      <c r="Q43" s="119">
        <f t="shared" si="5"/>
        <v>6.43</v>
      </c>
      <c r="R43" s="119">
        <f t="shared" si="6"/>
        <v>2.73</v>
      </c>
    </row>
    <row r="44" spans="1:18">
      <c r="A44" s="119" t="s">
        <v>175</v>
      </c>
      <c r="B44" s="119" t="s">
        <v>178</v>
      </c>
      <c r="C44" s="119">
        <v>2.73</v>
      </c>
      <c r="D44" s="119">
        <v>3.37</v>
      </c>
      <c r="E44" s="119">
        <v>3.03</v>
      </c>
      <c r="F44" s="119">
        <f t="shared" si="4"/>
        <v>9.129999999999999</v>
      </c>
      <c r="G44" s="119">
        <v>16459</v>
      </c>
      <c r="H44" s="119">
        <f t="shared" si="8"/>
        <v>261.25396825396825</v>
      </c>
      <c r="I44" s="119">
        <v>61850</v>
      </c>
      <c r="J44" s="119">
        <v>1048.3050000000001</v>
      </c>
      <c r="K44" s="119">
        <v>296500</v>
      </c>
      <c r="L44" s="119">
        <v>4941.6670000000004</v>
      </c>
      <c r="M44" s="119">
        <f t="shared" si="7"/>
        <v>374.80900000000003</v>
      </c>
      <c r="N44" s="119"/>
      <c r="O44" s="119"/>
      <c r="P44" s="119"/>
      <c r="Q44" s="119">
        <f t="shared" si="5"/>
        <v>6.4</v>
      </c>
      <c r="R44" s="119">
        <f t="shared" si="6"/>
        <v>2.73</v>
      </c>
    </row>
    <row r="45" spans="1:18">
      <c r="A45" s="119" t="s">
        <v>175</v>
      </c>
      <c r="B45" s="119" t="s">
        <v>179</v>
      </c>
      <c r="C45" s="119">
        <v>2.73</v>
      </c>
      <c r="D45" s="119">
        <v>3.37</v>
      </c>
      <c r="E45" s="119">
        <v>3.03</v>
      </c>
      <c r="F45" s="119">
        <f t="shared" si="4"/>
        <v>9.129999999999999</v>
      </c>
      <c r="G45" s="119">
        <v>16459</v>
      </c>
      <c r="H45" s="119">
        <f t="shared" si="8"/>
        <v>261.25396825396825</v>
      </c>
      <c r="I45" s="119">
        <v>61850</v>
      </c>
      <c r="J45" s="119">
        <v>1048.3050000000001</v>
      </c>
      <c r="K45" s="119">
        <v>296500</v>
      </c>
      <c r="L45" s="119">
        <v>4941.6670000000004</v>
      </c>
      <c r="M45" s="119">
        <f t="shared" si="7"/>
        <v>374.80900000000003</v>
      </c>
      <c r="N45" s="119"/>
      <c r="O45" s="119"/>
      <c r="P45" s="119"/>
      <c r="Q45" s="119">
        <f t="shared" si="5"/>
        <v>6.4</v>
      </c>
      <c r="R45" s="119">
        <f t="shared" si="6"/>
        <v>2.73</v>
      </c>
    </row>
    <row r="46" spans="1:18">
      <c r="A46" s="119" t="s">
        <v>175</v>
      </c>
      <c r="B46" s="119" t="s">
        <v>180</v>
      </c>
      <c r="C46" s="119">
        <v>2.73</v>
      </c>
      <c r="D46" s="119">
        <v>3.37</v>
      </c>
      <c r="E46" s="119">
        <v>3.06</v>
      </c>
      <c r="F46" s="119">
        <f t="shared" si="4"/>
        <v>9.16</v>
      </c>
      <c r="G46" s="119">
        <v>16459</v>
      </c>
      <c r="H46" s="119">
        <f t="shared" si="8"/>
        <v>261.25396825396825</v>
      </c>
      <c r="I46" s="119">
        <v>61850</v>
      </c>
      <c r="J46" s="119">
        <v>1048.3050000000001</v>
      </c>
      <c r="K46" s="119">
        <v>296500</v>
      </c>
      <c r="L46" s="119">
        <v>4941.6670000000004</v>
      </c>
      <c r="M46" s="119">
        <f t="shared" si="7"/>
        <v>374.80900000000003</v>
      </c>
      <c r="N46" s="119"/>
      <c r="O46" s="119"/>
      <c r="P46" s="119"/>
      <c r="Q46" s="119">
        <f t="shared" si="5"/>
        <v>6.43</v>
      </c>
      <c r="R46" s="119">
        <f t="shared" si="6"/>
        <v>2.73</v>
      </c>
    </row>
    <row r="47" spans="1:18">
      <c r="A47" s="119" t="s">
        <v>175</v>
      </c>
      <c r="B47" s="119" t="s">
        <v>181</v>
      </c>
      <c r="C47" s="119">
        <v>2.73</v>
      </c>
      <c r="D47" s="119">
        <v>57.7</v>
      </c>
      <c r="E47" s="119">
        <v>3.17</v>
      </c>
      <c r="F47" s="119">
        <f t="shared" si="4"/>
        <v>63.6</v>
      </c>
      <c r="G47" s="119">
        <v>16459</v>
      </c>
      <c r="H47" s="119">
        <f t="shared" si="8"/>
        <v>261.25396825396825</v>
      </c>
      <c r="I47" s="119">
        <v>10400</v>
      </c>
      <c r="J47" s="119">
        <v>10400</v>
      </c>
      <c r="K47" s="119">
        <v>296500</v>
      </c>
      <c r="L47" s="119">
        <v>4941.6670000000004</v>
      </c>
      <c r="M47" s="119">
        <f t="shared" si="7"/>
        <v>323.35899999999998</v>
      </c>
      <c r="N47" s="119"/>
      <c r="O47" s="119"/>
      <c r="P47" s="119"/>
      <c r="Q47" s="119">
        <f t="shared" si="5"/>
        <v>60.870000000000005</v>
      </c>
      <c r="R47" s="119">
        <f t="shared" si="6"/>
        <v>2.73</v>
      </c>
    </row>
    <row r="48" spans="1:18">
      <c r="A48" s="119" t="s">
        <v>175</v>
      </c>
      <c r="B48" s="119" t="s">
        <v>182</v>
      </c>
      <c r="C48" s="119">
        <v>2.73</v>
      </c>
      <c r="D48" s="119">
        <v>3.37</v>
      </c>
      <c r="E48" s="119">
        <v>3.11</v>
      </c>
      <c r="F48" s="119">
        <f t="shared" si="4"/>
        <v>9.2099999999999991</v>
      </c>
      <c r="G48" s="119">
        <v>16459</v>
      </c>
      <c r="H48" s="119">
        <f t="shared" si="8"/>
        <v>261.25396825396825</v>
      </c>
      <c r="I48" s="119">
        <v>61850</v>
      </c>
      <c r="J48" s="119">
        <v>1048.3050000000001</v>
      </c>
      <c r="K48" s="119">
        <v>296500</v>
      </c>
      <c r="L48" s="119">
        <v>4941.6670000000004</v>
      </c>
      <c r="M48" s="119">
        <f t="shared" si="7"/>
        <v>374.80900000000003</v>
      </c>
      <c r="N48" s="119"/>
      <c r="O48" s="119"/>
      <c r="P48" s="119"/>
      <c r="Q48" s="119">
        <f t="shared" si="5"/>
        <v>6.48</v>
      </c>
      <c r="R48" s="119">
        <f t="shared" si="6"/>
        <v>2.73</v>
      </c>
    </row>
    <row r="49" spans="1:18">
      <c r="A49" s="119" t="s">
        <v>175</v>
      </c>
      <c r="B49" s="119" t="s">
        <v>183</v>
      </c>
      <c r="C49" s="119">
        <v>2.73</v>
      </c>
      <c r="D49" s="119">
        <v>3.37</v>
      </c>
      <c r="E49" s="119">
        <v>3.1</v>
      </c>
      <c r="F49" s="119">
        <f t="shared" si="4"/>
        <v>9.1999999999999993</v>
      </c>
      <c r="G49" s="119">
        <v>16459</v>
      </c>
      <c r="H49" s="119">
        <f t="shared" si="8"/>
        <v>261.25396825396825</v>
      </c>
      <c r="I49" s="119">
        <v>61850</v>
      </c>
      <c r="J49" s="119">
        <v>1048.3050000000001</v>
      </c>
      <c r="K49" s="119">
        <v>296500</v>
      </c>
      <c r="L49" s="119">
        <v>4941.6670000000004</v>
      </c>
      <c r="M49" s="119">
        <f t="shared" si="7"/>
        <v>374.80900000000003</v>
      </c>
      <c r="N49" s="119"/>
      <c r="O49" s="119"/>
      <c r="P49" s="119"/>
      <c r="Q49" s="119">
        <f t="shared" si="5"/>
        <v>6.4700000000000006</v>
      </c>
      <c r="R49" s="119">
        <f t="shared" si="6"/>
        <v>2.73</v>
      </c>
    </row>
    <row r="50" spans="1:18">
      <c r="A50" s="119" t="s">
        <v>175</v>
      </c>
      <c r="B50" s="119" t="s">
        <v>184</v>
      </c>
      <c r="C50" s="119">
        <v>2.73</v>
      </c>
      <c r="D50" s="119">
        <v>3.37</v>
      </c>
      <c r="E50" s="119">
        <v>3.04</v>
      </c>
      <c r="F50" s="119">
        <f t="shared" si="4"/>
        <v>9.14</v>
      </c>
      <c r="G50" s="119">
        <v>16459</v>
      </c>
      <c r="H50" s="119">
        <f t="shared" si="8"/>
        <v>261.25396825396825</v>
      </c>
      <c r="I50" s="119">
        <v>61850</v>
      </c>
      <c r="J50" s="119">
        <v>1048.3050000000001</v>
      </c>
      <c r="K50" s="119">
        <v>296500</v>
      </c>
      <c r="L50" s="119">
        <v>4941.6670000000004</v>
      </c>
      <c r="M50" s="119">
        <f t="shared" si="7"/>
        <v>374.80900000000003</v>
      </c>
      <c r="N50" s="119"/>
      <c r="O50" s="119"/>
      <c r="P50" s="119"/>
      <c r="Q50" s="119">
        <f t="shared" si="5"/>
        <v>6.41</v>
      </c>
      <c r="R50" s="119">
        <f t="shared" si="6"/>
        <v>2.73</v>
      </c>
    </row>
    <row r="51" spans="1:18">
      <c r="A51" s="119" t="s">
        <v>175</v>
      </c>
      <c r="B51" s="119" t="s">
        <v>185</v>
      </c>
      <c r="C51" s="119">
        <v>2.73</v>
      </c>
      <c r="D51" s="119">
        <v>3.37</v>
      </c>
      <c r="E51" s="119">
        <v>3.41</v>
      </c>
      <c r="F51" s="119">
        <f t="shared" si="4"/>
        <v>9.51</v>
      </c>
      <c r="G51" s="119">
        <v>16459</v>
      </c>
      <c r="H51" s="119">
        <f t="shared" si="8"/>
        <v>261.25396825396825</v>
      </c>
      <c r="I51" s="119">
        <v>61850</v>
      </c>
      <c r="J51" s="119">
        <v>1048.3050000000001</v>
      </c>
      <c r="K51" s="119">
        <v>296500</v>
      </c>
      <c r="L51" s="119">
        <v>4941.6670000000004</v>
      </c>
      <c r="M51" s="119">
        <f t="shared" si="7"/>
        <v>374.80900000000003</v>
      </c>
      <c r="N51" s="119"/>
      <c r="O51" s="119"/>
      <c r="P51" s="119"/>
      <c r="Q51" s="119">
        <f t="shared" si="5"/>
        <v>6.78</v>
      </c>
      <c r="R51" s="119">
        <f t="shared" si="6"/>
        <v>2.73</v>
      </c>
    </row>
    <row r="52" spans="1:18">
      <c r="A52" s="119" t="s">
        <v>175</v>
      </c>
      <c r="B52" s="119" t="s">
        <v>186</v>
      </c>
      <c r="C52" s="119">
        <v>2.73</v>
      </c>
      <c r="D52" s="119">
        <v>3.37</v>
      </c>
      <c r="E52" s="119">
        <v>3.04</v>
      </c>
      <c r="F52" s="119">
        <f t="shared" si="4"/>
        <v>9.14</v>
      </c>
      <c r="G52" s="119">
        <v>16459</v>
      </c>
      <c r="H52" s="119">
        <f t="shared" si="8"/>
        <v>261.25396825396825</v>
      </c>
      <c r="I52" s="119">
        <v>61850</v>
      </c>
      <c r="J52" s="119">
        <v>1048.3050000000001</v>
      </c>
      <c r="K52" s="119">
        <v>296500</v>
      </c>
      <c r="L52" s="119">
        <v>4941.6670000000004</v>
      </c>
      <c r="M52" s="119">
        <f t="shared" si="7"/>
        <v>374.80900000000003</v>
      </c>
      <c r="N52" s="119"/>
      <c r="O52" s="119"/>
      <c r="P52" s="119"/>
      <c r="Q52" s="119">
        <f t="shared" si="5"/>
        <v>6.41</v>
      </c>
      <c r="R52" s="119">
        <f t="shared" si="6"/>
        <v>2.73</v>
      </c>
    </row>
    <row r="53" spans="1:18">
      <c r="A53" s="119" t="s">
        <v>175</v>
      </c>
      <c r="B53" s="119" t="s">
        <v>187</v>
      </c>
      <c r="C53" s="119">
        <v>2.73</v>
      </c>
      <c r="D53" s="119">
        <v>3.37</v>
      </c>
      <c r="E53" s="119">
        <v>3.3</v>
      </c>
      <c r="F53" s="119">
        <f t="shared" si="4"/>
        <v>9.3999999999999986</v>
      </c>
      <c r="G53" s="119">
        <v>16459</v>
      </c>
      <c r="H53" s="119">
        <f t="shared" si="8"/>
        <v>261.25396825396825</v>
      </c>
      <c r="I53" s="119">
        <v>61850</v>
      </c>
      <c r="J53" s="119">
        <v>1048.3050000000001</v>
      </c>
      <c r="K53" s="119">
        <v>296500</v>
      </c>
      <c r="L53" s="119">
        <v>4941.6670000000004</v>
      </c>
      <c r="M53" s="119">
        <f t="shared" si="7"/>
        <v>374.80900000000003</v>
      </c>
      <c r="N53" s="119"/>
      <c r="O53" s="119"/>
      <c r="P53" s="119"/>
      <c r="Q53" s="119">
        <f t="shared" si="5"/>
        <v>6.67</v>
      </c>
      <c r="R53" s="119">
        <f t="shared" si="6"/>
        <v>2.73</v>
      </c>
    </row>
    <row r="54" spans="1:18">
      <c r="A54" s="119" t="s">
        <v>175</v>
      </c>
      <c r="B54" s="119" t="s">
        <v>188</v>
      </c>
      <c r="C54" s="119">
        <v>2.73</v>
      </c>
      <c r="D54" s="119">
        <v>3.37</v>
      </c>
      <c r="E54" s="119">
        <v>3.05</v>
      </c>
      <c r="F54" s="119">
        <f t="shared" si="4"/>
        <v>9.1499999999999986</v>
      </c>
      <c r="G54" s="119">
        <v>16459</v>
      </c>
      <c r="H54" s="119">
        <f t="shared" si="8"/>
        <v>261.25396825396825</v>
      </c>
      <c r="I54" s="119">
        <v>61850</v>
      </c>
      <c r="J54" s="119">
        <v>1048.3050000000001</v>
      </c>
      <c r="K54" s="119">
        <v>296500</v>
      </c>
      <c r="L54" s="119">
        <v>4941.6670000000004</v>
      </c>
      <c r="M54" s="119">
        <f t="shared" si="7"/>
        <v>374.80900000000003</v>
      </c>
      <c r="N54" s="119"/>
      <c r="O54" s="119"/>
      <c r="P54" s="119"/>
      <c r="Q54" s="119">
        <f t="shared" si="5"/>
        <v>6.42</v>
      </c>
      <c r="R54" s="119">
        <f t="shared" si="6"/>
        <v>2.73</v>
      </c>
    </row>
    <row r="55" spans="1:18">
      <c r="A55" s="119" t="s">
        <v>175</v>
      </c>
      <c r="B55" s="119" t="s">
        <v>189</v>
      </c>
      <c r="C55" s="119">
        <v>2.73</v>
      </c>
      <c r="D55" s="119">
        <v>3.37</v>
      </c>
      <c r="E55" s="119">
        <v>3.09</v>
      </c>
      <c r="F55" s="119">
        <f t="shared" si="4"/>
        <v>9.19</v>
      </c>
      <c r="G55" s="119">
        <v>16459</v>
      </c>
      <c r="H55" s="119">
        <f t="shared" si="8"/>
        <v>261.25396825396825</v>
      </c>
      <c r="I55" s="119">
        <v>61850</v>
      </c>
      <c r="J55" s="119">
        <v>1048.3050000000001</v>
      </c>
      <c r="K55" s="119">
        <v>296500</v>
      </c>
      <c r="L55" s="119">
        <v>4941.6670000000004</v>
      </c>
      <c r="M55" s="119">
        <f t="shared" si="7"/>
        <v>374.80900000000003</v>
      </c>
      <c r="N55" s="119"/>
      <c r="O55" s="119"/>
      <c r="P55" s="119"/>
      <c r="Q55" s="119">
        <f t="shared" si="5"/>
        <v>6.46</v>
      </c>
      <c r="R55" s="119">
        <f t="shared" si="6"/>
        <v>2.73</v>
      </c>
    </row>
    <row r="56" spans="1:18">
      <c r="A56" s="119" t="s">
        <v>175</v>
      </c>
      <c r="B56" s="119" t="s">
        <v>190</v>
      </c>
      <c r="C56" s="119">
        <v>2.73</v>
      </c>
      <c r="D56" s="119">
        <v>3.37</v>
      </c>
      <c r="E56" s="119">
        <v>3.03</v>
      </c>
      <c r="F56" s="119">
        <f t="shared" si="4"/>
        <v>9.129999999999999</v>
      </c>
      <c r="G56" s="119">
        <v>16459</v>
      </c>
      <c r="H56" s="119">
        <f t="shared" si="8"/>
        <v>261.25396825396825</v>
      </c>
      <c r="I56" s="119">
        <v>61850</v>
      </c>
      <c r="J56" s="119">
        <v>1048.3050000000001</v>
      </c>
      <c r="K56" s="119">
        <v>296500</v>
      </c>
      <c r="L56" s="119">
        <v>4941.6670000000004</v>
      </c>
      <c r="M56" s="119">
        <f t="shared" si="7"/>
        <v>374.80900000000003</v>
      </c>
      <c r="N56" s="119"/>
      <c r="O56" s="119"/>
      <c r="P56" s="119"/>
      <c r="Q56" s="119">
        <f t="shared" si="5"/>
        <v>6.4</v>
      </c>
      <c r="R56" s="119">
        <f t="shared" si="6"/>
        <v>2.73</v>
      </c>
    </row>
    <row r="57" spans="1:18">
      <c r="A57" s="119" t="s">
        <v>175</v>
      </c>
      <c r="B57" s="119" t="s">
        <v>191</v>
      </c>
      <c r="C57" s="119">
        <v>2.73</v>
      </c>
      <c r="D57" s="119">
        <v>3.37</v>
      </c>
      <c r="E57" s="119">
        <v>3.38</v>
      </c>
      <c r="F57" s="119">
        <f t="shared" si="4"/>
        <v>9.48</v>
      </c>
      <c r="G57" s="119">
        <v>16459</v>
      </c>
      <c r="H57" s="119">
        <f t="shared" si="8"/>
        <v>261.25396825396825</v>
      </c>
      <c r="I57" s="119">
        <v>61850</v>
      </c>
      <c r="J57" s="119">
        <v>1048.3050000000001</v>
      </c>
      <c r="K57" s="119">
        <v>296500</v>
      </c>
      <c r="L57" s="119">
        <v>4941.6670000000004</v>
      </c>
      <c r="M57" s="119">
        <f t="shared" si="7"/>
        <v>374.80900000000003</v>
      </c>
      <c r="N57" s="119"/>
      <c r="O57" s="119"/>
      <c r="P57" s="119"/>
      <c r="Q57" s="119">
        <f t="shared" si="5"/>
        <v>6.75</v>
      </c>
      <c r="R57" s="119">
        <f t="shared" si="6"/>
        <v>2.73</v>
      </c>
    </row>
    <row r="58" spans="1:18">
      <c r="A58" s="119" t="s">
        <v>175</v>
      </c>
      <c r="B58" s="119" t="s">
        <v>192</v>
      </c>
      <c r="C58" s="119">
        <v>2.73</v>
      </c>
      <c r="D58" s="119">
        <v>3.37</v>
      </c>
      <c r="E58" s="119">
        <v>3.11</v>
      </c>
      <c r="F58" s="119">
        <f t="shared" si="4"/>
        <v>9.2099999999999991</v>
      </c>
      <c r="G58" s="119">
        <v>16459</v>
      </c>
      <c r="H58" s="119">
        <f t="shared" si="8"/>
        <v>261.25396825396825</v>
      </c>
      <c r="I58" s="119">
        <v>61850</v>
      </c>
      <c r="J58" s="119">
        <v>1048.3050000000001</v>
      </c>
      <c r="K58" s="119">
        <v>296500</v>
      </c>
      <c r="L58" s="119">
        <v>4941.6670000000004</v>
      </c>
      <c r="M58" s="119">
        <f t="shared" si="7"/>
        <v>374.80900000000003</v>
      </c>
      <c r="N58" s="119"/>
      <c r="O58" s="119"/>
      <c r="P58" s="119"/>
      <c r="Q58" s="119">
        <f t="shared" si="5"/>
        <v>6.48</v>
      </c>
      <c r="R58" s="119">
        <f t="shared" si="6"/>
        <v>2.73</v>
      </c>
    </row>
    <row r="59" spans="1:18">
      <c r="A59" s="119" t="s">
        <v>193</v>
      </c>
      <c r="B59" s="119" t="s">
        <v>194</v>
      </c>
      <c r="C59" s="119">
        <v>2.73</v>
      </c>
      <c r="D59" s="119">
        <v>52.25</v>
      </c>
      <c r="E59" s="119">
        <v>3.06</v>
      </c>
      <c r="F59" s="119">
        <f t="shared" si="4"/>
        <v>58.04</v>
      </c>
      <c r="G59" s="119">
        <v>16459</v>
      </c>
      <c r="H59" s="119">
        <f t="shared" si="8"/>
        <v>261.25396825396825</v>
      </c>
      <c r="I59" s="119">
        <v>24000</v>
      </c>
      <c r="J59" s="119">
        <v>24000</v>
      </c>
      <c r="K59" s="119">
        <v>296500</v>
      </c>
      <c r="L59" s="119">
        <v>4941.6670000000004</v>
      </c>
      <c r="M59" s="119">
        <f t="shared" si="7"/>
        <v>336.959</v>
      </c>
      <c r="N59" s="119"/>
      <c r="O59" s="119"/>
      <c r="P59" s="119"/>
      <c r="Q59" s="119">
        <f t="shared" si="5"/>
        <v>55.31</v>
      </c>
      <c r="R59" s="119">
        <f t="shared" si="6"/>
        <v>2.73</v>
      </c>
    </row>
    <row r="60" spans="1:18">
      <c r="A60" s="119" t="s">
        <v>193</v>
      </c>
      <c r="B60" s="119" t="s">
        <v>195</v>
      </c>
      <c r="C60" s="119">
        <v>2.73</v>
      </c>
      <c r="D60" s="119">
        <v>3.37</v>
      </c>
      <c r="E60" s="119">
        <v>3.19</v>
      </c>
      <c r="F60" s="119">
        <f t="shared" si="4"/>
        <v>9.2899999999999991</v>
      </c>
      <c r="G60" s="119">
        <v>16459</v>
      </c>
      <c r="H60" s="119">
        <f t="shared" si="8"/>
        <v>261.25396825396825</v>
      </c>
      <c r="I60" s="119">
        <v>61850</v>
      </c>
      <c r="J60" s="119">
        <v>1048.3050000000001</v>
      </c>
      <c r="K60" s="119">
        <v>296500</v>
      </c>
      <c r="L60" s="119">
        <v>4941.6670000000004</v>
      </c>
      <c r="M60" s="119">
        <f t="shared" si="7"/>
        <v>374.80900000000003</v>
      </c>
      <c r="N60" s="119"/>
      <c r="O60" s="119"/>
      <c r="P60" s="119"/>
      <c r="Q60" s="119">
        <f t="shared" si="5"/>
        <v>6.5600000000000005</v>
      </c>
      <c r="R60" s="119">
        <f t="shared" si="6"/>
        <v>2.73</v>
      </c>
    </row>
    <row r="61" spans="1:18">
      <c r="A61" s="119" t="s">
        <v>196</v>
      </c>
      <c r="B61" s="119" t="s">
        <v>197</v>
      </c>
      <c r="C61" s="119">
        <v>2.73</v>
      </c>
      <c r="D61" s="119">
        <v>3.37</v>
      </c>
      <c r="E61" s="119">
        <v>3.16</v>
      </c>
      <c r="F61" s="119">
        <f t="shared" si="4"/>
        <v>9.26</v>
      </c>
      <c r="G61" s="119">
        <v>16459</v>
      </c>
      <c r="H61" s="119">
        <f t="shared" si="8"/>
        <v>261.25396825396825</v>
      </c>
      <c r="I61" s="119">
        <v>61850</v>
      </c>
      <c r="J61" s="119">
        <v>1048.3050000000001</v>
      </c>
      <c r="K61" s="119">
        <v>296500</v>
      </c>
      <c r="L61" s="119">
        <v>4941.6670000000004</v>
      </c>
      <c r="M61" s="119">
        <f t="shared" si="7"/>
        <v>374.80900000000003</v>
      </c>
      <c r="N61" s="119"/>
      <c r="O61" s="119"/>
      <c r="P61" s="119"/>
      <c r="Q61" s="119">
        <f t="shared" si="5"/>
        <v>6.53</v>
      </c>
      <c r="R61" s="119">
        <f t="shared" si="6"/>
        <v>2.73</v>
      </c>
    </row>
    <row r="62" spans="1:18">
      <c r="A62" s="119" t="s">
        <v>196</v>
      </c>
      <c r="B62" s="119" t="s">
        <v>198</v>
      </c>
      <c r="C62" s="119">
        <v>2.73</v>
      </c>
      <c r="D62" s="119">
        <v>3.37</v>
      </c>
      <c r="E62" s="119">
        <v>3.21</v>
      </c>
      <c r="F62" s="119">
        <f t="shared" si="4"/>
        <v>9.3099999999999987</v>
      </c>
      <c r="G62" s="119">
        <v>16459</v>
      </c>
      <c r="H62" s="119">
        <f t="shared" si="8"/>
        <v>261.25396825396825</v>
      </c>
      <c r="I62" s="119">
        <v>61850</v>
      </c>
      <c r="J62" s="119">
        <v>1048.3050000000001</v>
      </c>
      <c r="K62" s="119">
        <v>296500</v>
      </c>
      <c r="L62" s="119">
        <v>4941.6670000000004</v>
      </c>
      <c r="M62" s="119">
        <f t="shared" si="7"/>
        <v>374.80900000000003</v>
      </c>
      <c r="N62" s="119"/>
      <c r="O62" s="119"/>
      <c r="P62" s="119"/>
      <c r="Q62" s="119">
        <f t="shared" si="5"/>
        <v>6.58</v>
      </c>
      <c r="R62" s="119">
        <f t="shared" si="6"/>
        <v>2.73</v>
      </c>
    </row>
    <row r="63" spans="1:18">
      <c r="A63" s="119" t="s">
        <v>196</v>
      </c>
      <c r="B63" s="119" t="s">
        <v>199</v>
      </c>
      <c r="C63" s="119">
        <v>2.73</v>
      </c>
      <c r="D63" s="119">
        <v>3.37</v>
      </c>
      <c r="E63" s="119">
        <v>3.03</v>
      </c>
      <c r="F63" s="119">
        <f t="shared" si="4"/>
        <v>9.129999999999999</v>
      </c>
      <c r="G63" s="119">
        <v>16459</v>
      </c>
      <c r="H63" s="119">
        <f t="shared" si="8"/>
        <v>261.25396825396825</v>
      </c>
      <c r="I63" s="119">
        <v>61850</v>
      </c>
      <c r="J63" s="119">
        <v>1048.3050000000001</v>
      </c>
      <c r="K63" s="119">
        <v>296500</v>
      </c>
      <c r="L63" s="119">
        <v>4941.6670000000004</v>
      </c>
      <c r="M63" s="119">
        <f t="shared" si="7"/>
        <v>374.80900000000003</v>
      </c>
      <c r="N63" s="119"/>
      <c r="O63" s="119"/>
      <c r="P63" s="119"/>
      <c r="Q63" s="119">
        <f t="shared" si="5"/>
        <v>6.4</v>
      </c>
      <c r="R63" s="119">
        <f t="shared" si="6"/>
        <v>2.73</v>
      </c>
    </row>
    <row r="64" spans="1:18">
      <c r="A64" s="119" t="s">
        <v>196</v>
      </c>
      <c r="B64" s="119" t="s">
        <v>200</v>
      </c>
      <c r="C64" s="119">
        <v>2.73</v>
      </c>
      <c r="D64" s="119">
        <v>3.37</v>
      </c>
      <c r="E64" s="119">
        <v>3.03</v>
      </c>
      <c r="F64" s="119">
        <f t="shared" si="4"/>
        <v>9.129999999999999</v>
      </c>
      <c r="G64" s="119">
        <v>16459</v>
      </c>
      <c r="H64" s="119">
        <f t="shared" si="8"/>
        <v>261.25396825396825</v>
      </c>
      <c r="I64" s="119">
        <v>61850</v>
      </c>
      <c r="J64" s="119">
        <v>1048.3050000000001</v>
      </c>
      <c r="K64" s="119">
        <v>296500</v>
      </c>
      <c r="L64" s="119">
        <v>4941.6670000000004</v>
      </c>
      <c r="M64" s="119">
        <f t="shared" si="7"/>
        <v>374.80900000000003</v>
      </c>
      <c r="N64" s="119"/>
      <c r="O64" s="119"/>
      <c r="P64" s="119"/>
      <c r="Q64" s="119">
        <f t="shared" si="5"/>
        <v>6.4</v>
      </c>
      <c r="R64" s="119">
        <f t="shared" si="6"/>
        <v>2.73</v>
      </c>
    </row>
    <row r="65" spans="1:18">
      <c r="A65" s="119" t="s">
        <v>196</v>
      </c>
      <c r="B65" s="119" t="s">
        <v>201</v>
      </c>
      <c r="C65" s="119">
        <v>2.73</v>
      </c>
      <c r="D65" s="119">
        <v>4.32</v>
      </c>
      <c r="E65" s="119">
        <v>3.17</v>
      </c>
      <c r="F65" s="119">
        <f t="shared" si="4"/>
        <v>10.220000000000001</v>
      </c>
      <c r="G65" s="119">
        <v>16459</v>
      </c>
      <c r="H65" s="119">
        <f t="shared" si="8"/>
        <v>261.25396825396825</v>
      </c>
      <c r="I65" s="119">
        <v>13400</v>
      </c>
      <c r="J65" s="119">
        <v>13400</v>
      </c>
      <c r="K65" s="119">
        <v>296500</v>
      </c>
      <c r="L65" s="119">
        <v>4941.6670000000004</v>
      </c>
      <c r="M65" s="119">
        <f t="shared" si="7"/>
        <v>326.35899999999998</v>
      </c>
      <c r="N65" s="119"/>
      <c r="O65" s="119"/>
      <c r="P65" s="119"/>
      <c r="Q65" s="119">
        <f t="shared" si="5"/>
        <v>7.49</v>
      </c>
      <c r="R65" s="119">
        <f t="shared" si="6"/>
        <v>2.73</v>
      </c>
    </row>
    <row r="66" spans="1:18">
      <c r="A66" s="119" t="s">
        <v>196</v>
      </c>
      <c r="B66" s="119" t="s">
        <v>202</v>
      </c>
      <c r="C66" s="119">
        <v>2.73</v>
      </c>
      <c r="D66" s="119">
        <v>3.37</v>
      </c>
      <c r="E66" s="119">
        <v>3.19</v>
      </c>
      <c r="F66" s="119">
        <f t="shared" si="4"/>
        <v>9.2899999999999991</v>
      </c>
      <c r="G66" s="119">
        <v>16459</v>
      </c>
      <c r="H66" s="119">
        <f t="shared" si="8"/>
        <v>261.25396825396825</v>
      </c>
      <c r="I66" s="119">
        <v>61850</v>
      </c>
      <c r="J66" s="119">
        <v>1048.3050000000001</v>
      </c>
      <c r="K66" s="119">
        <v>296500</v>
      </c>
      <c r="L66" s="119">
        <v>4941.6670000000004</v>
      </c>
      <c r="M66" s="119">
        <f t="shared" si="7"/>
        <v>374.80900000000003</v>
      </c>
      <c r="N66" s="119"/>
      <c r="O66" s="119"/>
      <c r="P66" s="119"/>
      <c r="Q66" s="119">
        <f t="shared" si="5"/>
        <v>6.5600000000000005</v>
      </c>
      <c r="R66" s="119">
        <f t="shared" si="6"/>
        <v>2.73</v>
      </c>
    </row>
    <row r="67" spans="1:18">
      <c r="A67" s="119" t="s">
        <v>196</v>
      </c>
      <c r="B67" s="119" t="s">
        <v>203</v>
      </c>
      <c r="C67" s="119">
        <v>2.73</v>
      </c>
      <c r="D67" s="119">
        <v>3.37</v>
      </c>
      <c r="E67" s="119">
        <v>3.03</v>
      </c>
      <c r="F67" s="119">
        <f t="shared" si="4"/>
        <v>9.129999999999999</v>
      </c>
      <c r="G67" s="119">
        <v>16459</v>
      </c>
      <c r="H67" s="119">
        <f t="shared" si="8"/>
        <v>261.25396825396825</v>
      </c>
      <c r="I67" s="119">
        <v>61850</v>
      </c>
      <c r="J67" s="119">
        <v>1048.3050000000001</v>
      </c>
      <c r="K67" s="119">
        <v>296500</v>
      </c>
      <c r="L67" s="119">
        <v>4941.6670000000004</v>
      </c>
      <c r="M67" s="119">
        <f t="shared" si="7"/>
        <v>374.80900000000003</v>
      </c>
      <c r="N67" s="119"/>
      <c r="O67" s="119"/>
      <c r="P67" s="119"/>
      <c r="Q67" s="119">
        <f t="shared" si="5"/>
        <v>6.4</v>
      </c>
      <c r="R67" s="119">
        <f t="shared" si="6"/>
        <v>2.73</v>
      </c>
    </row>
    <row r="68" spans="1:18">
      <c r="A68" s="119" t="s">
        <v>196</v>
      </c>
      <c r="B68" s="119" t="s">
        <v>204</v>
      </c>
      <c r="C68" s="119">
        <v>2.73</v>
      </c>
      <c r="D68" s="119">
        <v>3.37</v>
      </c>
      <c r="E68" s="119">
        <v>3.04</v>
      </c>
      <c r="F68" s="119">
        <f t="shared" si="4"/>
        <v>9.14</v>
      </c>
      <c r="G68" s="119">
        <v>16459</v>
      </c>
      <c r="H68" s="119">
        <f t="shared" si="8"/>
        <v>261.25396825396825</v>
      </c>
      <c r="I68" s="119">
        <v>61850</v>
      </c>
      <c r="J68" s="119">
        <v>1048.3050000000001</v>
      </c>
      <c r="K68" s="119">
        <v>296500</v>
      </c>
      <c r="L68" s="119">
        <v>4941.6670000000004</v>
      </c>
      <c r="M68" s="119">
        <f t="shared" si="7"/>
        <v>374.80900000000003</v>
      </c>
      <c r="N68" s="119"/>
      <c r="O68" s="119"/>
      <c r="P68" s="119"/>
      <c r="Q68" s="119">
        <f t="shared" si="5"/>
        <v>6.41</v>
      </c>
      <c r="R68" s="119">
        <f t="shared" si="6"/>
        <v>2.73</v>
      </c>
    </row>
  </sheetData>
  <phoneticPr fontId="3" type="noConversion"/>
  <pageMargins left="0.7" right="0.7" top="0.75" bottom="0.75" header="0.3" footer="0.3"/>
  <pageSetup scale="4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608E8-8852-433F-BFAC-80875704B5A2}">
  <sheetPr>
    <pageSetUpPr fitToPage="1"/>
  </sheetPr>
  <dimension ref="A1:AL614"/>
  <sheetViews>
    <sheetView zoomScaleNormal="100" workbookViewId="0"/>
  </sheetViews>
  <sheetFormatPr defaultRowHeight="15"/>
  <cols>
    <col min="1" max="1" width="20" bestFit="1" customWidth="1"/>
    <col min="2" max="2" width="16.5703125" bestFit="1" customWidth="1"/>
    <col min="3" max="3" width="46.85546875" bestFit="1" customWidth="1"/>
    <col min="4" max="4" width="37.5703125" bestFit="1" customWidth="1"/>
    <col min="5" max="5" width="10.85546875" bestFit="1" customWidth="1"/>
    <col min="6" max="6" width="32.140625" hidden="1" customWidth="1"/>
    <col min="7" max="7" width="34.5703125" bestFit="1" customWidth="1"/>
    <col min="8" max="8" width="23.85546875" style="188" bestFit="1" customWidth="1"/>
    <col min="9" max="18" width="19" bestFit="1" customWidth="1"/>
    <col min="19" max="19" width="19" style="8" bestFit="1" customWidth="1"/>
    <col min="20" max="34" width="19" style="3" customWidth="1"/>
    <col min="38" max="38" width="27" bestFit="1" customWidth="1"/>
  </cols>
  <sheetData>
    <row r="1" spans="1:38">
      <c r="H1" s="198"/>
      <c r="I1" s="76"/>
      <c r="J1" s="76"/>
    </row>
    <row r="2" spans="1:38">
      <c r="H2" s="198"/>
    </row>
    <row r="3" spans="1:38">
      <c r="H3" s="247" t="s">
        <v>1452</v>
      </c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157"/>
      <c r="U3" s="157"/>
      <c r="V3" s="157"/>
      <c r="W3" s="157"/>
      <c r="X3" s="3" t="s">
        <v>1573</v>
      </c>
      <c r="Y3" s="157"/>
      <c r="Z3" s="157"/>
      <c r="AA3" s="157"/>
      <c r="AB3" s="157"/>
      <c r="AC3" s="157"/>
      <c r="AD3" s="157"/>
      <c r="AE3" s="157"/>
      <c r="AF3" s="157"/>
      <c r="AG3" s="157"/>
      <c r="AH3" s="157"/>
    </row>
    <row r="4" spans="1:38">
      <c r="A4" s="122" t="s">
        <v>1586</v>
      </c>
      <c r="B4" s="123" t="s">
        <v>956</v>
      </c>
      <c r="C4" s="123" t="s">
        <v>957</v>
      </c>
      <c r="D4" s="123" t="s">
        <v>958</v>
      </c>
      <c r="E4" s="123" t="s">
        <v>959</v>
      </c>
      <c r="F4" s="122" t="s">
        <v>960</v>
      </c>
      <c r="G4" s="123" t="s">
        <v>961</v>
      </c>
      <c r="H4" s="153" t="s">
        <v>962</v>
      </c>
      <c r="I4" s="122" t="s">
        <v>963</v>
      </c>
      <c r="J4" s="122" t="s">
        <v>964</v>
      </c>
      <c r="K4" s="122" t="s">
        <v>965</v>
      </c>
      <c r="L4" s="122" t="s">
        <v>966</v>
      </c>
      <c r="M4" s="122" t="s">
        <v>967</v>
      </c>
      <c r="N4" s="122" t="s">
        <v>968</v>
      </c>
      <c r="O4" s="122" t="s">
        <v>969</v>
      </c>
      <c r="P4" s="122" t="s">
        <v>970</v>
      </c>
      <c r="Q4" s="122" t="s">
        <v>971</v>
      </c>
      <c r="R4" s="122" t="s">
        <v>972</v>
      </c>
      <c r="S4" s="152" t="s">
        <v>973</v>
      </c>
      <c r="U4" s="96" t="s">
        <v>1575</v>
      </c>
      <c r="V4" s="96" t="s">
        <v>8</v>
      </c>
      <c r="W4" s="3" t="s">
        <v>96</v>
      </c>
      <c r="X4" s="3" t="s">
        <v>1574</v>
      </c>
      <c r="Y4" s="3" t="s">
        <v>1576</v>
      </c>
      <c r="Z4" s="3" t="s">
        <v>1577</v>
      </c>
      <c r="AA4" s="3" t="s">
        <v>1578</v>
      </c>
      <c r="AB4" s="3" t="s">
        <v>1579</v>
      </c>
      <c r="AC4" s="3" t="s">
        <v>1580</v>
      </c>
      <c r="AD4" s="3" t="s">
        <v>1581</v>
      </c>
      <c r="AE4" s="3" t="s">
        <v>1582</v>
      </c>
      <c r="AF4" s="3" t="s">
        <v>1583</v>
      </c>
      <c r="AG4" s="3" t="s">
        <v>1584</v>
      </c>
      <c r="AH4" s="3" t="s">
        <v>1585</v>
      </c>
      <c r="AK4" t="s">
        <v>207</v>
      </c>
    </row>
    <row r="5" spans="1:38">
      <c r="A5" t="s">
        <v>290</v>
      </c>
      <c r="B5" t="s">
        <v>974</v>
      </c>
      <c r="C5" t="s">
        <v>975</v>
      </c>
      <c r="D5" t="s">
        <v>290</v>
      </c>
      <c r="E5" t="s">
        <v>207</v>
      </c>
      <c r="F5" t="s">
        <v>976</v>
      </c>
      <c r="G5">
        <v>10</v>
      </c>
      <c r="H5" s="189">
        <v>104.39336</v>
      </c>
      <c r="I5" s="67">
        <v>0</v>
      </c>
      <c r="J5" s="67">
        <v>292.54836</v>
      </c>
      <c r="K5" s="67">
        <v>0</v>
      </c>
      <c r="L5" s="67">
        <v>0</v>
      </c>
      <c r="M5" s="67">
        <v>0</v>
      </c>
      <c r="N5" s="67">
        <v>0</v>
      </c>
      <c r="O5" s="67">
        <v>0</v>
      </c>
      <c r="P5" s="67">
        <v>0</v>
      </c>
      <c r="Q5" s="67">
        <v>0</v>
      </c>
      <c r="R5" s="67">
        <v>0</v>
      </c>
      <c r="S5" s="190">
        <v>0</v>
      </c>
      <c r="T5" s="191"/>
      <c r="U5" s="193" t="s">
        <v>1540</v>
      </c>
      <c r="V5" s="191" t="s">
        <v>318</v>
      </c>
      <c r="W5" s="192">
        <v>5</v>
      </c>
      <c r="X5" s="191">
        <v>517.56016</v>
      </c>
      <c r="Y5" s="191">
        <v>0</v>
      </c>
      <c r="Z5" s="191">
        <v>0</v>
      </c>
      <c r="AA5" s="191">
        <v>0</v>
      </c>
      <c r="AB5" s="191">
        <v>15</v>
      </c>
      <c r="AC5" s="191">
        <v>15</v>
      </c>
      <c r="AD5" s="191">
        <v>5635</v>
      </c>
      <c r="AE5" s="191">
        <v>3600.4100699999999</v>
      </c>
      <c r="AF5" s="191">
        <v>3000.4599600000001</v>
      </c>
      <c r="AG5" s="191">
        <v>0</v>
      </c>
      <c r="AH5" s="191">
        <v>0</v>
      </c>
      <c r="AL5" s="144" t="s">
        <v>210</v>
      </c>
    </row>
    <row r="6" spans="1:38">
      <c r="A6" s="155" t="s">
        <v>290</v>
      </c>
      <c r="B6" t="s">
        <v>974</v>
      </c>
      <c r="C6" t="s">
        <v>977</v>
      </c>
      <c r="D6" t="s">
        <v>978</v>
      </c>
      <c r="E6" t="s">
        <v>208</v>
      </c>
      <c r="F6" t="s">
        <v>979</v>
      </c>
      <c r="G6">
        <v>10</v>
      </c>
      <c r="H6" s="189">
        <v>15083.872960000001</v>
      </c>
      <c r="I6" s="67">
        <v>1225.19346</v>
      </c>
      <c r="J6" s="67">
        <v>0</v>
      </c>
      <c r="K6" s="67">
        <v>0</v>
      </c>
      <c r="L6" s="67">
        <v>0</v>
      </c>
      <c r="M6" s="67">
        <v>0</v>
      </c>
      <c r="N6" s="67">
        <v>0</v>
      </c>
      <c r="O6" s="67">
        <v>0</v>
      </c>
      <c r="P6" s="67">
        <v>0</v>
      </c>
      <c r="Q6" s="67">
        <v>0</v>
      </c>
      <c r="R6" s="67">
        <v>0</v>
      </c>
      <c r="S6" s="190">
        <v>0</v>
      </c>
      <c r="T6" s="191"/>
      <c r="U6" s="193" t="s">
        <v>1457</v>
      </c>
      <c r="V6" s="191" t="s">
        <v>216</v>
      </c>
      <c r="W6" s="192">
        <v>2.2000000000000002</v>
      </c>
      <c r="X6" s="191">
        <v>41</v>
      </c>
      <c r="Y6" s="191">
        <v>0</v>
      </c>
      <c r="Z6" s="191">
        <v>270.54000000000002</v>
      </c>
      <c r="AA6" s="191">
        <v>0</v>
      </c>
      <c r="AB6" s="191">
        <v>0</v>
      </c>
      <c r="AC6" s="191">
        <v>0</v>
      </c>
      <c r="AD6" s="191">
        <v>0</v>
      </c>
      <c r="AE6" s="191">
        <v>0</v>
      </c>
      <c r="AF6" s="191">
        <v>0</v>
      </c>
      <c r="AG6" s="191">
        <v>0</v>
      </c>
      <c r="AH6" s="191">
        <v>0</v>
      </c>
      <c r="AL6" s="144" t="s">
        <v>212</v>
      </c>
    </row>
    <row r="7" spans="1:38">
      <c r="A7" s="155" t="s">
        <v>290</v>
      </c>
      <c r="B7" t="s">
        <v>974</v>
      </c>
      <c r="C7" t="s">
        <v>980</v>
      </c>
      <c r="D7" t="s">
        <v>978</v>
      </c>
      <c r="E7" t="s">
        <v>207</v>
      </c>
      <c r="F7" t="s">
        <v>979</v>
      </c>
      <c r="G7">
        <v>10</v>
      </c>
      <c r="H7" s="189">
        <v>19895.677479999998</v>
      </c>
      <c r="I7" s="67">
        <v>1352.27062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190">
        <v>0</v>
      </c>
      <c r="T7" s="191"/>
      <c r="U7" s="193" t="s">
        <v>1505</v>
      </c>
      <c r="V7" s="191" t="s">
        <v>280</v>
      </c>
      <c r="W7" s="192">
        <v>15</v>
      </c>
      <c r="X7" s="191">
        <v>905.82092</v>
      </c>
      <c r="Y7" s="191">
        <v>238.01226</v>
      </c>
      <c r="Z7" s="191">
        <v>661.80372</v>
      </c>
      <c r="AA7" s="191">
        <v>774.36072000000001</v>
      </c>
      <c r="AB7" s="191">
        <v>5342.7645000000002</v>
      </c>
      <c r="AC7" s="191">
        <v>5745.6471899999997</v>
      </c>
      <c r="AD7" s="191">
        <v>0</v>
      </c>
      <c r="AE7" s="191">
        <v>0</v>
      </c>
      <c r="AF7" s="191">
        <v>0</v>
      </c>
      <c r="AG7" s="191">
        <v>0</v>
      </c>
      <c r="AH7" s="191">
        <v>0</v>
      </c>
      <c r="AL7" s="144" t="s">
        <v>214</v>
      </c>
    </row>
    <row r="8" spans="1:38">
      <c r="A8" t="s">
        <v>275</v>
      </c>
      <c r="B8" t="s">
        <v>981</v>
      </c>
      <c r="C8" t="s">
        <v>982</v>
      </c>
      <c r="D8" t="s">
        <v>275</v>
      </c>
      <c r="E8" t="s">
        <v>208</v>
      </c>
      <c r="F8" t="s">
        <v>979</v>
      </c>
      <c r="G8">
        <v>41.5</v>
      </c>
      <c r="H8" s="189">
        <v>245.30828</v>
      </c>
      <c r="I8" s="67">
        <v>78.511439999999993</v>
      </c>
      <c r="J8" s="67">
        <v>2903.53773</v>
      </c>
      <c r="K8" s="67">
        <v>2792.8310900000001</v>
      </c>
      <c r="L8" s="67">
        <v>2968.61906</v>
      </c>
      <c r="M8" s="67">
        <v>956.12687000000005</v>
      </c>
      <c r="N8" s="67">
        <v>222.71655999999999</v>
      </c>
      <c r="O8" s="67">
        <v>0</v>
      </c>
      <c r="P8" s="67">
        <v>0</v>
      </c>
      <c r="Q8" s="67">
        <v>0</v>
      </c>
      <c r="R8" s="67">
        <v>0</v>
      </c>
      <c r="S8" s="190">
        <v>0</v>
      </c>
      <c r="T8" s="191"/>
      <c r="U8" s="193" t="s">
        <v>1487</v>
      </c>
      <c r="V8" s="191" t="s">
        <v>272</v>
      </c>
      <c r="W8" s="192">
        <v>15.6</v>
      </c>
      <c r="X8" s="191">
        <v>5.5566800000000001</v>
      </c>
      <c r="Y8" s="191">
        <v>69.999589999999998</v>
      </c>
      <c r="Z8" s="191">
        <v>179.99979999999999</v>
      </c>
      <c r="AA8" s="191">
        <v>479.99952000000002</v>
      </c>
      <c r="AB8" s="191">
        <v>2320</v>
      </c>
      <c r="AC8" s="191">
        <v>7250</v>
      </c>
      <c r="AD8" s="191">
        <v>360</v>
      </c>
      <c r="AE8" s="191">
        <v>0</v>
      </c>
      <c r="AF8" s="191">
        <v>0</v>
      </c>
      <c r="AG8" s="191">
        <v>0</v>
      </c>
      <c r="AH8" s="191">
        <v>0</v>
      </c>
      <c r="AL8" s="144" t="s">
        <v>216</v>
      </c>
    </row>
    <row r="9" spans="1:38">
      <c r="A9" s="155" t="s">
        <v>275</v>
      </c>
      <c r="B9" t="s">
        <v>981</v>
      </c>
      <c r="C9" t="s">
        <v>983</v>
      </c>
      <c r="D9" t="s">
        <v>275</v>
      </c>
      <c r="E9" t="s">
        <v>207</v>
      </c>
      <c r="F9" t="s">
        <v>979</v>
      </c>
      <c r="G9">
        <v>41.5</v>
      </c>
      <c r="H9" s="189">
        <v>6299.0104799999999</v>
      </c>
      <c r="I9" s="67">
        <v>5431.9237400000002</v>
      </c>
      <c r="J9" s="67">
        <v>6446.3457900000003</v>
      </c>
      <c r="K9" s="67">
        <v>6862.6135299999996</v>
      </c>
      <c r="L9" s="67">
        <v>3802.4157999999998</v>
      </c>
      <c r="M9" s="67">
        <v>2441.1690699999999</v>
      </c>
      <c r="N9" s="67">
        <v>0</v>
      </c>
      <c r="O9" s="67">
        <v>0</v>
      </c>
      <c r="P9" s="67">
        <v>0</v>
      </c>
      <c r="Q9" s="67">
        <v>0</v>
      </c>
      <c r="R9" s="67">
        <v>0</v>
      </c>
      <c r="S9" s="190">
        <v>0</v>
      </c>
      <c r="T9" s="191"/>
      <c r="U9" s="193" t="s">
        <v>1499</v>
      </c>
      <c r="V9" s="191" t="s">
        <v>276</v>
      </c>
      <c r="W9" s="192">
        <v>10</v>
      </c>
      <c r="X9" s="191">
        <v>158.74160000000001</v>
      </c>
      <c r="Y9" s="191">
        <v>0</v>
      </c>
      <c r="Z9" s="191">
        <v>0</v>
      </c>
      <c r="AA9" s="191">
        <v>24</v>
      </c>
      <c r="AB9" s="191">
        <v>1900</v>
      </c>
      <c r="AC9" s="191">
        <v>0</v>
      </c>
      <c r="AD9" s="191">
        <v>0</v>
      </c>
      <c r="AE9" s="191">
        <v>0</v>
      </c>
      <c r="AF9" s="191">
        <v>0</v>
      </c>
      <c r="AG9" s="191">
        <v>0</v>
      </c>
      <c r="AH9" s="191">
        <v>0</v>
      </c>
      <c r="AL9" s="144" t="s">
        <v>218</v>
      </c>
    </row>
    <row r="10" spans="1:38">
      <c r="A10" s="155" t="s">
        <v>275</v>
      </c>
      <c r="B10" t="s">
        <v>981</v>
      </c>
      <c r="C10" t="s">
        <v>984</v>
      </c>
      <c r="D10" t="s">
        <v>577</v>
      </c>
      <c r="E10" t="s">
        <v>208</v>
      </c>
      <c r="F10" t="s">
        <v>979</v>
      </c>
      <c r="G10">
        <v>41.5</v>
      </c>
      <c r="H10" s="189">
        <v>96.616320000000002</v>
      </c>
      <c r="I10" s="67">
        <v>2175.8181199999999</v>
      </c>
      <c r="J10" s="67">
        <v>3632.90247</v>
      </c>
      <c r="K10" s="67">
        <v>1176.03755</v>
      </c>
      <c r="L10" s="67">
        <v>0</v>
      </c>
      <c r="M10" s="67">
        <v>0</v>
      </c>
      <c r="N10" s="67">
        <v>0</v>
      </c>
      <c r="O10" s="67">
        <v>0</v>
      </c>
      <c r="P10" s="67">
        <v>0</v>
      </c>
      <c r="Q10" s="67">
        <v>0</v>
      </c>
      <c r="R10" s="67">
        <v>0</v>
      </c>
      <c r="S10" s="190">
        <v>0</v>
      </c>
      <c r="T10" s="191"/>
      <c r="U10" s="193" t="s">
        <v>1455</v>
      </c>
      <c r="V10" s="191" t="s">
        <v>210</v>
      </c>
      <c r="W10" s="192">
        <v>1.5</v>
      </c>
      <c r="X10" s="191">
        <v>110.45964000000001</v>
      </c>
      <c r="Y10" s="191">
        <v>750.96</v>
      </c>
      <c r="Z10" s="191">
        <v>2167.15</v>
      </c>
      <c r="AA10" s="191">
        <v>0</v>
      </c>
      <c r="AB10" s="191">
        <v>0</v>
      </c>
      <c r="AC10" s="191">
        <v>0</v>
      </c>
      <c r="AD10" s="191">
        <v>0</v>
      </c>
      <c r="AE10" s="191">
        <v>0</v>
      </c>
      <c r="AF10" s="191">
        <v>0</v>
      </c>
      <c r="AG10" s="191">
        <v>0</v>
      </c>
      <c r="AH10" s="191">
        <v>0</v>
      </c>
      <c r="AL10" s="144" t="s">
        <v>220</v>
      </c>
    </row>
    <row r="11" spans="1:38">
      <c r="A11" s="155" t="s">
        <v>275</v>
      </c>
      <c r="B11" t="s">
        <v>981</v>
      </c>
      <c r="C11" t="s">
        <v>985</v>
      </c>
      <c r="D11" t="s">
        <v>577</v>
      </c>
      <c r="E11" t="s">
        <v>207</v>
      </c>
      <c r="F11" t="s">
        <v>979</v>
      </c>
      <c r="G11">
        <v>41.5</v>
      </c>
      <c r="H11" s="189">
        <v>4074.51208</v>
      </c>
      <c r="I11" s="67">
        <v>1374.04348</v>
      </c>
      <c r="J11" s="67">
        <v>2726.3483299999998</v>
      </c>
      <c r="K11" s="67">
        <v>1749.5206599999999</v>
      </c>
      <c r="L11" s="67">
        <v>0</v>
      </c>
      <c r="M11" s="67">
        <v>0</v>
      </c>
      <c r="N11" s="67">
        <v>0</v>
      </c>
      <c r="O11" s="67">
        <v>0</v>
      </c>
      <c r="P11" s="67">
        <v>0</v>
      </c>
      <c r="Q11" s="67">
        <v>0</v>
      </c>
      <c r="R11" s="67">
        <v>0</v>
      </c>
      <c r="S11" s="190">
        <v>0</v>
      </c>
      <c r="T11" s="191"/>
      <c r="U11" s="193" t="s">
        <v>1459</v>
      </c>
      <c r="V11" s="191" t="s">
        <v>222</v>
      </c>
      <c r="W11" s="192">
        <v>0.33</v>
      </c>
      <c r="X11" s="191">
        <v>44.75412</v>
      </c>
      <c r="Y11" s="191">
        <v>305.58472</v>
      </c>
      <c r="Z11" s="191">
        <v>0</v>
      </c>
      <c r="AA11" s="191">
        <v>0</v>
      </c>
      <c r="AB11" s="191">
        <v>0</v>
      </c>
      <c r="AC11" s="191">
        <v>0</v>
      </c>
      <c r="AD11" s="191">
        <v>0</v>
      </c>
      <c r="AE11" s="191">
        <v>0</v>
      </c>
      <c r="AF11" s="191">
        <v>0</v>
      </c>
      <c r="AG11" s="191">
        <v>0</v>
      </c>
      <c r="AH11" s="191">
        <v>0</v>
      </c>
      <c r="AL11" s="144" t="s">
        <v>222</v>
      </c>
    </row>
    <row r="12" spans="1:38">
      <c r="A12" s="155" t="s">
        <v>275</v>
      </c>
      <c r="B12" t="s">
        <v>981</v>
      </c>
      <c r="C12" t="s">
        <v>986</v>
      </c>
      <c r="D12" t="s">
        <v>987</v>
      </c>
      <c r="E12" t="s">
        <v>208</v>
      </c>
      <c r="F12" t="s">
        <v>979</v>
      </c>
      <c r="G12">
        <v>41.5</v>
      </c>
      <c r="H12" s="189">
        <v>181.55676</v>
      </c>
      <c r="I12" s="67">
        <v>56.256</v>
      </c>
      <c r="J12" s="67">
        <v>205.81272000000001</v>
      </c>
      <c r="K12" s="67">
        <v>883.05647999999997</v>
      </c>
      <c r="L12" s="67">
        <v>2992.98866</v>
      </c>
      <c r="M12" s="67">
        <v>1842.1642400000001</v>
      </c>
      <c r="N12" s="67">
        <v>0</v>
      </c>
      <c r="O12" s="67">
        <v>0</v>
      </c>
      <c r="P12" s="67">
        <v>0</v>
      </c>
      <c r="Q12" s="67">
        <v>0</v>
      </c>
      <c r="R12" s="67">
        <v>0</v>
      </c>
      <c r="S12" s="190">
        <v>0</v>
      </c>
      <c r="T12" s="191"/>
      <c r="U12" s="193" t="s">
        <v>1545</v>
      </c>
      <c r="V12" s="191" t="s">
        <v>321</v>
      </c>
      <c r="W12" s="192">
        <v>13</v>
      </c>
      <c r="X12" s="191">
        <v>2979.81756</v>
      </c>
      <c r="Y12" s="191">
        <v>1238</v>
      </c>
      <c r="Z12" s="191">
        <v>510</v>
      </c>
      <c r="AA12" s="191">
        <v>0</v>
      </c>
      <c r="AB12" s="191">
        <v>0</v>
      </c>
      <c r="AC12" s="191">
        <v>0</v>
      </c>
      <c r="AD12" s="191">
        <v>0</v>
      </c>
      <c r="AE12" s="191">
        <v>0</v>
      </c>
      <c r="AF12" s="191">
        <v>0</v>
      </c>
      <c r="AG12" s="191">
        <v>0</v>
      </c>
      <c r="AH12" s="191">
        <v>0</v>
      </c>
      <c r="AL12" s="144" t="s">
        <v>224</v>
      </c>
    </row>
    <row r="13" spans="1:38">
      <c r="A13" s="155" t="s">
        <v>213</v>
      </c>
      <c r="B13" t="s">
        <v>988</v>
      </c>
      <c r="C13" t="s">
        <v>989</v>
      </c>
      <c r="D13" t="s">
        <v>213</v>
      </c>
      <c r="E13" t="s">
        <v>208</v>
      </c>
      <c r="F13" t="s">
        <v>979</v>
      </c>
      <c r="G13">
        <v>9</v>
      </c>
      <c r="H13" s="189">
        <v>467.92327999999998</v>
      </c>
      <c r="I13" s="67">
        <v>230.56236000000001</v>
      </c>
      <c r="J13" s="67">
        <v>95.273229999999998</v>
      </c>
      <c r="K13" s="67">
        <v>0</v>
      </c>
      <c r="L13" s="67">
        <v>0</v>
      </c>
      <c r="M13" s="67">
        <v>0</v>
      </c>
      <c r="N13" s="67">
        <v>0</v>
      </c>
      <c r="O13" s="67">
        <v>0</v>
      </c>
      <c r="P13" s="67">
        <v>0</v>
      </c>
      <c r="Q13" s="67">
        <v>0</v>
      </c>
      <c r="R13" s="67">
        <v>0</v>
      </c>
      <c r="S13" s="190">
        <v>0</v>
      </c>
      <c r="T13" s="191"/>
      <c r="U13" s="193" t="s">
        <v>1553</v>
      </c>
      <c r="V13" s="191" t="s">
        <v>331</v>
      </c>
      <c r="W13" s="192">
        <v>2.5</v>
      </c>
      <c r="X13" s="191">
        <v>72.806080000000009</v>
      </c>
      <c r="Y13" s="191">
        <v>437.76</v>
      </c>
      <c r="Z13" s="191">
        <v>0</v>
      </c>
      <c r="AA13" s="191">
        <v>0</v>
      </c>
      <c r="AB13" s="191">
        <v>0</v>
      </c>
      <c r="AC13" s="191">
        <v>0</v>
      </c>
      <c r="AD13" s="191">
        <v>0</v>
      </c>
      <c r="AE13" s="191">
        <v>0</v>
      </c>
      <c r="AF13" s="191">
        <v>0</v>
      </c>
      <c r="AG13" s="191">
        <v>0</v>
      </c>
      <c r="AH13" s="191">
        <v>0</v>
      </c>
      <c r="AL13" s="144" t="s">
        <v>16</v>
      </c>
    </row>
    <row r="14" spans="1:38">
      <c r="A14" t="s">
        <v>213</v>
      </c>
      <c r="B14" t="s">
        <v>988</v>
      </c>
      <c r="C14" t="s">
        <v>990</v>
      </c>
      <c r="D14" t="s">
        <v>213</v>
      </c>
      <c r="E14" t="s">
        <v>208</v>
      </c>
      <c r="F14" t="s">
        <v>979</v>
      </c>
      <c r="G14">
        <v>9</v>
      </c>
      <c r="H14" s="189">
        <v>6839.6095999999998</v>
      </c>
      <c r="I14" s="67">
        <v>420.68561999999997</v>
      </c>
      <c r="J14" s="67">
        <v>67.00018</v>
      </c>
      <c r="K14" s="67">
        <v>0</v>
      </c>
      <c r="L14" s="67">
        <v>0</v>
      </c>
      <c r="M14" s="67">
        <v>0</v>
      </c>
      <c r="N14" s="67">
        <v>0</v>
      </c>
      <c r="O14" s="67">
        <v>0</v>
      </c>
      <c r="P14" s="67">
        <v>0</v>
      </c>
      <c r="Q14" s="67">
        <v>0</v>
      </c>
      <c r="R14" s="67">
        <v>0</v>
      </c>
      <c r="S14" s="190">
        <v>0</v>
      </c>
      <c r="T14" s="191"/>
      <c r="U14" s="193" t="s">
        <v>1552</v>
      </c>
      <c r="V14" s="191" t="s">
        <v>330</v>
      </c>
      <c r="W14" s="192">
        <v>9.1</v>
      </c>
      <c r="X14" s="191">
        <v>2.18716</v>
      </c>
      <c r="Y14" s="191">
        <v>0</v>
      </c>
      <c r="Z14" s="191">
        <v>10.14751</v>
      </c>
      <c r="AA14" s="191">
        <v>0</v>
      </c>
      <c r="AB14" s="191">
        <v>0</v>
      </c>
      <c r="AC14" s="191">
        <v>0</v>
      </c>
      <c r="AD14" s="191">
        <v>0</v>
      </c>
      <c r="AE14" s="191">
        <v>15.25</v>
      </c>
      <c r="AF14" s="191">
        <v>188.13042999999999</v>
      </c>
      <c r="AG14" s="191">
        <v>225.0181</v>
      </c>
      <c r="AH14" s="191">
        <v>9.1666699999999999</v>
      </c>
      <c r="AL14" s="144" t="s">
        <v>227</v>
      </c>
    </row>
    <row r="15" spans="1:38">
      <c r="A15" s="155" t="s">
        <v>213</v>
      </c>
      <c r="B15" t="s">
        <v>988</v>
      </c>
      <c r="C15" t="s">
        <v>991</v>
      </c>
      <c r="D15" t="s">
        <v>213</v>
      </c>
      <c r="E15" t="s">
        <v>207</v>
      </c>
      <c r="F15" t="s">
        <v>979</v>
      </c>
      <c r="G15">
        <v>9</v>
      </c>
      <c r="H15" s="189">
        <v>29499.272400000002</v>
      </c>
      <c r="I15" s="67">
        <v>2626.9404500000001</v>
      </c>
      <c r="J15" s="67">
        <v>645.84970999999996</v>
      </c>
      <c r="K15" s="67">
        <v>0</v>
      </c>
      <c r="L15" s="67">
        <v>0</v>
      </c>
      <c r="M15" s="67">
        <v>0</v>
      </c>
      <c r="N15" s="67">
        <v>0</v>
      </c>
      <c r="O15" s="67">
        <v>0</v>
      </c>
      <c r="P15" s="67">
        <v>0</v>
      </c>
      <c r="Q15" s="67">
        <v>0</v>
      </c>
      <c r="R15" s="67">
        <v>0</v>
      </c>
      <c r="S15" s="190">
        <v>0</v>
      </c>
      <c r="T15" s="191"/>
      <c r="U15" s="193" t="s">
        <v>1570</v>
      </c>
      <c r="V15" s="191" t="s">
        <v>358</v>
      </c>
      <c r="W15" s="192">
        <v>0.5</v>
      </c>
      <c r="X15" s="191">
        <v>0</v>
      </c>
      <c r="Y15" s="191">
        <v>15</v>
      </c>
      <c r="Z15" s="191">
        <v>1184.4559999999999</v>
      </c>
      <c r="AA15" s="191">
        <v>0</v>
      </c>
      <c r="AB15" s="191">
        <v>0</v>
      </c>
      <c r="AC15" s="191">
        <v>0</v>
      </c>
      <c r="AD15" s="191">
        <v>0</v>
      </c>
      <c r="AE15" s="191">
        <v>0</v>
      </c>
      <c r="AF15" s="191">
        <v>0</v>
      </c>
      <c r="AG15" s="191">
        <v>0</v>
      </c>
      <c r="AH15" s="191">
        <v>0</v>
      </c>
      <c r="AL15" s="144" t="s">
        <v>228</v>
      </c>
    </row>
    <row r="16" spans="1:38">
      <c r="A16" s="155" t="s">
        <v>1587</v>
      </c>
      <c r="B16" t="s">
        <v>992</v>
      </c>
      <c r="C16" t="s">
        <v>993</v>
      </c>
      <c r="D16" t="s">
        <v>219</v>
      </c>
      <c r="E16" t="s">
        <v>208</v>
      </c>
      <c r="F16" t="s">
        <v>979</v>
      </c>
      <c r="G16">
        <v>9</v>
      </c>
      <c r="H16" s="189">
        <v>14784.81408</v>
      </c>
      <c r="I16" s="67">
        <v>532.90121999999997</v>
      </c>
      <c r="J16" s="67">
        <v>399.13598000000002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P16" s="67">
        <v>0</v>
      </c>
      <c r="Q16" s="67">
        <v>0</v>
      </c>
      <c r="R16" s="67">
        <v>0</v>
      </c>
      <c r="S16" s="190">
        <v>0</v>
      </c>
      <c r="T16" s="191"/>
      <c r="U16" s="193" t="s">
        <v>1508</v>
      </c>
      <c r="V16" s="191" t="s">
        <v>285</v>
      </c>
      <c r="W16" s="192">
        <v>15</v>
      </c>
      <c r="X16" s="191">
        <v>3862.6606000000002</v>
      </c>
      <c r="Y16" s="191">
        <v>1060.0964300000001</v>
      </c>
      <c r="Z16" s="191">
        <v>0</v>
      </c>
      <c r="AA16" s="191">
        <v>0</v>
      </c>
      <c r="AB16" s="191">
        <v>0</v>
      </c>
      <c r="AC16" s="191">
        <v>0</v>
      </c>
      <c r="AD16" s="191">
        <v>288.59230000000002</v>
      </c>
      <c r="AE16" s="191">
        <v>3519.6129599999999</v>
      </c>
      <c r="AF16" s="191">
        <v>1893.6632500000001</v>
      </c>
      <c r="AG16" s="191">
        <v>0</v>
      </c>
      <c r="AH16" s="191">
        <v>0</v>
      </c>
      <c r="AL16" s="144" t="s">
        <v>229</v>
      </c>
    </row>
    <row r="17" spans="1:38">
      <c r="A17" s="155" t="s">
        <v>1587</v>
      </c>
      <c r="B17" t="s">
        <v>992</v>
      </c>
      <c r="C17" t="s">
        <v>994</v>
      </c>
      <c r="D17" t="s">
        <v>219</v>
      </c>
      <c r="E17" t="s">
        <v>207</v>
      </c>
      <c r="F17" t="s">
        <v>979</v>
      </c>
      <c r="G17">
        <v>9</v>
      </c>
      <c r="H17" s="189">
        <v>15529.21112</v>
      </c>
      <c r="I17" s="67">
        <v>4711.8928500000002</v>
      </c>
      <c r="J17" s="67">
        <v>4895.8450899999998</v>
      </c>
      <c r="K17" s="67">
        <v>0</v>
      </c>
      <c r="L17" s="67">
        <v>0</v>
      </c>
      <c r="M17" s="67">
        <v>0</v>
      </c>
      <c r="N17" s="67">
        <v>0</v>
      </c>
      <c r="O17" s="67">
        <v>0</v>
      </c>
      <c r="P17" s="67">
        <v>0</v>
      </c>
      <c r="Q17" s="67">
        <v>0</v>
      </c>
      <c r="R17" s="67">
        <v>0</v>
      </c>
      <c r="S17" s="190">
        <v>0</v>
      </c>
      <c r="T17" s="191"/>
      <c r="U17" s="193" t="s">
        <v>1537</v>
      </c>
      <c r="V17" s="191" t="s">
        <v>315</v>
      </c>
      <c r="W17" s="192">
        <v>2.5</v>
      </c>
      <c r="X17" s="191">
        <v>53.30536</v>
      </c>
      <c r="Y17" s="191">
        <v>0</v>
      </c>
      <c r="Z17" s="191">
        <v>686</v>
      </c>
      <c r="AA17" s="191">
        <v>0</v>
      </c>
      <c r="AB17" s="191">
        <v>0</v>
      </c>
      <c r="AC17" s="191">
        <v>0</v>
      </c>
      <c r="AD17" s="191">
        <v>0</v>
      </c>
      <c r="AE17" s="191">
        <v>0</v>
      </c>
      <c r="AF17" s="191">
        <v>0</v>
      </c>
      <c r="AG17" s="191">
        <v>0</v>
      </c>
      <c r="AH17" s="191">
        <v>0</v>
      </c>
      <c r="AL17" s="144" t="s">
        <v>230</v>
      </c>
    </row>
    <row r="18" spans="1:38">
      <c r="A18" s="155" t="s">
        <v>274</v>
      </c>
      <c r="B18" t="s">
        <v>995</v>
      </c>
      <c r="C18" t="s">
        <v>996</v>
      </c>
      <c r="D18" t="s">
        <v>274</v>
      </c>
      <c r="E18" t="s">
        <v>208</v>
      </c>
      <c r="F18" t="s">
        <v>976</v>
      </c>
      <c r="G18">
        <v>11</v>
      </c>
      <c r="H18" s="189">
        <v>153.16564</v>
      </c>
      <c r="I18" s="67">
        <v>1916.9320600000001</v>
      </c>
      <c r="J18" s="67">
        <v>0</v>
      </c>
      <c r="K18" s="67">
        <v>0.78051000000000004</v>
      </c>
      <c r="L18" s="67">
        <v>0</v>
      </c>
      <c r="M18" s="67">
        <v>0</v>
      </c>
      <c r="N18" s="67">
        <v>0</v>
      </c>
      <c r="O18" s="67">
        <v>0</v>
      </c>
      <c r="P18" s="67">
        <v>0</v>
      </c>
      <c r="Q18" s="67">
        <v>0</v>
      </c>
      <c r="R18" s="67">
        <v>0</v>
      </c>
      <c r="S18" s="190">
        <v>0</v>
      </c>
      <c r="T18" s="191"/>
      <c r="U18" s="193" t="s">
        <v>1512</v>
      </c>
      <c r="V18" s="191" t="s">
        <v>210</v>
      </c>
      <c r="W18" s="192">
        <v>4</v>
      </c>
      <c r="X18" s="191">
        <v>191.95903999999999</v>
      </c>
      <c r="Y18" s="191">
        <v>733.96507999999994</v>
      </c>
      <c r="Z18" s="191">
        <v>806.88</v>
      </c>
      <c r="AA18" s="191">
        <v>0</v>
      </c>
      <c r="AB18" s="191">
        <v>0</v>
      </c>
      <c r="AC18" s="191">
        <v>0</v>
      </c>
      <c r="AD18" s="191">
        <v>0</v>
      </c>
      <c r="AE18" s="191">
        <v>0</v>
      </c>
      <c r="AF18" s="191">
        <v>0</v>
      </c>
      <c r="AG18" s="191">
        <v>0</v>
      </c>
      <c r="AH18" s="191">
        <v>0</v>
      </c>
      <c r="AL18" s="144" t="s">
        <v>231</v>
      </c>
    </row>
    <row r="19" spans="1:38">
      <c r="A19" s="155" t="s">
        <v>274</v>
      </c>
      <c r="B19" t="s">
        <v>995</v>
      </c>
      <c r="C19" t="s">
        <v>997</v>
      </c>
      <c r="D19" t="s">
        <v>306</v>
      </c>
      <c r="E19" t="s">
        <v>208</v>
      </c>
      <c r="F19" t="s">
        <v>976</v>
      </c>
      <c r="G19">
        <v>11</v>
      </c>
      <c r="H19" s="189">
        <v>87.954520000000002</v>
      </c>
      <c r="I19" s="67">
        <v>994.56412999999998</v>
      </c>
      <c r="J19" s="67">
        <v>497.52501999999998</v>
      </c>
      <c r="K19" s="67">
        <v>0</v>
      </c>
      <c r="L19" s="67">
        <v>0</v>
      </c>
      <c r="M19" s="67">
        <v>0</v>
      </c>
      <c r="N19" s="67">
        <v>0</v>
      </c>
      <c r="O19" s="67">
        <v>0</v>
      </c>
      <c r="P19" s="67">
        <v>0</v>
      </c>
      <c r="Q19" s="67">
        <v>0</v>
      </c>
      <c r="R19" s="67">
        <v>0</v>
      </c>
      <c r="S19" s="190">
        <v>0</v>
      </c>
      <c r="T19" s="191"/>
      <c r="U19" s="193" t="s">
        <v>1462</v>
      </c>
      <c r="V19" s="191" t="s">
        <v>231</v>
      </c>
      <c r="W19" s="192">
        <v>0.5</v>
      </c>
      <c r="X19" s="191">
        <v>114.06476000000001</v>
      </c>
      <c r="Y19" s="191">
        <v>397.72</v>
      </c>
      <c r="Z19" s="191">
        <v>0</v>
      </c>
      <c r="AA19" s="191">
        <v>0</v>
      </c>
      <c r="AB19" s="191">
        <v>0</v>
      </c>
      <c r="AC19" s="191">
        <v>0</v>
      </c>
      <c r="AD19" s="191">
        <v>0</v>
      </c>
      <c r="AE19" s="191">
        <v>0</v>
      </c>
      <c r="AF19" s="191">
        <v>0</v>
      </c>
      <c r="AG19" s="191">
        <v>0</v>
      </c>
      <c r="AH19" s="191">
        <v>0</v>
      </c>
      <c r="AL19" s="144" t="s">
        <v>232</v>
      </c>
    </row>
    <row r="20" spans="1:38">
      <c r="A20" s="155" t="s">
        <v>274</v>
      </c>
      <c r="B20" t="s">
        <v>995</v>
      </c>
      <c r="C20" t="s">
        <v>998</v>
      </c>
      <c r="D20" t="s">
        <v>306</v>
      </c>
      <c r="E20" t="s">
        <v>207</v>
      </c>
      <c r="F20" t="s">
        <v>976</v>
      </c>
      <c r="G20">
        <v>11</v>
      </c>
      <c r="H20" s="189">
        <v>12241.98468</v>
      </c>
      <c r="I20" s="67">
        <v>1427</v>
      </c>
      <c r="J20" s="67">
        <v>8813.2442499999997</v>
      </c>
      <c r="K20" s="67">
        <v>3569.9339199999999</v>
      </c>
      <c r="L20" s="67">
        <v>6.0948599999999997</v>
      </c>
      <c r="M20" s="67">
        <v>0</v>
      </c>
      <c r="N20" s="67">
        <v>0</v>
      </c>
      <c r="O20" s="67">
        <v>0</v>
      </c>
      <c r="P20" s="67">
        <v>0</v>
      </c>
      <c r="Q20" s="67">
        <v>0</v>
      </c>
      <c r="R20" s="67">
        <v>0</v>
      </c>
      <c r="S20" s="190">
        <v>0</v>
      </c>
      <c r="T20" s="191"/>
      <c r="U20" s="193" t="s">
        <v>1458</v>
      </c>
      <c r="V20" s="191" t="s">
        <v>218</v>
      </c>
      <c r="W20" s="192">
        <v>2.6</v>
      </c>
      <c r="X20" s="191">
        <v>132.58804000000001</v>
      </c>
      <c r="Y20" s="191">
        <v>0</v>
      </c>
      <c r="Z20" s="191">
        <v>1071</v>
      </c>
      <c r="AA20" s="191">
        <v>0</v>
      </c>
      <c r="AB20" s="191">
        <v>0</v>
      </c>
      <c r="AC20" s="191">
        <v>0</v>
      </c>
      <c r="AD20" s="191">
        <v>0</v>
      </c>
      <c r="AE20" s="191">
        <v>0</v>
      </c>
      <c r="AF20" s="191">
        <v>0</v>
      </c>
      <c r="AG20" s="191">
        <v>0</v>
      </c>
      <c r="AH20" s="191">
        <v>0</v>
      </c>
      <c r="AL20" s="144" t="s">
        <v>234</v>
      </c>
    </row>
    <row r="21" spans="1:38">
      <c r="A21" s="155" t="s">
        <v>274</v>
      </c>
      <c r="B21" t="s">
        <v>995</v>
      </c>
      <c r="C21" t="s">
        <v>999</v>
      </c>
      <c r="D21" t="s">
        <v>306</v>
      </c>
      <c r="E21" t="s">
        <v>208</v>
      </c>
      <c r="F21" t="s">
        <v>976</v>
      </c>
      <c r="G21">
        <v>11</v>
      </c>
      <c r="H21" s="189">
        <v>161.74779999999998</v>
      </c>
      <c r="I21" s="67">
        <v>1016.9262199999999</v>
      </c>
      <c r="J21" s="67">
        <v>357.83872000000002</v>
      </c>
      <c r="K21" s="67">
        <v>0.99972000000000005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  <c r="S21" s="190">
        <v>0</v>
      </c>
      <c r="T21" s="191"/>
      <c r="U21" s="193" t="s">
        <v>1557</v>
      </c>
      <c r="V21" s="191" t="s">
        <v>306</v>
      </c>
      <c r="W21" s="192">
        <v>5.6</v>
      </c>
      <c r="X21" s="191">
        <v>5713.7430399999994</v>
      </c>
      <c r="Y21" s="191">
        <v>664.99995999999999</v>
      </c>
      <c r="Z21" s="191">
        <v>0</v>
      </c>
      <c r="AA21" s="191">
        <v>0</v>
      </c>
      <c r="AB21" s="191">
        <v>0</v>
      </c>
      <c r="AC21" s="191">
        <v>0</v>
      </c>
      <c r="AD21" s="191">
        <v>0</v>
      </c>
      <c r="AE21" s="191">
        <v>0</v>
      </c>
      <c r="AF21" s="191">
        <v>0</v>
      </c>
      <c r="AG21" s="191">
        <v>0</v>
      </c>
      <c r="AH21" s="191">
        <v>0</v>
      </c>
      <c r="AL21" s="144" t="s">
        <v>235</v>
      </c>
    </row>
    <row r="22" spans="1:38">
      <c r="A22" s="155" t="s">
        <v>209</v>
      </c>
      <c r="B22" t="s">
        <v>1000</v>
      </c>
      <c r="C22" t="s">
        <v>1001</v>
      </c>
      <c r="D22" t="s">
        <v>209</v>
      </c>
      <c r="E22" t="s">
        <v>208</v>
      </c>
      <c r="F22" t="s">
        <v>979</v>
      </c>
      <c r="G22">
        <v>9</v>
      </c>
      <c r="H22" s="189">
        <v>32.100320000000004</v>
      </c>
      <c r="I22" s="67">
        <v>5.9917999999999996</v>
      </c>
      <c r="J22" s="67">
        <v>9.1395599999999995</v>
      </c>
      <c r="K22" s="67">
        <v>244.38677000000001</v>
      </c>
      <c r="L22" s="67">
        <v>57.120690000000003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  <c r="S22" s="190">
        <v>0</v>
      </c>
      <c r="T22" s="191"/>
      <c r="U22" s="193" t="s">
        <v>1481</v>
      </c>
      <c r="V22" s="191" t="s">
        <v>265</v>
      </c>
      <c r="W22" s="192">
        <v>1.2410000000000001</v>
      </c>
      <c r="X22" s="191">
        <v>38.409039999999997</v>
      </c>
      <c r="Y22" s="191">
        <v>206.5</v>
      </c>
      <c r="Z22" s="191">
        <v>0</v>
      </c>
      <c r="AA22" s="191">
        <v>0</v>
      </c>
      <c r="AB22" s="191">
        <v>0</v>
      </c>
      <c r="AC22" s="191">
        <v>0</v>
      </c>
      <c r="AD22" s="191">
        <v>0</v>
      </c>
      <c r="AE22" s="191">
        <v>0</v>
      </c>
      <c r="AF22" s="191">
        <v>0</v>
      </c>
      <c r="AG22" s="191">
        <v>0</v>
      </c>
      <c r="AH22" s="191">
        <v>0</v>
      </c>
      <c r="AL22" s="144" t="s">
        <v>236</v>
      </c>
    </row>
    <row r="23" spans="1:38">
      <c r="A23" s="155" t="s">
        <v>209</v>
      </c>
      <c r="B23" t="s">
        <v>1000</v>
      </c>
      <c r="C23" t="s">
        <v>1002</v>
      </c>
      <c r="D23" t="s">
        <v>209</v>
      </c>
      <c r="E23" t="s">
        <v>208</v>
      </c>
      <c r="F23" t="s">
        <v>979</v>
      </c>
      <c r="G23">
        <v>9</v>
      </c>
      <c r="H23" s="189">
        <v>42.230040000000002</v>
      </c>
      <c r="I23" s="67">
        <v>51.226329999999997</v>
      </c>
      <c r="J23" s="67">
        <v>368.35331000000002</v>
      </c>
      <c r="K23" s="67">
        <v>78.303560000000004</v>
      </c>
      <c r="L23" s="67">
        <v>46.297699999999999</v>
      </c>
      <c r="M23" s="67">
        <v>0</v>
      </c>
      <c r="N23" s="67">
        <v>0</v>
      </c>
      <c r="O23" s="67">
        <v>0</v>
      </c>
      <c r="P23" s="67">
        <v>0</v>
      </c>
      <c r="Q23" s="67">
        <v>0</v>
      </c>
      <c r="R23" s="67">
        <v>0</v>
      </c>
      <c r="S23" s="190">
        <v>0</v>
      </c>
      <c r="T23" s="191"/>
      <c r="U23" s="193" t="s">
        <v>1480</v>
      </c>
      <c r="V23" s="191" t="s">
        <v>265</v>
      </c>
      <c r="W23" s="192">
        <v>1.2410000000000001</v>
      </c>
      <c r="X23" s="191">
        <v>23.482839999999999</v>
      </c>
      <c r="Y23" s="191">
        <v>164.3</v>
      </c>
      <c r="Z23" s="191">
        <v>0</v>
      </c>
      <c r="AA23" s="191">
        <v>0</v>
      </c>
      <c r="AB23" s="191">
        <v>0</v>
      </c>
      <c r="AC23" s="191">
        <v>0</v>
      </c>
      <c r="AD23" s="191">
        <v>0</v>
      </c>
      <c r="AE23" s="191">
        <v>0</v>
      </c>
      <c r="AF23" s="191">
        <v>0</v>
      </c>
      <c r="AG23" s="191">
        <v>0</v>
      </c>
      <c r="AH23" s="191">
        <v>0</v>
      </c>
      <c r="AL23" s="144" t="s">
        <v>237</v>
      </c>
    </row>
    <row r="24" spans="1:38">
      <c r="A24" s="155" t="s">
        <v>209</v>
      </c>
      <c r="B24" t="s">
        <v>1000</v>
      </c>
      <c r="C24" t="s">
        <v>1003</v>
      </c>
      <c r="D24" t="s">
        <v>209</v>
      </c>
      <c r="E24" t="s">
        <v>207</v>
      </c>
      <c r="F24" t="s">
        <v>979</v>
      </c>
      <c r="G24">
        <v>9</v>
      </c>
      <c r="H24" s="189">
        <v>6816.4575599999998</v>
      </c>
      <c r="I24" s="67">
        <v>308.15928000000002</v>
      </c>
      <c r="J24" s="67">
        <v>1889.39328</v>
      </c>
      <c r="K24" s="67">
        <v>4032.2507599999999</v>
      </c>
      <c r="L24" s="67">
        <v>7458.5022900000004</v>
      </c>
      <c r="M24" s="67">
        <v>6118.6821300000001</v>
      </c>
      <c r="N24" s="67">
        <v>524.19281000000001</v>
      </c>
      <c r="O24" s="67">
        <v>0</v>
      </c>
      <c r="P24" s="67">
        <v>0</v>
      </c>
      <c r="Q24" s="67">
        <v>0</v>
      </c>
      <c r="R24" s="67">
        <v>0</v>
      </c>
      <c r="S24" s="190">
        <v>0</v>
      </c>
      <c r="T24" s="191"/>
      <c r="U24" s="193" t="s">
        <v>974</v>
      </c>
      <c r="V24" s="191" t="s">
        <v>290</v>
      </c>
      <c r="W24" s="192">
        <v>10</v>
      </c>
      <c r="X24" s="191">
        <v>35083.943800000001</v>
      </c>
      <c r="Y24" s="191">
        <v>2577.4640799999997</v>
      </c>
      <c r="Z24" s="191">
        <v>292.54836</v>
      </c>
      <c r="AA24" s="191">
        <v>0</v>
      </c>
      <c r="AB24" s="191">
        <v>0</v>
      </c>
      <c r="AC24" s="191">
        <v>0</v>
      </c>
      <c r="AD24" s="191">
        <v>0</v>
      </c>
      <c r="AE24" s="191">
        <v>0</v>
      </c>
      <c r="AF24" s="191">
        <v>0</v>
      </c>
      <c r="AG24" s="191">
        <v>0</v>
      </c>
      <c r="AH24" s="191">
        <v>0</v>
      </c>
      <c r="AL24" s="144" t="s">
        <v>238</v>
      </c>
    </row>
    <row r="25" spans="1:38">
      <c r="A25" s="155" t="s">
        <v>215</v>
      </c>
      <c r="B25" t="s">
        <v>1004</v>
      </c>
      <c r="C25" t="s">
        <v>1005</v>
      </c>
      <c r="D25" t="s">
        <v>215</v>
      </c>
      <c r="E25" t="s">
        <v>208</v>
      </c>
      <c r="F25" t="s">
        <v>979</v>
      </c>
      <c r="G25">
        <v>9</v>
      </c>
      <c r="H25" s="189">
        <v>0</v>
      </c>
      <c r="I25" s="67">
        <v>0</v>
      </c>
      <c r="J25" s="67">
        <v>0</v>
      </c>
      <c r="K25" s="67">
        <v>0</v>
      </c>
      <c r="L25" s="67">
        <v>40</v>
      </c>
      <c r="M25" s="67">
        <v>150</v>
      </c>
      <c r="N25" s="67">
        <v>150</v>
      </c>
      <c r="O25" s="67">
        <v>0</v>
      </c>
      <c r="P25" s="67">
        <v>0</v>
      </c>
      <c r="Q25" s="67">
        <v>0</v>
      </c>
      <c r="R25" s="67">
        <v>0</v>
      </c>
      <c r="S25" s="190">
        <v>0</v>
      </c>
      <c r="T25" s="191"/>
      <c r="U25" s="193" t="s">
        <v>981</v>
      </c>
      <c r="V25" s="191" t="s">
        <v>275</v>
      </c>
      <c r="W25" s="192">
        <v>41.5</v>
      </c>
      <c r="X25" s="191">
        <v>10897.003919999999</v>
      </c>
      <c r="Y25" s="191">
        <v>9116.55278</v>
      </c>
      <c r="Z25" s="191">
        <v>15914.947040000001</v>
      </c>
      <c r="AA25" s="191">
        <v>13464.059309999999</v>
      </c>
      <c r="AB25" s="191">
        <v>9764.0235199999988</v>
      </c>
      <c r="AC25" s="191">
        <v>5239.46018</v>
      </c>
      <c r="AD25" s="191">
        <v>222.71655999999999</v>
      </c>
      <c r="AE25" s="191">
        <v>0</v>
      </c>
      <c r="AF25" s="191">
        <v>0</v>
      </c>
      <c r="AG25" s="191">
        <v>0</v>
      </c>
      <c r="AH25" s="191">
        <v>0</v>
      </c>
      <c r="AL25" s="144" t="s">
        <v>239</v>
      </c>
    </row>
    <row r="26" spans="1:38">
      <c r="A26" s="155" t="s">
        <v>215</v>
      </c>
      <c r="B26" t="s">
        <v>1004</v>
      </c>
      <c r="C26" t="s">
        <v>1006</v>
      </c>
      <c r="D26" t="s">
        <v>215</v>
      </c>
      <c r="E26" t="s">
        <v>208</v>
      </c>
      <c r="F26" t="s">
        <v>979</v>
      </c>
      <c r="G26">
        <v>9</v>
      </c>
      <c r="H26" s="189">
        <v>0</v>
      </c>
      <c r="I26" s="67">
        <v>0</v>
      </c>
      <c r="J26" s="67">
        <v>0</v>
      </c>
      <c r="K26" s="67">
        <v>0</v>
      </c>
      <c r="L26" s="67">
        <v>50</v>
      </c>
      <c r="M26" s="67">
        <v>50</v>
      </c>
      <c r="N26" s="67">
        <v>1700</v>
      </c>
      <c r="O26" s="67">
        <v>600</v>
      </c>
      <c r="P26" s="67">
        <v>0</v>
      </c>
      <c r="Q26" s="67">
        <v>0</v>
      </c>
      <c r="R26" s="67">
        <v>0</v>
      </c>
      <c r="S26" s="190">
        <v>0</v>
      </c>
      <c r="T26" s="191"/>
      <c r="U26" s="193" t="s">
        <v>988</v>
      </c>
      <c r="V26" s="191" t="s">
        <v>213</v>
      </c>
      <c r="W26" s="192">
        <v>9</v>
      </c>
      <c r="X26" s="191">
        <v>36806.80528</v>
      </c>
      <c r="Y26" s="191">
        <v>3278.1884300000002</v>
      </c>
      <c r="Z26" s="191">
        <v>808.12311999999997</v>
      </c>
      <c r="AA26" s="191">
        <v>0</v>
      </c>
      <c r="AB26" s="191">
        <v>0</v>
      </c>
      <c r="AC26" s="191">
        <v>0</v>
      </c>
      <c r="AD26" s="191">
        <v>0</v>
      </c>
      <c r="AE26" s="191">
        <v>0</v>
      </c>
      <c r="AF26" s="191">
        <v>0</v>
      </c>
      <c r="AG26" s="191">
        <v>0</v>
      </c>
      <c r="AH26" s="191">
        <v>0</v>
      </c>
      <c r="AL26" s="144" t="s">
        <v>240</v>
      </c>
    </row>
    <row r="27" spans="1:38">
      <c r="A27" s="155" t="s">
        <v>215</v>
      </c>
      <c r="B27" t="s">
        <v>1004</v>
      </c>
      <c r="C27" t="s">
        <v>1007</v>
      </c>
      <c r="D27" t="s">
        <v>215</v>
      </c>
      <c r="E27" t="s">
        <v>207</v>
      </c>
      <c r="F27" t="s">
        <v>979</v>
      </c>
      <c r="G27">
        <v>9</v>
      </c>
      <c r="H27" s="189">
        <v>0</v>
      </c>
      <c r="I27" s="67">
        <v>0</v>
      </c>
      <c r="J27" s="67">
        <v>51</v>
      </c>
      <c r="K27" s="67">
        <v>250</v>
      </c>
      <c r="L27" s="67">
        <v>10</v>
      </c>
      <c r="M27" s="67">
        <v>2164</v>
      </c>
      <c r="N27" s="67">
        <v>1814</v>
      </c>
      <c r="O27" s="67">
        <v>4274</v>
      </c>
      <c r="P27" s="67">
        <v>3834</v>
      </c>
      <c r="Q27" s="67">
        <v>63</v>
      </c>
      <c r="R27" s="67">
        <v>0</v>
      </c>
      <c r="S27" s="190">
        <v>0</v>
      </c>
      <c r="T27" s="191"/>
      <c r="U27" s="193" t="s">
        <v>992</v>
      </c>
      <c r="V27" s="191" t="s">
        <v>219</v>
      </c>
      <c r="W27" s="192">
        <v>9</v>
      </c>
      <c r="X27" s="191">
        <v>30314.0252</v>
      </c>
      <c r="Y27" s="191">
        <v>5244.7940699999999</v>
      </c>
      <c r="Z27" s="191">
        <v>5294.9810699999998</v>
      </c>
      <c r="AA27" s="191">
        <v>0</v>
      </c>
      <c r="AB27" s="191">
        <v>0</v>
      </c>
      <c r="AC27" s="191">
        <v>0</v>
      </c>
      <c r="AD27" s="191">
        <v>0</v>
      </c>
      <c r="AE27" s="191">
        <v>0</v>
      </c>
      <c r="AF27" s="191">
        <v>0</v>
      </c>
      <c r="AG27" s="191">
        <v>0</v>
      </c>
      <c r="AH27" s="191">
        <v>0</v>
      </c>
      <c r="AL27" s="144" t="s">
        <v>241</v>
      </c>
    </row>
    <row r="28" spans="1:38">
      <c r="A28" s="155" t="s">
        <v>221</v>
      </c>
      <c r="B28" t="s">
        <v>1008</v>
      </c>
      <c r="C28" t="s">
        <v>1009</v>
      </c>
      <c r="D28" t="s">
        <v>221</v>
      </c>
      <c r="E28" t="s">
        <v>208</v>
      </c>
      <c r="F28" t="s">
        <v>979</v>
      </c>
      <c r="G28">
        <v>9</v>
      </c>
      <c r="H28" s="189">
        <v>0</v>
      </c>
      <c r="I28" s="67">
        <v>0</v>
      </c>
      <c r="J28" s="67">
        <v>0</v>
      </c>
      <c r="K28" s="67">
        <v>0</v>
      </c>
      <c r="L28" s="67">
        <v>40</v>
      </c>
      <c r="M28" s="67">
        <v>150</v>
      </c>
      <c r="N28" s="67">
        <v>150</v>
      </c>
      <c r="O28" s="67">
        <v>0</v>
      </c>
      <c r="P28" s="67">
        <v>0</v>
      </c>
      <c r="Q28" s="67">
        <v>0</v>
      </c>
      <c r="R28" s="67">
        <v>0</v>
      </c>
      <c r="S28" s="190">
        <v>0</v>
      </c>
      <c r="T28" s="191"/>
      <c r="U28" s="193" t="s">
        <v>995</v>
      </c>
      <c r="V28" s="191" t="s">
        <v>274</v>
      </c>
      <c r="W28" s="192">
        <v>11</v>
      </c>
      <c r="X28" s="191">
        <v>12644.852639999999</v>
      </c>
      <c r="Y28" s="191">
        <v>5355.4224100000001</v>
      </c>
      <c r="Z28" s="191">
        <v>9668.6079899999986</v>
      </c>
      <c r="AA28" s="191">
        <v>3571.7141499999998</v>
      </c>
      <c r="AB28" s="191">
        <v>6.0948599999999997</v>
      </c>
      <c r="AC28" s="191">
        <v>0</v>
      </c>
      <c r="AD28" s="191">
        <v>0</v>
      </c>
      <c r="AE28" s="191">
        <v>0</v>
      </c>
      <c r="AF28" s="191">
        <v>0</v>
      </c>
      <c r="AG28" s="191">
        <v>0</v>
      </c>
      <c r="AH28" s="191">
        <v>0</v>
      </c>
      <c r="AL28" s="144" t="s">
        <v>242</v>
      </c>
    </row>
    <row r="29" spans="1:38">
      <c r="A29" s="155" t="s">
        <v>221</v>
      </c>
      <c r="B29" t="s">
        <v>1008</v>
      </c>
      <c r="C29" t="s">
        <v>1010</v>
      </c>
      <c r="D29" t="s">
        <v>221</v>
      </c>
      <c r="E29" t="s">
        <v>208</v>
      </c>
      <c r="F29" t="s">
        <v>979</v>
      </c>
      <c r="G29">
        <v>9</v>
      </c>
      <c r="H29" s="189">
        <v>0</v>
      </c>
      <c r="I29" s="67">
        <v>0</v>
      </c>
      <c r="J29" s="67">
        <v>0</v>
      </c>
      <c r="K29" s="67">
        <v>0</v>
      </c>
      <c r="L29" s="67">
        <v>50</v>
      </c>
      <c r="M29" s="67">
        <v>50</v>
      </c>
      <c r="N29" s="67">
        <v>1700</v>
      </c>
      <c r="O29" s="67">
        <v>600</v>
      </c>
      <c r="P29" s="67">
        <v>0</v>
      </c>
      <c r="Q29" s="67">
        <v>0</v>
      </c>
      <c r="R29" s="67">
        <v>0</v>
      </c>
      <c r="S29" s="190">
        <v>0</v>
      </c>
      <c r="T29" s="191"/>
      <c r="U29" s="193" t="s">
        <v>1000</v>
      </c>
      <c r="V29" s="191" t="s">
        <v>209</v>
      </c>
      <c r="W29" s="192">
        <v>9</v>
      </c>
      <c r="X29" s="191">
        <v>6890.7879199999998</v>
      </c>
      <c r="Y29" s="191">
        <v>365.37741</v>
      </c>
      <c r="Z29" s="191">
        <v>2266.8861500000003</v>
      </c>
      <c r="AA29" s="191">
        <v>4354.9410900000003</v>
      </c>
      <c r="AB29" s="191">
        <v>7561.9206800000002</v>
      </c>
      <c r="AC29" s="191">
        <v>6118.6821300000001</v>
      </c>
      <c r="AD29" s="191">
        <v>524.19281000000001</v>
      </c>
      <c r="AE29" s="191">
        <v>0</v>
      </c>
      <c r="AF29" s="191">
        <v>0</v>
      </c>
      <c r="AG29" s="191">
        <v>0</v>
      </c>
      <c r="AH29" s="191">
        <v>0</v>
      </c>
      <c r="AL29" s="144" t="s">
        <v>244</v>
      </c>
    </row>
    <row r="30" spans="1:38">
      <c r="A30" s="155" t="s">
        <v>221</v>
      </c>
      <c r="B30" t="s">
        <v>1008</v>
      </c>
      <c r="C30" t="s">
        <v>1011</v>
      </c>
      <c r="D30" t="s">
        <v>221</v>
      </c>
      <c r="E30" t="s">
        <v>207</v>
      </c>
      <c r="F30" t="s">
        <v>979</v>
      </c>
      <c r="G30">
        <v>9</v>
      </c>
      <c r="H30" s="189">
        <v>0</v>
      </c>
      <c r="I30" s="67">
        <v>0</v>
      </c>
      <c r="J30" s="67">
        <v>51</v>
      </c>
      <c r="K30" s="67">
        <v>250</v>
      </c>
      <c r="L30" s="67">
        <v>10</v>
      </c>
      <c r="M30" s="67">
        <v>2164</v>
      </c>
      <c r="N30" s="67">
        <v>1814</v>
      </c>
      <c r="O30" s="67">
        <v>4274</v>
      </c>
      <c r="P30" s="67">
        <v>3834</v>
      </c>
      <c r="Q30" s="67">
        <v>63</v>
      </c>
      <c r="R30" s="67">
        <v>0</v>
      </c>
      <c r="S30" s="190">
        <v>0</v>
      </c>
      <c r="T30" s="191"/>
      <c r="U30" s="193" t="s">
        <v>1004</v>
      </c>
      <c r="V30" s="191" t="s">
        <v>215</v>
      </c>
      <c r="W30" s="192">
        <v>9</v>
      </c>
      <c r="X30" s="191">
        <v>0</v>
      </c>
      <c r="Y30" s="191">
        <v>0</v>
      </c>
      <c r="Z30" s="191">
        <v>51</v>
      </c>
      <c r="AA30" s="191">
        <v>250</v>
      </c>
      <c r="AB30" s="191">
        <v>100</v>
      </c>
      <c r="AC30" s="191">
        <v>2364</v>
      </c>
      <c r="AD30" s="191">
        <v>3664</v>
      </c>
      <c r="AE30" s="191">
        <v>4874</v>
      </c>
      <c r="AF30" s="191">
        <v>3834</v>
      </c>
      <c r="AG30" s="191">
        <v>63</v>
      </c>
      <c r="AH30" s="191">
        <v>0</v>
      </c>
      <c r="AL30" s="144" t="s">
        <v>245</v>
      </c>
    </row>
    <row r="31" spans="1:38">
      <c r="A31" s="155" t="s">
        <v>223</v>
      </c>
      <c r="B31" t="s">
        <v>1012</v>
      </c>
      <c r="C31" t="s">
        <v>1013</v>
      </c>
      <c r="D31" t="s">
        <v>223</v>
      </c>
      <c r="E31" t="s">
        <v>208</v>
      </c>
      <c r="F31" t="s">
        <v>979</v>
      </c>
      <c r="G31">
        <v>9</v>
      </c>
      <c r="H31" s="189">
        <v>19.79644</v>
      </c>
      <c r="I31" s="67">
        <v>5.8238000000000003</v>
      </c>
      <c r="J31" s="67">
        <v>6.1748000000000003</v>
      </c>
      <c r="K31" s="67">
        <v>6.5258000000000003</v>
      </c>
      <c r="L31" s="67">
        <v>6.7458</v>
      </c>
      <c r="M31" s="67">
        <v>5.4588000000000001</v>
      </c>
      <c r="N31" s="67">
        <v>314.16950000000003</v>
      </c>
      <c r="O31" s="67">
        <v>125.99120000000001</v>
      </c>
      <c r="P31" s="67">
        <v>0</v>
      </c>
      <c r="Q31" s="67">
        <v>0</v>
      </c>
      <c r="R31" s="67">
        <v>0</v>
      </c>
      <c r="S31" s="190">
        <v>0</v>
      </c>
      <c r="T31" s="191"/>
      <c r="U31" s="193" t="s">
        <v>1008</v>
      </c>
      <c r="V31" s="191" t="s">
        <v>221</v>
      </c>
      <c r="W31" s="192">
        <v>9</v>
      </c>
      <c r="X31" s="191">
        <v>0</v>
      </c>
      <c r="Y31" s="191">
        <v>0</v>
      </c>
      <c r="Z31" s="191">
        <v>51</v>
      </c>
      <c r="AA31" s="191">
        <v>250</v>
      </c>
      <c r="AB31" s="191">
        <v>100</v>
      </c>
      <c r="AC31" s="191">
        <v>2364</v>
      </c>
      <c r="AD31" s="191">
        <v>3664</v>
      </c>
      <c r="AE31" s="191">
        <v>4874</v>
      </c>
      <c r="AF31" s="191">
        <v>3834</v>
      </c>
      <c r="AG31" s="191">
        <v>63</v>
      </c>
      <c r="AH31" s="191">
        <v>0</v>
      </c>
      <c r="AL31" s="144" t="s">
        <v>209</v>
      </c>
    </row>
    <row r="32" spans="1:38">
      <c r="A32" s="155" t="s">
        <v>223</v>
      </c>
      <c r="B32" t="s">
        <v>1012</v>
      </c>
      <c r="C32" t="s">
        <v>1014</v>
      </c>
      <c r="D32" t="s">
        <v>223</v>
      </c>
      <c r="E32" t="s">
        <v>208</v>
      </c>
      <c r="F32" t="s">
        <v>979</v>
      </c>
      <c r="G32">
        <v>9</v>
      </c>
      <c r="H32" s="189">
        <v>36.417919999999995</v>
      </c>
      <c r="I32" s="67">
        <v>7.51572</v>
      </c>
      <c r="J32" s="67">
        <v>7.9477200000000003</v>
      </c>
      <c r="K32" s="67">
        <v>8.3797200000000007</v>
      </c>
      <c r="L32" s="67">
        <v>8.6597200000000001</v>
      </c>
      <c r="M32" s="67">
        <v>722.38818000000003</v>
      </c>
      <c r="N32" s="67">
        <v>202.93644</v>
      </c>
      <c r="O32" s="67">
        <v>163.21190000000001</v>
      </c>
      <c r="P32" s="67">
        <v>0</v>
      </c>
      <c r="Q32" s="67">
        <v>0</v>
      </c>
      <c r="R32" s="67">
        <v>0</v>
      </c>
      <c r="S32" s="190">
        <v>0</v>
      </c>
      <c r="T32" s="191"/>
      <c r="U32" s="193" t="s">
        <v>1012</v>
      </c>
      <c r="V32" s="191" t="s">
        <v>223</v>
      </c>
      <c r="W32" s="192">
        <v>9</v>
      </c>
      <c r="X32" s="191">
        <v>10873.369800000002</v>
      </c>
      <c r="Y32" s="191">
        <v>171.36908</v>
      </c>
      <c r="Z32" s="191">
        <v>306.29894999999999</v>
      </c>
      <c r="AA32" s="191">
        <v>351.79608000000002</v>
      </c>
      <c r="AB32" s="191">
        <v>2631.51253</v>
      </c>
      <c r="AC32" s="191">
        <v>4164.9262500000004</v>
      </c>
      <c r="AD32" s="191">
        <v>9037.8460999999988</v>
      </c>
      <c r="AE32" s="191">
        <v>5935.2154599999994</v>
      </c>
      <c r="AF32" s="191">
        <v>71.725239999999999</v>
      </c>
      <c r="AG32" s="191">
        <v>0</v>
      </c>
      <c r="AH32" s="191">
        <v>0</v>
      </c>
      <c r="AL32" s="144" t="s">
        <v>211</v>
      </c>
    </row>
    <row r="33" spans="1:38">
      <c r="A33" s="155" t="s">
        <v>223</v>
      </c>
      <c r="B33" t="s">
        <v>1012</v>
      </c>
      <c r="C33" t="s">
        <v>1015</v>
      </c>
      <c r="D33" t="s">
        <v>223</v>
      </c>
      <c r="E33" t="s">
        <v>207</v>
      </c>
      <c r="F33" t="s">
        <v>979</v>
      </c>
      <c r="G33">
        <v>9</v>
      </c>
      <c r="H33" s="189">
        <v>10817.155440000002</v>
      </c>
      <c r="I33" s="67">
        <v>158.02956</v>
      </c>
      <c r="J33" s="67">
        <v>292.17642999999998</v>
      </c>
      <c r="K33" s="67">
        <v>336.89055999999999</v>
      </c>
      <c r="L33" s="67">
        <v>2616.1070100000002</v>
      </c>
      <c r="M33" s="67">
        <v>3437.0792700000002</v>
      </c>
      <c r="N33" s="67">
        <v>8520.7401599999994</v>
      </c>
      <c r="O33" s="67">
        <v>5646.0123599999997</v>
      </c>
      <c r="P33" s="67">
        <v>71.725239999999999</v>
      </c>
      <c r="Q33" s="67">
        <v>0</v>
      </c>
      <c r="R33" s="67">
        <v>0</v>
      </c>
      <c r="S33" s="190">
        <v>0</v>
      </c>
      <c r="T33" s="191"/>
      <c r="U33" s="193" t="s">
        <v>1016</v>
      </c>
      <c r="V33" s="191" t="s">
        <v>226</v>
      </c>
      <c r="W33" s="192">
        <v>9</v>
      </c>
      <c r="X33" s="191">
        <v>0</v>
      </c>
      <c r="Y33" s="191">
        <v>0</v>
      </c>
      <c r="Z33" s="191">
        <v>0</v>
      </c>
      <c r="AA33" s="191">
        <v>51</v>
      </c>
      <c r="AB33" s="191">
        <v>339</v>
      </c>
      <c r="AC33" s="191">
        <v>2374</v>
      </c>
      <c r="AD33" s="191">
        <v>3664</v>
      </c>
      <c r="AE33" s="191">
        <v>4874</v>
      </c>
      <c r="AF33" s="191">
        <v>3834</v>
      </c>
      <c r="AG33" s="191">
        <v>63</v>
      </c>
      <c r="AH33" s="191">
        <v>0</v>
      </c>
      <c r="AL33" s="144" t="s">
        <v>213</v>
      </c>
    </row>
    <row r="34" spans="1:38">
      <c r="A34" s="155" t="s">
        <v>226</v>
      </c>
      <c r="B34" t="s">
        <v>1016</v>
      </c>
      <c r="C34" t="s">
        <v>1017</v>
      </c>
      <c r="D34" t="s">
        <v>226</v>
      </c>
      <c r="E34" t="s">
        <v>208</v>
      </c>
      <c r="F34" t="s">
        <v>979</v>
      </c>
      <c r="G34">
        <v>9</v>
      </c>
      <c r="H34" s="189">
        <v>0</v>
      </c>
      <c r="I34" s="67">
        <v>0</v>
      </c>
      <c r="J34" s="67">
        <v>0</v>
      </c>
      <c r="K34" s="67">
        <v>0</v>
      </c>
      <c r="L34" s="67">
        <v>39</v>
      </c>
      <c r="M34" s="67">
        <v>150</v>
      </c>
      <c r="N34" s="67">
        <v>150</v>
      </c>
      <c r="O34" s="67">
        <v>0</v>
      </c>
      <c r="P34" s="67">
        <v>0</v>
      </c>
      <c r="Q34" s="67">
        <v>0</v>
      </c>
      <c r="R34" s="67">
        <v>0</v>
      </c>
      <c r="S34" s="190">
        <v>0</v>
      </c>
      <c r="T34" s="191"/>
      <c r="U34" s="193" t="s">
        <v>1020</v>
      </c>
      <c r="V34" s="191" t="s">
        <v>211</v>
      </c>
      <c r="W34" s="192">
        <v>9</v>
      </c>
      <c r="X34" s="191">
        <v>10741.057279999999</v>
      </c>
      <c r="Y34" s="191">
        <v>5585.88292</v>
      </c>
      <c r="Z34" s="191">
        <v>8176.1280499999993</v>
      </c>
      <c r="AA34" s="191">
        <v>4692.56052</v>
      </c>
      <c r="AB34" s="191">
        <v>456.69373999999999</v>
      </c>
      <c r="AC34" s="191">
        <v>0</v>
      </c>
      <c r="AD34" s="191">
        <v>0</v>
      </c>
      <c r="AE34" s="191">
        <v>0</v>
      </c>
      <c r="AF34" s="191">
        <v>0</v>
      </c>
      <c r="AG34" s="191">
        <v>0</v>
      </c>
      <c r="AH34" s="191">
        <v>0</v>
      </c>
      <c r="AL34" s="144" t="s">
        <v>215</v>
      </c>
    </row>
    <row r="35" spans="1:38">
      <c r="A35" s="155" t="s">
        <v>226</v>
      </c>
      <c r="B35" t="s">
        <v>1016</v>
      </c>
      <c r="C35" t="s">
        <v>1018</v>
      </c>
      <c r="D35" t="s">
        <v>226</v>
      </c>
      <c r="E35" t="s">
        <v>208</v>
      </c>
      <c r="F35" t="s">
        <v>979</v>
      </c>
      <c r="G35">
        <v>9</v>
      </c>
      <c r="H35" s="189">
        <v>0</v>
      </c>
      <c r="I35" s="67">
        <v>0</v>
      </c>
      <c r="J35" s="67">
        <v>0</v>
      </c>
      <c r="K35" s="67">
        <v>0</v>
      </c>
      <c r="L35" s="67">
        <v>50</v>
      </c>
      <c r="M35" s="67">
        <v>50</v>
      </c>
      <c r="N35" s="67">
        <v>1700</v>
      </c>
      <c r="O35" s="67">
        <v>600</v>
      </c>
      <c r="P35" s="67">
        <v>0</v>
      </c>
      <c r="Q35" s="67">
        <v>0</v>
      </c>
      <c r="R35" s="67">
        <v>0</v>
      </c>
      <c r="S35" s="190">
        <v>0</v>
      </c>
      <c r="T35" s="191"/>
      <c r="U35" s="193" t="s">
        <v>1024</v>
      </c>
      <c r="V35" s="191" t="s">
        <v>245</v>
      </c>
      <c r="W35" s="192">
        <v>9</v>
      </c>
      <c r="X35" s="191">
        <v>0</v>
      </c>
      <c r="Y35" s="191">
        <v>150</v>
      </c>
      <c r="Z35" s="191">
        <v>150</v>
      </c>
      <c r="AA35" s="191">
        <v>733</v>
      </c>
      <c r="AB35" s="191">
        <v>776.01592000000005</v>
      </c>
      <c r="AC35" s="191">
        <v>2431.7106000000003</v>
      </c>
      <c r="AD35" s="191">
        <v>1200</v>
      </c>
      <c r="AE35" s="191">
        <v>2440</v>
      </c>
      <c r="AF35" s="191">
        <v>7950</v>
      </c>
      <c r="AG35" s="191">
        <v>2890</v>
      </c>
      <c r="AH35" s="191">
        <v>0</v>
      </c>
      <c r="AL35" s="144" t="s">
        <v>217</v>
      </c>
    </row>
    <row r="36" spans="1:38">
      <c r="A36" s="155" t="s">
        <v>226</v>
      </c>
      <c r="B36" t="s">
        <v>1016</v>
      </c>
      <c r="C36" t="s">
        <v>1019</v>
      </c>
      <c r="D36" t="s">
        <v>226</v>
      </c>
      <c r="E36" t="s">
        <v>207</v>
      </c>
      <c r="F36" t="s">
        <v>979</v>
      </c>
      <c r="G36">
        <v>9</v>
      </c>
      <c r="H36" s="189">
        <v>0</v>
      </c>
      <c r="I36" s="67">
        <v>0</v>
      </c>
      <c r="J36" s="67">
        <v>0</v>
      </c>
      <c r="K36" s="67">
        <v>51</v>
      </c>
      <c r="L36" s="67">
        <v>250</v>
      </c>
      <c r="M36" s="67">
        <v>2174</v>
      </c>
      <c r="N36" s="67">
        <v>1814</v>
      </c>
      <c r="O36" s="67">
        <v>4274</v>
      </c>
      <c r="P36" s="67">
        <v>3834</v>
      </c>
      <c r="Q36" s="67">
        <v>63</v>
      </c>
      <c r="R36" s="67">
        <v>0</v>
      </c>
      <c r="S36" s="190">
        <v>0</v>
      </c>
      <c r="T36" s="191"/>
      <c r="U36" s="193" t="s">
        <v>1028</v>
      </c>
      <c r="V36" s="191" t="s">
        <v>217</v>
      </c>
      <c r="W36" s="192">
        <v>9</v>
      </c>
      <c r="X36" s="191">
        <v>0</v>
      </c>
      <c r="Y36" s="191">
        <v>150</v>
      </c>
      <c r="Z36" s="191">
        <v>510</v>
      </c>
      <c r="AA36" s="191">
        <v>2061</v>
      </c>
      <c r="AB36" s="191">
        <v>1009</v>
      </c>
      <c r="AC36" s="191">
        <v>2430</v>
      </c>
      <c r="AD36" s="191">
        <v>7580</v>
      </c>
      <c r="AE36" s="191">
        <v>8850</v>
      </c>
      <c r="AF36" s="191">
        <v>580</v>
      </c>
      <c r="AG36" s="191">
        <v>0</v>
      </c>
      <c r="AH36" s="191">
        <v>0</v>
      </c>
      <c r="AL36" s="144" t="s">
        <v>219</v>
      </c>
    </row>
    <row r="37" spans="1:38">
      <c r="A37" s="155" t="s">
        <v>211</v>
      </c>
      <c r="B37" t="s">
        <v>1020</v>
      </c>
      <c r="C37" t="s">
        <v>1021</v>
      </c>
      <c r="D37" t="s">
        <v>211</v>
      </c>
      <c r="E37" t="s">
        <v>208</v>
      </c>
      <c r="F37" t="s">
        <v>979</v>
      </c>
      <c r="G37">
        <v>9</v>
      </c>
      <c r="H37" s="189">
        <v>34.823799999999999</v>
      </c>
      <c r="I37" s="67">
        <v>1.07752</v>
      </c>
      <c r="J37" s="67">
        <v>284.35559000000001</v>
      </c>
      <c r="K37" s="67">
        <v>269.99623000000003</v>
      </c>
      <c r="L37" s="67">
        <v>0</v>
      </c>
      <c r="M37" s="67">
        <v>0</v>
      </c>
      <c r="N37" s="67">
        <v>0</v>
      </c>
      <c r="O37" s="67">
        <v>0</v>
      </c>
      <c r="P37" s="67">
        <v>0</v>
      </c>
      <c r="Q37" s="67">
        <v>0</v>
      </c>
      <c r="R37" s="67">
        <v>0</v>
      </c>
      <c r="S37" s="190">
        <v>0</v>
      </c>
      <c r="T37" s="191"/>
      <c r="U37" s="193" t="s">
        <v>1032</v>
      </c>
      <c r="V37" s="191" t="s">
        <v>350</v>
      </c>
      <c r="W37" s="192">
        <v>6</v>
      </c>
      <c r="X37" s="191">
        <v>31.554560000000002</v>
      </c>
      <c r="Y37" s="191">
        <v>169.60212000000001</v>
      </c>
      <c r="Z37" s="191">
        <v>169.47811999999999</v>
      </c>
      <c r="AA37" s="191">
        <v>0</v>
      </c>
      <c r="AB37" s="191">
        <v>0</v>
      </c>
      <c r="AC37" s="191">
        <v>0</v>
      </c>
      <c r="AD37" s="191">
        <v>0</v>
      </c>
      <c r="AE37" s="191">
        <v>0</v>
      </c>
      <c r="AF37" s="191">
        <v>0</v>
      </c>
      <c r="AG37" s="191">
        <v>0</v>
      </c>
      <c r="AH37" s="191">
        <v>0</v>
      </c>
      <c r="AL37" s="144" t="s">
        <v>221</v>
      </c>
    </row>
    <row r="38" spans="1:38">
      <c r="A38" s="155" t="s">
        <v>211</v>
      </c>
      <c r="B38" t="s">
        <v>1020</v>
      </c>
      <c r="C38" t="s">
        <v>1022</v>
      </c>
      <c r="D38" t="s">
        <v>211</v>
      </c>
      <c r="E38" t="s">
        <v>208</v>
      </c>
      <c r="F38" t="s">
        <v>979</v>
      </c>
      <c r="G38">
        <v>9</v>
      </c>
      <c r="H38" s="189">
        <v>679.17283999999995</v>
      </c>
      <c r="I38" s="67">
        <v>890.93095000000005</v>
      </c>
      <c r="J38" s="67">
        <v>306.42892000000001</v>
      </c>
      <c r="K38" s="67">
        <v>115.58540000000001</v>
      </c>
      <c r="L38" s="67">
        <v>0</v>
      </c>
      <c r="M38" s="67">
        <v>0</v>
      </c>
      <c r="N38" s="67">
        <v>0</v>
      </c>
      <c r="O38" s="67">
        <v>0</v>
      </c>
      <c r="P38" s="67">
        <v>0</v>
      </c>
      <c r="Q38" s="67">
        <v>0</v>
      </c>
      <c r="R38" s="67">
        <v>0</v>
      </c>
      <c r="S38" s="190">
        <v>0</v>
      </c>
      <c r="T38" s="191"/>
      <c r="U38" s="193" t="s">
        <v>1034</v>
      </c>
      <c r="V38" s="191" t="s">
        <v>244</v>
      </c>
      <c r="W38" s="192">
        <v>6</v>
      </c>
      <c r="X38" s="191">
        <v>21103.363600000001</v>
      </c>
      <c r="Y38" s="191">
        <v>1398.7365399999999</v>
      </c>
      <c r="Z38" s="191">
        <v>0</v>
      </c>
      <c r="AA38" s="191">
        <v>0</v>
      </c>
      <c r="AB38" s="191">
        <v>0</v>
      </c>
      <c r="AC38" s="191">
        <v>0</v>
      </c>
      <c r="AD38" s="191">
        <v>0</v>
      </c>
      <c r="AE38" s="191">
        <v>0</v>
      </c>
      <c r="AF38" s="191">
        <v>0</v>
      </c>
      <c r="AG38" s="191">
        <v>0</v>
      </c>
      <c r="AH38" s="191">
        <v>0</v>
      </c>
      <c r="AL38" s="144" t="s">
        <v>246</v>
      </c>
    </row>
    <row r="39" spans="1:38">
      <c r="A39" s="155" t="s">
        <v>211</v>
      </c>
      <c r="B39" t="s">
        <v>1020</v>
      </c>
      <c r="C39" t="s">
        <v>1023</v>
      </c>
      <c r="D39" t="s">
        <v>211</v>
      </c>
      <c r="E39" t="s">
        <v>207</v>
      </c>
      <c r="F39" t="s">
        <v>979</v>
      </c>
      <c r="G39">
        <v>9</v>
      </c>
      <c r="H39" s="189">
        <v>10027.06064</v>
      </c>
      <c r="I39" s="67">
        <v>4693.8744500000003</v>
      </c>
      <c r="J39" s="67">
        <v>7585.3435399999998</v>
      </c>
      <c r="K39" s="67">
        <v>4306.9788900000003</v>
      </c>
      <c r="L39" s="67">
        <v>456.69373999999999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190">
        <v>0</v>
      </c>
      <c r="T39" s="191"/>
      <c r="U39" s="193" t="s">
        <v>1037</v>
      </c>
      <c r="V39" s="191" t="s">
        <v>342</v>
      </c>
      <c r="W39" s="192">
        <v>35</v>
      </c>
      <c r="X39" s="191">
        <v>1063.34572</v>
      </c>
      <c r="Y39" s="191">
        <v>200</v>
      </c>
      <c r="Z39" s="191">
        <v>200</v>
      </c>
      <c r="AA39" s="191">
        <v>1500</v>
      </c>
      <c r="AB39" s="191">
        <v>3522.8326000000002</v>
      </c>
      <c r="AC39" s="191">
        <v>6187.6640600000001</v>
      </c>
      <c r="AD39" s="191">
        <v>10217.603779999999</v>
      </c>
      <c r="AE39" s="191">
        <v>320</v>
      </c>
      <c r="AF39" s="191">
        <v>0</v>
      </c>
      <c r="AG39" s="191">
        <v>0</v>
      </c>
      <c r="AH39" s="191">
        <v>0</v>
      </c>
      <c r="AL39" s="144" t="s">
        <v>223</v>
      </c>
    </row>
    <row r="40" spans="1:38">
      <c r="A40" s="155" t="s">
        <v>245</v>
      </c>
      <c r="B40" t="s">
        <v>1024</v>
      </c>
      <c r="C40" t="s">
        <v>1025</v>
      </c>
      <c r="D40" t="s">
        <v>245</v>
      </c>
      <c r="E40" t="s">
        <v>208</v>
      </c>
      <c r="F40" t="s">
        <v>979</v>
      </c>
      <c r="G40">
        <v>9</v>
      </c>
      <c r="H40" s="189">
        <v>0</v>
      </c>
      <c r="I40" s="67">
        <v>10</v>
      </c>
      <c r="J40" s="67">
        <v>10</v>
      </c>
      <c r="K40" s="67">
        <v>40</v>
      </c>
      <c r="L40" s="67">
        <v>130</v>
      </c>
      <c r="M40" s="67">
        <v>150</v>
      </c>
      <c r="N40" s="67">
        <v>0</v>
      </c>
      <c r="O40" s="67">
        <v>0</v>
      </c>
      <c r="P40" s="67">
        <v>0</v>
      </c>
      <c r="Q40" s="67">
        <v>0</v>
      </c>
      <c r="R40" s="67">
        <v>0</v>
      </c>
      <c r="S40" s="190">
        <v>0</v>
      </c>
      <c r="T40" s="191"/>
      <c r="U40" s="193" t="s">
        <v>1501</v>
      </c>
      <c r="V40" s="191" t="s">
        <v>277</v>
      </c>
      <c r="W40" s="192">
        <v>2</v>
      </c>
      <c r="X40" s="191">
        <v>0</v>
      </c>
      <c r="Y40" s="191">
        <v>0</v>
      </c>
      <c r="Z40" s="191">
        <v>15</v>
      </c>
      <c r="AA40" s="191">
        <v>338.46152000000001</v>
      </c>
      <c r="AB40" s="191">
        <v>0</v>
      </c>
      <c r="AC40" s="191">
        <v>0</v>
      </c>
      <c r="AD40" s="191">
        <v>0</v>
      </c>
      <c r="AE40" s="191">
        <v>0</v>
      </c>
      <c r="AF40" s="191">
        <v>0</v>
      </c>
      <c r="AG40" s="191">
        <v>0</v>
      </c>
      <c r="AH40" s="191">
        <v>0</v>
      </c>
      <c r="AL40" s="144" t="s">
        <v>226</v>
      </c>
    </row>
    <row r="41" spans="1:38">
      <c r="A41" s="155" t="s">
        <v>245</v>
      </c>
      <c r="B41" t="s">
        <v>1024</v>
      </c>
      <c r="C41" t="s">
        <v>1026</v>
      </c>
      <c r="D41" t="s">
        <v>245</v>
      </c>
      <c r="E41" t="s">
        <v>208</v>
      </c>
      <c r="F41" t="s">
        <v>979</v>
      </c>
      <c r="G41">
        <v>9</v>
      </c>
      <c r="H41" s="189">
        <v>0</v>
      </c>
      <c r="I41" s="67">
        <v>20</v>
      </c>
      <c r="J41" s="67">
        <v>20</v>
      </c>
      <c r="K41" s="67">
        <v>123</v>
      </c>
      <c r="L41" s="67">
        <v>46.015920000000001</v>
      </c>
      <c r="M41" s="67">
        <v>1681.7106000000001</v>
      </c>
      <c r="N41" s="67">
        <v>600</v>
      </c>
      <c r="O41" s="67">
        <v>0</v>
      </c>
      <c r="P41" s="67">
        <v>0</v>
      </c>
      <c r="Q41" s="67">
        <v>0</v>
      </c>
      <c r="R41" s="67">
        <v>0</v>
      </c>
      <c r="S41" s="190">
        <v>0</v>
      </c>
      <c r="T41" s="191"/>
      <c r="U41" s="193" t="s">
        <v>1554</v>
      </c>
      <c r="V41" s="191" t="s">
        <v>333</v>
      </c>
      <c r="W41" s="192">
        <v>2.0609999999999999</v>
      </c>
      <c r="X41" s="191">
        <v>7.4305599999999998</v>
      </c>
      <c r="Y41" s="191">
        <v>0</v>
      </c>
      <c r="Z41" s="191">
        <v>0</v>
      </c>
      <c r="AA41" s="191">
        <v>0</v>
      </c>
      <c r="AB41" s="191">
        <v>1390.60989</v>
      </c>
      <c r="AC41" s="191">
        <v>0</v>
      </c>
      <c r="AD41" s="191">
        <v>0</v>
      </c>
      <c r="AE41" s="191">
        <v>0</v>
      </c>
      <c r="AF41" s="191">
        <v>0</v>
      </c>
      <c r="AG41" s="191">
        <v>0</v>
      </c>
      <c r="AH41" s="191">
        <v>0</v>
      </c>
      <c r="AL41" s="144" t="s">
        <v>249</v>
      </c>
    </row>
    <row r="42" spans="1:38">
      <c r="A42" s="155" t="s">
        <v>245</v>
      </c>
      <c r="B42" t="s">
        <v>1024</v>
      </c>
      <c r="C42" t="s">
        <v>1027</v>
      </c>
      <c r="D42" t="s">
        <v>245</v>
      </c>
      <c r="E42" t="s">
        <v>207</v>
      </c>
      <c r="F42" t="s">
        <v>979</v>
      </c>
      <c r="G42">
        <v>9</v>
      </c>
      <c r="H42" s="189">
        <v>0</v>
      </c>
      <c r="I42" s="67">
        <v>120</v>
      </c>
      <c r="J42" s="67">
        <v>120</v>
      </c>
      <c r="K42" s="67">
        <v>570</v>
      </c>
      <c r="L42" s="67">
        <v>600</v>
      </c>
      <c r="M42" s="67">
        <v>600</v>
      </c>
      <c r="N42" s="67">
        <v>600</v>
      </c>
      <c r="O42" s="67">
        <v>2440</v>
      </c>
      <c r="P42" s="67">
        <v>7950</v>
      </c>
      <c r="Q42" s="67">
        <v>2890</v>
      </c>
      <c r="R42" s="67">
        <v>0</v>
      </c>
      <c r="S42" s="190">
        <v>0</v>
      </c>
      <c r="T42" s="191"/>
      <c r="U42" s="193" t="s">
        <v>1555</v>
      </c>
      <c r="V42" s="191" t="s">
        <v>333</v>
      </c>
      <c r="W42" s="192">
        <v>1.966</v>
      </c>
      <c r="X42" s="191">
        <v>113.31072</v>
      </c>
      <c r="Y42" s="191">
        <v>0</v>
      </c>
      <c r="Z42" s="191">
        <v>56</v>
      </c>
      <c r="AA42" s="191">
        <v>756</v>
      </c>
      <c r="AB42" s="191">
        <v>0</v>
      </c>
      <c r="AC42" s="191">
        <v>0</v>
      </c>
      <c r="AD42" s="191">
        <v>0</v>
      </c>
      <c r="AE42" s="191">
        <v>0</v>
      </c>
      <c r="AF42" s="191">
        <v>0</v>
      </c>
      <c r="AG42" s="191">
        <v>0</v>
      </c>
      <c r="AH42" s="191">
        <v>0</v>
      </c>
      <c r="AL42" s="144" t="s">
        <v>251</v>
      </c>
    </row>
    <row r="43" spans="1:38">
      <c r="A43" s="155" t="s">
        <v>217</v>
      </c>
      <c r="B43" t="s">
        <v>1028</v>
      </c>
      <c r="C43" t="s">
        <v>1029</v>
      </c>
      <c r="D43" t="s">
        <v>217</v>
      </c>
      <c r="E43" t="s">
        <v>208</v>
      </c>
      <c r="F43" t="s">
        <v>979</v>
      </c>
      <c r="G43">
        <v>9</v>
      </c>
      <c r="H43" s="189">
        <v>0</v>
      </c>
      <c r="I43" s="67">
        <v>10</v>
      </c>
      <c r="J43" s="67">
        <v>10</v>
      </c>
      <c r="K43" s="67">
        <v>221</v>
      </c>
      <c r="L43" s="67">
        <v>359</v>
      </c>
      <c r="M43" s="67">
        <v>150</v>
      </c>
      <c r="N43" s="67">
        <v>0</v>
      </c>
      <c r="O43" s="67">
        <v>0</v>
      </c>
      <c r="P43" s="67">
        <v>0</v>
      </c>
      <c r="Q43" s="67">
        <v>0</v>
      </c>
      <c r="R43" s="67">
        <v>0</v>
      </c>
      <c r="S43" s="190">
        <v>0</v>
      </c>
      <c r="T43" s="191"/>
      <c r="U43" s="193" t="s">
        <v>1566</v>
      </c>
      <c r="V43" s="191" t="s">
        <v>364</v>
      </c>
      <c r="W43" s="192">
        <v>16</v>
      </c>
      <c r="X43" s="191">
        <v>0</v>
      </c>
      <c r="Y43" s="191">
        <v>0</v>
      </c>
      <c r="Z43" s="191">
        <v>25</v>
      </c>
      <c r="AA43" s="191">
        <v>250</v>
      </c>
      <c r="AB43" s="191">
        <v>0</v>
      </c>
      <c r="AC43" s="191">
        <v>0</v>
      </c>
      <c r="AD43" s="191">
        <v>0</v>
      </c>
      <c r="AE43" s="191">
        <v>0</v>
      </c>
      <c r="AF43" s="191">
        <v>0</v>
      </c>
      <c r="AG43" s="191">
        <v>0</v>
      </c>
      <c r="AH43" s="191">
        <v>0</v>
      </c>
      <c r="AL43" s="144" t="s">
        <v>247</v>
      </c>
    </row>
    <row r="44" spans="1:38">
      <c r="A44" s="155" t="s">
        <v>217</v>
      </c>
      <c r="B44" t="s">
        <v>1028</v>
      </c>
      <c r="C44" t="s">
        <v>1030</v>
      </c>
      <c r="D44" t="s">
        <v>217</v>
      </c>
      <c r="E44" t="s">
        <v>208</v>
      </c>
      <c r="F44" t="s">
        <v>979</v>
      </c>
      <c r="G44">
        <v>9</v>
      </c>
      <c r="H44" s="189">
        <v>0</v>
      </c>
      <c r="I44" s="67">
        <v>20</v>
      </c>
      <c r="J44" s="67">
        <v>20</v>
      </c>
      <c r="K44" s="67">
        <v>50</v>
      </c>
      <c r="L44" s="67">
        <v>50</v>
      </c>
      <c r="M44" s="67">
        <v>1680</v>
      </c>
      <c r="N44" s="67">
        <v>600</v>
      </c>
      <c r="O44" s="67">
        <v>0</v>
      </c>
      <c r="P44" s="67">
        <v>0</v>
      </c>
      <c r="Q44" s="67">
        <v>0</v>
      </c>
      <c r="R44" s="67">
        <v>0</v>
      </c>
      <c r="S44" s="190">
        <v>0</v>
      </c>
      <c r="T44" s="191"/>
      <c r="U44" s="193" t="s">
        <v>1039</v>
      </c>
      <c r="V44" s="191" t="s">
        <v>341</v>
      </c>
      <c r="W44" s="192">
        <v>9</v>
      </c>
      <c r="X44" s="191">
        <v>31193.960560000003</v>
      </c>
      <c r="Y44" s="191">
        <v>10875.036000000004</v>
      </c>
      <c r="Z44" s="191">
        <v>3000</v>
      </c>
      <c r="AA44" s="191">
        <v>0</v>
      </c>
      <c r="AB44" s="191">
        <v>0</v>
      </c>
      <c r="AC44" s="191">
        <v>0</v>
      </c>
      <c r="AD44" s="191">
        <v>0</v>
      </c>
      <c r="AE44" s="191">
        <v>0</v>
      </c>
      <c r="AF44" s="191">
        <v>0</v>
      </c>
      <c r="AG44" s="191">
        <v>0</v>
      </c>
      <c r="AH44" s="191">
        <v>0</v>
      </c>
      <c r="AL44" s="144" t="s">
        <v>254</v>
      </c>
    </row>
    <row r="45" spans="1:38">
      <c r="A45" s="155" t="s">
        <v>217</v>
      </c>
      <c r="B45" t="s">
        <v>1028</v>
      </c>
      <c r="C45" t="s">
        <v>1031</v>
      </c>
      <c r="D45" t="s">
        <v>217</v>
      </c>
      <c r="E45" t="s">
        <v>207</v>
      </c>
      <c r="F45" t="s">
        <v>979</v>
      </c>
      <c r="G45">
        <v>9</v>
      </c>
      <c r="H45" s="189">
        <v>0</v>
      </c>
      <c r="I45" s="67">
        <v>120</v>
      </c>
      <c r="J45" s="67">
        <v>480</v>
      </c>
      <c r="K45" s="67">
        <v>1790</v>
      </c>
      <c r="L45" s="67">
        <v>600</v>
      </c>
      <c r="M45" s="67">
        <v>600</v>
      </c>
      <c r="N45" s="67">
        <v>6980</v>
      </c>
      <c r="O45" s="67">
        <v>8850</v>
      </c>
      <c r="P45" s="67">
        <v>580</v>
      </c>
      <c r="Q45" s="67">
        <v>0</v>
      </c>
      <c r="R45" s="67">
        <v>0</v>
      </c>
      <c r="S45" s="190">
        <v>0</v>
      </c>
      <c r="T45" s="191"/>
      <c r="U45" s="193" t="s">
        <v>1565</v>
      </c>
      <c r="V45" s="191" t="s">
        <v>364</v>
      </c>
      <c r="W45" s="192">
        <v>4</v>
      </c>
      <c r="X45" s="191">
        <v>1603.3198400000001</v>
      </c>
      <c r="Y45" s="191">
        <v>495.8</v>
      </c>
      <c r="Z45" s="191">
        <v>0</v>
      </c>
      <c r="AA45" s="191">
        <v>0</v>
      </c>
      <c r="AB45" s="191">
        <v>0</v>
      </c>
      <c r="AC45" s="191">
        <v>0</v>
      </c>
      <c r="AD45" s="191">
        <v>0</v>
      </c>
      <c r="AE45" s="191">
        <v>0</v>
      </c>
      <c r="AF45" s="191">
        <v>0</v>
      </c>
      <c r="AG45" s="191">
        <v>0</v>
      </c>
      <c r="AH45" s="191">
        <v>0</v>
      </c>
      <c r="AL45" s="144" t="s">
        <v>248</v>
      </c>
    </row>
    <row r="46" spans="1:38">
      <c r="A46" s="155" t="s">
        <v>350</v>
      </c>
      <c r="B46" t="s">
        <v>1032</v>
      </c>
      <c r="C46" t="s">
        <v>1033</v>
      </c>
      <c r="D46" t="s">
        <v>350</v>
      </c>
      <c r="E46" t="s">
        <v>208</v>
      </c>
      <c r="F46" t="s">
        <v>979</v>
      </c>
      <c r="G46">
        <v>6</v>
      </c>
      <c r="H46" s="189">
        <v>31.554560000000002</v>
      </c>
      <c r="I46" s="67">
        <v>169.60212000000001</v>
      </c>
      <c r="J46" s="67">
        <v>169.47811999999999</v>
      </c>
      <c r="K46" s="67">
        <v>0</v>
      </c>
      <c r="L46" s="67">
        <v>0</v>
      </c>
      <c r="M46" s="67">
        <v>0</v>
      </c>
      <c r="N46" s="67">
        <v>0</v>
      </c>
      <c r="O46" s="67">
        <v>0</v>
      </c>
      <c r="P46" s="67">
        <v>0</v>
      </c>
      <c r="Q46" s="67">
        <v>0</v>
      </c>
      <c r="R46" s="67">
        <v>0</v>
      </c>
      <c r="S46" s="190">
        <v>0</v>
      </c>
      <c r="T46" s="191"/>
      <c r="U46" s="193" t="s">
        <v>1510</v>
      </c>
      <c r="V46" s="191" t="s">
        <v>212</v>
      </c>
      <c r="W46" s="192">
        <v>12.5</v>
      </c>
      <c r="X46" s="191">
        <v>0</v>
      </c>
      <c r="Y46" s="191">
        <v>15</v>
      </c>
      <c r="Z46" s="191">
        <v>0</v>
      </c>
      <c r="AA46" s="191">
        <v>2169.9280600000002</v>
      </c>
      <c r="AB46" s="191">
        <v>0</v>
      </c>
      <c r="AC46" s="191">
        <v>0</v>
      </c>
      <c r="AD46" s="191">
        <v>0</v>
      </c>
      <c r="AE46" s="191">
        <v>0</v>
      </c>
      <c r="AF46" s="191">
        <v>0</v>
      </c>
      <c r="AG46" s="191">
        <v>0</v>
      </c>
      <c r="AH46" s="191">
        <v>0</v>
      </c>
      <c r="AL46" s="144" t="s">
        <v>257</v>
      </c>
    </row>
    <row r="47" spans="1:38">
      <c r="A47" s="155" t="s">
        <v>244</v>
      </c>
      <c r="B47" t="s">
        <v>1034</v>
      </c>
      <c r="C47" t="s">
        <v>1035</v>
      </c>
      <c r="D47" t="s">
        <v>244</v>
      </c>
      <c r="E47" t="s">
        <v>208</v>
      </c>
      <c r="F47" t="s">
        <v>979</v>
      </c>
      <c r="G47">
        <v>6</v>
      </c>
      <c r="H47" s="189">
        <v>4437.1117599999998</v>
      </c>
      <c r="I47" s="67">
        <v>658.86915999999997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v>0</v>
      </c>
      <c r="P47" s="67">
        <v>0</v>
      </c>
      <c r="Q47" s="67">
        <v>0</v>
      </c>
      <c r="R47" s="67">
        <v>0</v>
      </c>
      <c r="S47" s="190">
        <v>0</v>
      </c>
      <c r="T47" s="191"/>
      <c r="U47" s="193" t="s">
        <v>1569</v>
      </c>
      <c r="V47" s="191" t="s">
        <v>250</v>
      </c>
      <c r="W47" s="192">
        <v>4</v>
      </c>
      <c r="X47" s="191">
        <v>0</v>
      </c>
      <c r="Y47" s="191">
        <v>0</v>
      </c>
      <c r="Z47" s="191">
        <v>50</v>
      </c>
      <c r="AA47" s="191">
        <v>525</v>
      </c>
      <c r="AB47" s="191">
        <v>0</v>
      </c>
      <c r="AC47" s="191">
        <v>0</v>
      </c>
      <c r="AD47" s="191">
        <v>0</v>
      </c>
      <c r="AE47" s="191">
        <v>0</v>
      </c>
      <c r="AF47" s="191">
        <v>0</v>
      </c>
      <c r="AG47" s="191">
        <v>0</v>
      </c>
      <c r="AH47" s="191">
        <v>0</v>
      </c>
      <c r="AL47" s="144" t="s">
        <v>259</v>
      </c>
    </row>
    <row r="48" spans="1:38">
      <c r="A48" s="155" t="s">
        <v>244</v>
      </c>
      <c r="B48" t="s">
        <v>1034</v>
      </c>
      <c r="C48" t="s">
        <v>1036</v>
      </c>
      <c r="D48" t="s">
        <v>244</v>
      </c>
      <c r="E48" t="s">
        <v>207</v>
      </c>
      <c r="F48" t="s">
        <v>979</v>
      </c>
      <c r="G48">
        <v>6</v>
      </c>
      <c r="H48" s="189">
        <v>16666.251840000001</v>
      </c>
      <c r="I48" s="67">
        <v>739.86738000000003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v>0</v>
      </c>
      <c r="P48" s="67">
        <v>0</v>
      </c>
      <c r="Q48" s="67">
        <v>0</v>
      </c>
      <c r="R48" s="67">
        <v>0</v>
      </c>
      <c r="S48" s="190">
        <v>0</v>
      </c>
      <c r="T48" s="191"/>
      <c r="U48" s="193" t="s">
        <v>1476</v>
      </c>
      <c r="V48" s="191" t="s">
        <v>266</v>
      </c>
      <c r="W48" s="192">
        <v>1</v>
      </c>
      <c r="X48" s="191">
        <v>192.33851999999999</v>
      </c>
      <c r="Y48" s="191">
        <v>190.71915999999999</v>
      </c>
      <c r="Z48" s="191">
        <v>190.71915999999999</v>
      </c>
      <c r="AA48" s="191">
        <v>143.79170999999999</v>
      </c>
      <c r="AB48" s="191">
        <v>3338.6907900000001</v>
      </c>
      <c r="AC48" s="191">
        <v>493.82065999999998</v>
      </c>
      <c r="AD48" s="191">
        <v>85.389020000000002</v>
      </c>
      <c r="AE48" s="191">
        <v>0</v>
      </c>
      <c r="AF48" s="191">
        <v>0</v>
      </c>
      <c r="AG48" s="191">
        <v>0</v>
      </c>
      <c r="AH48" s="191">
        <v>0</v>
      </c>
      <c r="AL48" s="144" t="s">
        <v>261</v>
      </c>
    </row>
    <row r="49" spans="1:38">
      <c r="A49" s="155" t="s">
        <v>342</v>
      </c>
      <c r="B49" t="s">
        <v>1037</v>
      </c>
      <c r="C49" t="s">
        <v>1038</v>
      </c>
      <c r="D49" t="s">
        <v>342</v>
      </c>
      <c r="E49" t="s">
        <v>207</v>
      </c>
      <c r="F49" t="s">
        <v>979</v>
      </c>
      <c r="G49">
        <v>35</v>
      </c>
      <c r="H49" s="189">
        <v>1063.34572</v>
      </c>
      <c r="I49" s="67">
        <v>200</v>
      </c>
      <c r="J49" s="67">
        <v>200</v>
      </c>
      <c r="K49" s="67">
        <v>1500</v>
      </c>
      <c r="L49" s="67">
        <v>3522.8326000000002</v>
      </c>
      <c r="M49" s="67">
        <v>6187.6640600000001</v>
      </c>
      <c r="N49" s="67">
        <v>10217.603779999999</v>
      </c>
      <c r="O49" s="67">
        <v>320</v>
      </c>
      <c r="P49" s="67">
        <v>0</v>
      </c>
      <c r="Q49" s="67">
        <v>0</v>
      </c>
      <c r="R49" s="67">
        <v>0</v>
      </c>
      <c r="S49" s="190">
        <v>0</v>
      </c>
      <c r="T49" s="191"/>
      <c r="U49" s="193" t="s">
        <v>1477</v>
      </c>
      <c r="V49" s="191" t="s">
        <v>258</v>
      </c>
      <c r="W49" s="192">
        <v>4.4000000000000004</v>
      </c>
      <c r="X49" s="191">
        <v>519.33879999999999</v>
      </c>
      <c r="Y49" s="191">
        <v>210.8092</v>
      </c>
      <c r="Z49" s="191">
        <v>803.23541999999998</v>
      </c>
      <c r="AA49" s="191">
        <v>913.95478000000003</v>
      </c>
      <c r="AB49" s="191">
        <v>334.69596000000001</v>
      </c>
      <c r="AC49" s="191">
        <v>7189.8461500000003</v>
      </c>
      <c r="AD49" s="191">
        <v>493.64819999999997</v>
      </c>
      <c r="AE49" s="191">
        <v>0</v>
      </c>
      <c r="AF49" s="191">
        <v>0</v>
      </c>
      <c r="AG49" s="191">
        <v>0</v>
      </c>
      <c r="AH49" s="191">
        <v>0</v>
      </c>
      <c r="AL49" s="144" t="s">
        <v>263</v>
      </c>
    </row>
    <row r="50" spans="1:38">
      <c r="A50" s="155" t="s">
        <v>341</v>
      </c>
      <c r="B50" t="s">
        <v>1039</v>
      </c>
      <c r="C50" t="s">
        <v>1040</v>
      </c>
      <c r="D50" t="s">
        <v>341</v>
      </c>
      <c r="E50" t="s">
        <v>208</v>
      </c>
      <c r="F50" t="s">
        <v>976</v>
      </c>
      <c r="G50">
        <v>9</v>
      </c>
      <c r="H50" s="189">
        <v>16656.694320000002</v>
      </c>
      <c r="I50" s="67">
        <v>1298.2460000000001</v>
      </c>
      <c r="J50" s="67">
        <v>0</v>
      </c>
      <c r="K50" s="67">
        <v>0</v>
      </c>
      <c r="L50" s="67">
        <v>0</v>
      </c>
      <c r="M50" s="67">
        <v>0</v>
      </c>
      <c r="N50" s="67">
        <v>0</v>
      </c>
      <c r="O50" s="67">
        <v>0</v>
      </c>
      <c r="P50" s="67">
        <v>0</v>
      </c>
      <c r="Q50" s="67">
        <v>0</v>
      </c>
      <c r="R50" s="67">
        <v>0</v>
      </c>
      <c r="S50" s="190">
        <v>0</v>
      </c>
      <c r="T50" s="191"/>
      <c r="U50" s="193" t="s">
        <v>1523</v>
      </c>
      <c r="V50" s="191" t="s">
        <v>294</v>
      </c>
      <c r="W50" s="192">
        <v>5</v>
      </c>
      <c r="X50" s="191">
        <v>0</v>
      </c>
      <c r="Y50" s="191">
        <v>0</v>
      </c>
      <c r="Z50" s="191">
        <v>0</v>
      </c>
      <c r="AA50" s="191">
        <v>0</v>
      </c>
      <c r="AB50" s="191">
        <v>0</v>
      </c>
      <c r="AC50" s="191">
        <v>0</v>
      </c>
      <c r="AD50" s="191">
        <v>34.659599999999998</v>
      </c>
      <c r="AE50" s="191">
        <v>346.49997999999999</v>
      </c>
      <c r="AF50" s="191">
        <v>1039.5</v>
      </c>
      <c r="AG50" s="191">
        <v>1386.0000399999999</v>
      </c>
      <c r="AH50" s="191">
        <v>495.00002000000001</v>
      </c>
      <c r="AL50" s="144" t="s">
        <v>252</v>
      </c>
    </row>
    <row r="51" spans="1:38">
      <c r="A51" s="155" t="s">
        <v>341</v>
      </c>
      <c r="B51" t="s">
        <v>1039</v>
      </c>
      <c r="C51" t="s">
        <v>1041</v>
      </c>
      <c r="D51" t="s">
        <v>341</v>
      </c>
      <c r="E51" t="s">
        <v>207</v>
      </c>
      <c r="F51" t="s">
        <v>976</v>
      </c>
      <c r="G51">
        <v>9</v>
      </c>
      <c r="H51" s="189">
        <v>14537.266240000001</v>
      </c>
      <c r="I51" s="67">
        <v>9576.7900000000045</v>
      </c>
      <c r="J51" s="67">
        <v>3000</v>
      </c>
      <c r="K51" s="67">
        <v>0</v>
      </c>
      <c r="L51" s="67">
        <v>0</v>
      </c>
      <c r="M51" s="67">
        <v>0</v>
      </c>
      <c r="N51" s="67">
        <v>0</v>
      </c>
      <c r="O51" s="67">
        <v>0</v>
      </c>
      <c r="P51" s="67">
        <v>0</v>
      </c>
      <c r="Q51" s="67">
        <v>0</v>
      </c>
      <c r="R51" s="67">
        <v>0</v>
      </c>
      <c r="S51" s="190">
        <v>0</v>
      </c>
      <c r="T51" s="191"/>
      <c r="U51" s="193" t="s">
        <v>1489</v>
      </c>
      <c r="V51" s="191" t="s">
        <v>214</v>
      </c>
      <c r="W51" s="192">
        <v>20</v>
      </c>
      <c r="X51" s="191">
        <v>0</v>
      </c>
      <c r="Y51" s="191">
        <v>0</v>
      </c>
      <c r="Z51" s="191">
        <v>0</v>
      </c>
      <c r="AA51" s="191">
        <v>0</v>
      </c>
      <c r="AB51" s="191">
        <v>0</v>
      </c>
      <c r="AC51" s="191">
        <v>100</v>
      </c>
      <c r="AD51" s="191">
        <v>500</v>
      </c>
      <c r="AE51" s="191">
        <v>5000</v>
      </c>
      <c r="AF51" s="191">
        <v>2000</v>
      </c>
      <c r="AG51" s="191">
        <v>100</v>
      </c>
      <c r="AH51" s="191">
        <v>0</v>
      </c>
      <c r="AL51" s="144" t="s">
        <v>255</v>
      </c>
    </row>
    <row r="52" spans="1:38">
      <c r="A52" s="155"/>
      <c r="B52" s="99" t="s">
        <v>1109</v>
      </c>
      <c r="C52" t="s">
        <v>1110</v>
      </c>
      <c r="D52" t="s">
        <v>347</v>
      </c>
      <c r="E52" t="s">
        <v>206</v>
      </c>
      <c r="F52" t="s">
        <v>1050</v>
      </c>
      <c r="G52">
        <v>20</v>
      </c>
      <c r="H52" s="189">
        <v>2672.9128000000001</v>
      </c>
      <c r="I52" s="67">
        <v>7613.86265</v>
      </c>
      <c r="J52" s="67">
        <v>3446.41896</v>
      </c>
      <c r="K52" s="67">
        <v>0</v>
      </c>
      <c r="L52" s="67">
        <v>0</v>
      </c>
      <c r="M52" s="67">
        <v>0</v>
      </c>
      <c r="N52" s="67">
        <v>0</v>
      </c>
      <c r="O52" s="67">
        <v>0</v>
      </c>
      <c r="P52" s="67">
        <v>0</v>
      </c>
      <c r="Q52" s="67">
        <v>0</v>
      </c>
      <c r="R52" s="67">
        <v>0</v>
      </c>
      <c r="S52" s="190">
        <v>0</v>
      </c>
      <c r="T52" s="191"/>
      <c r="U52" s="193" t="s">
        <v>1529</v>
      </c>
      <c r="V52" s="191" t="s">
        <v>299</v>
      </c>
      <c r="W52" s="192">
        <v>7</v>
      </c>
      <c r="X52" s="191">
        <v>0</v>
      </c>
      <c r="Y52" s="191">
        <v>0</v>
      </c>
      <c r="Z52" s="191">
        <v>0</v>
      </c>
      <c r="AA52" s="191">
        <v>0</v>
      </c>
      <c r="AB52" s="191">
        <v>30</v>
      </c>
      <c r="AC52" s="191">
        <v>644</v>
      </c>
      <c r="AD52" s="191">
        <v>2540</v>
      </c>
      <c r="AE52" s="191">
        <v>4950</v>
      </c>
      <c r="AF52" s="191">
        <v>3465</v>
      </c>
      <c r="AG52" s="191">
        <v>248</v>
      </c>
      <c r="AH52" s="191">
        <v>0</v>
      </c>
      <c r="AL52" s="144" t="s">
        <v>256</v>
      </c>
    </row>
    <row r="53" spans="1:38">
      <c r="A53" s="155"/>
      <c r="B53" s="99" t="s">
        <v>1109</v>
      </c>
      <c r="C53" t="s">
        <v>1111</v>
      </c>
      <c r="D53" t="s">
        <v>347</v>
      </c>
      <c r="E53" t="s">
        <v>205</v>
      </c>
      <c r="F53" t="s">
        <v>8</v>
      </c>
      <c r="G53">
        <v>20</v>
      </c>
      <c r="H53" s="189">
        <v>11251.651</v>
      </c>
      <c r="I53" s="67">
        <v>1775.8586</v>
      </c>
      <c r="J53" s="67">
        <v>0</v>
      </c>
      <c r="K53" s="67">
        <v>0</v>
      </c>
      <c r="L53" s="67">
        <v>0</v>
      </c>
      <c r="M53" s="67">
        <v>0</v>
      </c>
      <c r="N53" s="67">
        <v>0</v>
      </c>
      <c r="O53" s="67">
        <v>0</v>
      </c>
      <c r="P53" s="67">
        <v>0</v>
      </c>
      <c r="Q53" s="67">
        <v>0</v>
      </c>
      <c r="R53" s="67">
        <v>0</v>
      </c>
      <c r="S53" s="190">
        <v>0</v>
      </c>
      <c r="T53" s="191"/>
      <c r="U53" s="193" t="s">
        <v>1132</v>
      </c>
      <c r="V53" s="191" t="s">
        <v>246</v>
      </c>
      <c r="W53" s="192">
        <v>9</v>
      </c>
      <c r="X53" s="191">
        <v>10975.11904</v>
      </c>
      <c r="Y53" s="191">
        <v>260.30223999999998</v>
      </c>
      <c r="Z53" s="191">
        <v>1682.86034</v>
      </c>
      <c r="AA53" s="191">
        <v>2709.5134199999998</v>
      </c>
      <c r="AB53" s="191">
        <v>8594.6850299999987</v>
      </c>
      <c r="AC53" s="191">
        <v>5965.57485</v>
      </c>
      <c r="AD53" s="191">
        <v>1504.61346</v>
      </c>
      <c r="AE53" s="191">
        <v>0</v>
      </c>
      <c r="AF53" s="191">
        <v>0</v>
      </c>
      <c r="AG53" s="191">
        <v>0</v>
      </c>
      <c r="AH53" s="191">
        <v>0</v>
      </c>
      <c r="AL53" s="144" t="s">
        <v>266</v>
      </c>
    </row>
    <row r="54" spans="1:38">
      <c r="A54" s="155"/>
      <c r="B54" s="99" t="s">
        <v>1109</v>
      </c>
      <c r="C54" t="s">
        <v>1112</v>
      </c>
      <c r="D54" t="s">
        <v>347</v>
      </c>
      <c r="E54" t="s">
        <v>205</v>
      </c>
      <c r="F54" t="s">
        <v>1047</v>
      </c>
      <c r="G54">
        <v>20</v>
      </c>
      <c r="H54" s="189">
        <v>105355.44536</v>
      </c>
      <c r="I54" s="67">
        <v>25531.585620000002</v>
      </c>
      <c r="J54" s="67">
        <v>5911.5309299999999</v>
      </c>
      <c r="K54" s="67">
        <v>0</v>
      </c>
      <c r="L54" s="67">
        <v>0</v>
      </c>
      <c r="M54" s="67">
        <v>0</v>
      </c>
      <c r="N54" s="67">
        <v>0</v>
      </c>
      <c r="O54" s="67">
        <v>0</v>
      </c>
      <c r="P54" s="67">
        <v>0</v>
      </c>
      <c r="Q54" s="67">
        <v>0</v>
      </c>
      <c r="R54" s="67">
        <v>0</v>
      </c>
      <c r="S54" s="190">
        <v>0</v>
      </c>
      <c r="T54" s="191"/>
      <c r="U54" s="193" t="s">
        <v>1136</v>
      </c>
      <c r="V54" s="191" t="s">
        <v>214</v>
      </c>
      <c r="W54" s="192">
        <v>12</v>
      </c>
      <c r="X54" s="191">
        <v>0</v>
      </c>
      <c r="Y54" s="191">
        <v>130</v>
      </c>
      <c r="Z54" s="191">
        <v>520</v>
      </c>
      <c r="AA54" s="191">
        <v>2922</v>
      </c>
      <c r="AB54" s="191">
        <v>50</v>
      </c>
      <c r="AC54" s="191">
        <v>0</v>
      </c>
      <c r="AD54" s="191">
        <v>0</v>
      </c>
      <c r="AE54" s="191">
        <v>0</v>
      </c>
      <c r="AF54" s="191">
        <v>0</v>
      </c>
      <c r="AG54" s="191">
        <v>0</v>
      </c>
      <c r="AH54" s="191">
        <v>0</v>
      </c>
      <c r="AL54" s="144" t="s">
        <v>258</v>
      </c>
    </row>
    <row r="55" spans="1:38">
      <c r="A55" s="155"/>
      <c r="B55" s="99" t="s">
        <v>1109</v>
      </c>
      <c r="C55" t="s">
        <v>1113</v>
      </c>
      <c r="D55" t="s">
        <v>1114</v>
      </c>
      <c r="E55" t="s">
        <v>208</v>
      </c>
      <c r="F55" t="s">
        <v>979</v>
      </c>
      <c r="G55">
        <v>20</v>
      </c>
      <c r="H55" s="189">
        <v>464.30831999999998</v>
      </c>
      <c r="I55" s="67">
        <v>10.548</v>
      </c>
      <c r="J55" s="67">
        <v>2114.39975</v>
      </c>
      <c r="K55" s="67">
        <v>0</v>
      </c>
      <c r="L55" s="67">
        <v>0</v>
      </c>
      <c r="M55" s="67">
        <v>0</v>
      </c>
      <c r="N55" s="67">
        <v>0</v>
      </c>
      <c r="O55" s="67">
        <v>0</v>
      </c>
      <c r="P55" s="67">
        <v>0</v>
      </c>
      <c r="Q55" s="67">
        <v>0</v>
      </c>
      <c r="R55" s="67">
        <v>0</v>
      </c>
      <c r="S55" s="190">
        <v>0</v>
      </c>
      <c r="T55" s="191"/>
      <c r="U55" s="193" t="s">
        <v>1479</v>
      </c>
      <c r="V55" s="191" t="s">
        <v>269</v>
      </c>
      <c r="W55" s="192">
        <v>2.5</v>
      </c>
      <c r="X55" s="191">
        <v>13.808440000000001</v>
      </c>
      <c r="Y55" s="191">
        <v>0</v>
      </c>
      <c r="Z55" s="191">
        <v>191.75</v>
      </c>
      <c r="AA55" s="191">
        <v>0</v>
      </c>
      <c r="AB55" s="191">
        <v>0</v>
      </c>
      <c r="AC55" s="191">
        <v>0</v>
      </c>
      <c r="AD55" s="191">
        <v>0</v>
      </c>
      <c r="AE55" s="191">
        <v>0</v>
      </c>
      <c r="AF55" s="191">
        <v>0</v>
      </c>
      <c r="AG55" s="191">
        <v>0</v>
      </c>
      <c r="AH55" s="191">
        <v>0</v>
      </c>
      <c r="AL55" s="144" t="s">
        <v>260</v>
      </c>
    </row>
    <row r="56" spans="1:38">
      <c r="A56" s="155"/>
      <c r="B56" s="99" t="s">
        <v>1109</v>
      </c>
      <c r="C56" t="s">
        <v>1115</v>
      </c>
      <c r="D56" t="s">
        <v>1114</v>
      </c>
      <c r="E56" t="s">
        <v>208</v>
      </c>
      <c r="F56" t="s">
        <v>979</v>
      </c>
      <c r="G56">
        <v>20</v>
      </c>
      <c r="H56" s="189">
        <v>8458.0805999999993</v>
      </c>
      <c r="I56" s="67">
        <v>1569.16706</v>
      </c>
      <c r="J56" s="67">
        <v>1811.2233000000001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  <c r="S56" s="190">
        <v>0</v>
      </c>
      <c r="T56" s="191"/>
      <c r="U56" s="193" t="s">
        <v>1456</v>
      </c>
      <c r="V56" s="191" t="s">
        <v>212</v>
      </c>
      <c r="W56" s="192">
        <v>2.2000000000000002</v>
      </c>
      <c r="X56" s="191">
        <v>121.2358</v>
      </c>
      <c r="Y56" s="191">
        <v>0</v>
      </c>
      <c r="Z56" s="191">
        <v>700</v>
      </c>
      <c r="AA56" s="191">
        <v>0</v>
      </c>
      <c r="AB56" s="191">
        <v>0</v>
      </c>
      <c r="AC56" s="191">
        <v>0</v>
      </c>
      <c r="AD56" s="191">
        <v>0</v>
      </c>
      <c r="AE56" s="191">
        <v>0</v>
      </c>
      <c r="AF56" s="191">
        <v>0</v>
      </c>
      <c r="AG56" s="191">
        <v>0</v>
      </c>
      <c r="AH56" s="191">
        <v>0</v>
      </c>
      <c r="AL56" s="144" t="s">
        <v>269</v>
      </c>
    </row>
    <row r="57" spans="1:38">
      <c r="A57" s="155"/>
      <c r="B57" s="99" t="s">
        <v>1126</v>
      </c>
      <c r="C57" t="s">
        <v>1127</v>
      </c>
      <c r="D57" t="s">
        <v>347</v>
      </c>
      <c r="E57" t="s">
        <v>205</v>
      </c>
      <c r="F57" t="s">
        <v>1043</v>
      </c>
      <c r="G57">
        <v>130</v>
      </c>
      <c r="H57" s="189">
        <v>638.51328000000001</v>
      </c>
      <c r="I57" s="67">
        <v>1255.5733600000001</v>
      </c>
      <c r="J57" s="67">
        <v>3350.1012000000001</v>
      </c>
      <c r="K57" s="67">
        <v>3500</v>
      </c>
      <c r="L57" s="67">
        <v>5430.0049200000003</v>
      </c>
      <c r="M57" s="67">
        <v>5131.1112000000003</v>
      </c>
      <c r="N57" s="67">
        <v>14615.509840000001</v>
      </c>
      <c r="O57" s="67">
        <v>22889</v>
      </c>
      <c r="P57" s="67">
        <v>21837</v>
      </c>
      <c r="Q57" s="67">
        <v>17132</v>
      </c>
      <c r="R57" s="67">
        <v>17946</v>
      </c>
      <c r="S57" s="190">
        <v>0</v>
      </c>
      <c r="T57" s="191"/>
      <c r="U57" s="193" t="s">
        <v>1516</v>
      </c>
      <c r="V57" s="191" t="s">
        <v>226</v>
      </c>
      <c r="W57" s="192">
        <v>2.2000000000000002</v>
      </c>
      <c r="X57" s="191">
        <v>77.757600000000011</v>
      </c>
      <c r="Y57" s="191">
        <v>0</v>
      </c>
      <c r="Z57" s="191">
        <v>0</v>
      </c>
      <c r="AA57" s="191">
        <v>0</v>
      </c>
      <c r="AB57" s="191">
        <v>0</v>
      </c>
      <c r="AC57" s="191">
        <v>706.0933</v>
      </c>
      <c r="AD57" s="191">
        <v>0</v>
      </c>
      <c r="AE57" s="191">
        <v>0</v>
      </c>
      <c r="AF57" s="191">
        <v>0</v>
      </c>
      <c r="AG57" s="191">
        <v>0</v>
      </c>
      <c r="AH57" s="191">
        <v>0</v>
      </c>
      <c r="AL57" s="144" t="s">
        <v>262</v>
      </c>
    </row>
    <row r="58" spans="1:38">
      <c r="A58" s="155"/>
      <c r="B58" s="99" t="s">
        <v>1126</v>
      </c>
      <c r="C58" t="s">
        <v>1128</v>
      </c>
      <c r="D58" t="s">
        <v>347</v>
      </c>
      <c r="E58" t="s">
        <v>206</v>
      </c>
      <c r="F58" t="s">
        <v>1043</v>
      </c>
      <c r="G58">
        <v>130</v>
      </c>
      <c r="H58" s="189">
        <v>86.122039999999998</v>
      </c>
      <c r="I58" s="67">
        <v>528.95452</v>
      </c>
      <c r="J58" s="67">
        <v>250</v>
      </c>
      <c r="K58" s="67">
        <v>250</v>
      </c>
      <c r="L58" s="67">
        <v>3801</v>
      </c>
      <c r="M58" s="67">
        <v>5340</v>
      </c>
      <c r="N58" s="67">
        <v>5059</v>
      </c>
      <c r="O58" s="67">
        <v>5497</v>
      </c>
      <c r="P58" s="67">
        <v>1924</v>
      </c>
      <c r="Q58" s="67">
        <v>1924</v>
      </c>
      <c r="R58" s="67">
        <v>0</v>
      </c>
      <c r="S58" s="190">
        <v>0</v>
      </c>
      <c r="T58" s="191"/>
      <c r="U58" s="191" t="s">
        <v>1482</v>
      </c>
      <c r="V58" s="191" t="s">
        <v>265</v>
      </c>
      <c r="W58" s="192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L58" s="144" t="s">
        <v>265</v>
      </c>
    </row>
    <row r="59" spans="1:38">
      <c r="A59" s="155"/>
      <c r="B59" s="99" t="s">
        <v>1126</v>
      </c>
      <c r="C59" t="s">
        <v>1129</v>
      </c>
      <c r="D59" t="s">
        <v>1130</v>
      </c>
      <c r="E59" t="s">
        <v>208</v>
      </c>
      <c r="F59" t="s">
        <v>976</v>
      </c>
      <c r="G59">
        <v>130</v>
      </c>
      <c r="H59" s="189">
        <v>1418.4273599999999</v>
      </c>
      <c r="I59" s="67">
        <v>750</v>
      </c>
      <c r="J59" s="67">
        <v>749.42996000000005</v>
      </c>
      <c r="K59" s="67">
        <v>749.74728000000005</v>
      </c>
      <c r="L59" s="67">
        <v>14994.63744</v>
      </c>
      <c r="M59" s="67">
        <v>28990.2268</v>
      </c>
      <c r="N59" s="67">
        <v>21991.3338</v>
      </c>
      <c r="O59" s="67">
        <v>25000</v>
      </c>
      <c r="P59" s="67">
        <v>30000</v>
      </c>
      <c r="Q59" s="67">
        <v>30000</v>
      </c>
      <c r="R59" s="67">
        <v>10000</v>
      </c>
      <c r="S59" s="190">
        <v>0</v>
      </c>
      <c r="T59" s="191"/>
      <c r="U59" s="193" t="s">
        <v>1141</v>
      </c>
      <c r="V59" s="191" t="s">
        <v>340</v>
      </c>
      <c r="W59" s="192">
        <v>10</v>
      </c>
      <c r="X59" s="191">
        <v>1444.0274400000001</v>
      </c>
      <c r="Y59" s="191">
        <v>1795.8647000000001</v>
      </c>
      <c r="Z59" s="191">
        <v>5913.56394</v>
      </c>
      <c r="AA59" s="191">
        <v>11598.55393</v>
      </c>
      <c r="AB59" s="191">
        <v>8064.6551900000004</v>
      </c>
      <c r="AC59" s="191">
        <v>8.13992</v>
      </c>
      <c r="AD59" s="191">
        <v>0</v>
      </c>
      <c r="AE59" s="191">
        <v>0</v>
      </c>
      <c r="AF59" s="191">
        <v>0</v>
      </c>
      <c r="AG59" s="191">
        <v>0</v>
      </c>
      <c r="AH59" s="191">
        <v>0</v>
      </c>
      <c r="AL59" s="144" t="s">
        <v>267</v>
      </c>
    </row>
    <row r="60" spans="1:38">
      <c r="A60" s="155"/>
      <c r="B60" s="99" t="s">
        <v>1126</v>
      </c>
      <c r="C60" t="s">
        <v>1131</v>
      </c>
      <c r="D60" t="s">
        <v>347</v>
      </c>
      <c r="E60" t="s">
        <v>205</v>
      </c>
      <c r="F60" t="s">
        <v>1043</v>
      </c>
      <c r="G60">
        <v>130</v>
      </c>
      <c r="H60" s="189">
        <v>8830.9835600000006</v>
      </c>
      <c r="I60" s="67">
        <v>3149.9998999999998</v>
      </c>
      <c r="J60" s="67">
        <v>0</v>
      </c>
      <c r="K60" s="67">
        <v>0</v>
      </c>
      <c r="L60" s="67">
        <v>0</v>
      </c>
      <c r="M60" s="67">
        <v>0</v>
      </c>
      <c r="N60" s="67">
        <v>0</v>
      </c>
      <c r="O60" s="67">
        <v>0</v>
      </c>
      <c r="P60" s="67">
        <v>0</v>
      </c>
      <c r="Q60" s="67">
        <v>0</v>
      </c>
      <c r="R60" s="67">
        <v>0</v>
      </c>
      <c r="S60" s="190">
        <v>0</v>
      </c>
      <c r="T60" s="191"/>
      <c r="U60" s="193" t="s">
        <v>1143</v>
      </c>
      <c r="V60" s="191" t="s">
        <v>288</v>
      </c>
      <c r="W60" s="192">
        <v>17.5</v>
      </c>
      <c r="X60" s="191">
        <v>17368.51368</v>
      </c>
      <c r="Y60" s="191">
        <v>1996.41437</v>
      </c>
      <c r="Z60" s="191">
        <v>12499.631310000001</v>
      </c>
      <c r="AA60" s="191">
        <v>18408.008560000002</v>
      </c>
      <c r="AB60" s="191">
        <v>3835.2538800000002</v>
      </c>
      <c r="AC60" s="191">
        <v>842.07964000000004</v>
      </c>
      <c r="AD60" s="191">
        <v>439.12700000000001</v>
      </c>
      <c r="AE60" s="191">
        <v>0</v>
      </c>
      <c r="AF60" s="191">
        <v>0</v>
      </c>
      <c r="AG60" s="191">
        <v>0</v>
      </c>
      <c r="AH60" s="191">
        <v>0</v>
      </c>
      <c r="AL60" s="144" t="s">
        <v>268</v>
      </c>
    </row>
    <row r="61" spans="1:38">
      <c r="A61" s="155" t="s">
        <v>246</v>
      </c>
      <c r="B61" t="s">
        <v>1132</v>
      </c>
      <c r="C61" t="s">
        <v>1133</v>
      </c>
      <c r="D61" t="s">
        <v>246</v>
      </c>
      <c r="E61" t="s">
        <v>208</v>
      </c>
      <c r="F61" t="s">
        <v>979</v>
      </c>
      <c r="G61">
        <v>9</v>
      </c>
      <c r="H61" s="189">
        <v>49.210599999999999</v>
      </c>
      <c r="I61" s="67">
        <v>6.4291</v>
      </c>
      <c r="J61" s="67">
        <v>8.3855699999999995</v>
      </c>
      <c r="K61" s="67">
        <v>1006.79071</v>
      </c>
      <c r="L61" s="67">
        <v>204.82919999999999</v>
      </c>
      <c r="M61" s="67">
        <v>172.02332999999999</v>
      </c>
      <c r="N61" s="67">
        <v>0</v>
      </c>
      <c r="O61" s="67">
        <v>0</v>
      </c>
      <c r="P61" s="67">
        <v>0</v>
      </c>
      <c r="Q61" s="67">
        <v>0</v>
      </c>
      <c r="R61" s="67">
        <v>0</v>
      </c>
      <c r="S61" s="190">
        <v>0</v>
      </c>
      <c r="T61" s="191"/>
      <c r="U61" s="193" t="s">
        <v>1151</v>
      </c>
      <c r="V61" s="191" t="s">
        <v>16</v>
      </c>
      <c r="W61" s="192">
        <v>6.4</v>
      </c>
      <c r="X61" s="191">
        <v>21</v>
      </c>
      <c r="Y61" s="191">
        <v>101.5</v>
      </c>
      <c r="Z61" s="191">
        <v>0.1</v>
      </c>
      <c r="AA61" s="191">
        <v>36.4</v>
      </c>
      <c r="AB61" s="191">
        <v>3010</v>
      </c>
      <c r="AC61" s="191">
        <v>7589.7025299999996</v>
      </c>
      <c r="AD61" s="191">
        <v>8408.9805400000005</v>
      </c>
      <c r="AE61" s="191">
        <v>5708.7072200000002</v>
      </c>
      <c r="AF61" s="191">
        <v>1052.54079</v>
      </c>
      <c r="AG61" s="191">
        <v>0</v>
      </c>
      <c r="AH61" s="191">
        <v>0</v>
      </c>
      <c r="AL61" s="144" t="s">
        <v>273</v>
      </c>
    </row>
    <row r="62" spans="1:38">
      <c r="A62" s="155" t="s">
        <v>246</v>
      </c>
      <c r="B62" t="s">
        <v>1132</v>
      </c>
      <c r="C62" t="s">
        <v>1134</v>
      </c>
      <c r="D62" t="s">
        <v>246</v>
      </c>
      <c r="E62" t="s">
        <v>207</v>
      </c>
      <c r="F62" t="s">
        <v>979</v>
      </c>
      <c r="G62">
        <v>9</v>
      </c>
      <c r="H62" s="189">
        <v>10896.473</v>
      </c>
      <c r="I62" s="67">
        <v>248.3852</v>
      </c>
      <c r="J62" s="67">
        <v>1668.66183</v>
      </c>
      <c r="K62" s="67">
        <v>1698.9524699999999</v>
      </c>
      <c r="L62" s="67">
        <v>8133.99478</v>
      </c>
      <c r="M62" s="67">
        <v>5717.5947900000001</v>
      </c>
      <c r="N62" s="67">
        <v>1496.51846</v>
      </c>
      <c r="O62" s="67">
        <v>0</v>
      </c>
      <c r="P62" s="67">
        <v>0</v>
      </c>
      <c r="Q62" s="67">
        <v>0</v>
      </c>
      <c r="R62" s="67">
        <v>0</v>
      </c>
      <c r="S62" s="190">
        <v>0</v>
      </c>
      <c r="T62" s="191"/>
      <c r="U62" s="193" t="s">
        <v>1157</v>
      </c>
      <c r="V62" s="191" t="s">
        <v>345</v>
      </c>
      <c r="W62" s="192">
        <v>23.4</v>
      </c>
      <c r="X62" s="191">
        <v>476.34868000000006</v>
      </c>
      <c r="Y62" s="191">
        <v>175</v>
      </c>
      <c r="Z62" s="191">
        <v>536.40210999999999</v>
      </c>
      <c r="AA62" s="191">
        <v>1951.9126900000001</v>
      </c>
      <c r="AB62" s="191">
        <v>4183.82492</v>
      </c>
      <c r="AC62" s="191">
        <v>6533.6507000000001</v>
      </c>
      <c r="AD62" s="191">
        <v>9138.7897699999994</v>
      </c>
      <c r="AE62" s="191">
        <v>6388.4133499999998</v>
      </c>
      <c r="AF62" s="191">
        <v>2947.6194999999998</v>
      </c>
      <c r="AG62" s="191">
        <v>0</v>
      </c>
      <c r="AH62" s="191">
        <v>0</v>
      </c>
      <c r="AL62" s="144" t="s">
        <v>233</v>
      </c>
    </row>
    <row r="63" spans="1:38">
      <c r="A63" s="155" t="s">
        <v>246</v>
      </c>
      <c r="B63" t="s">
        <v>1132</v>
      </c>
      <c r="C63" t="s">
        <v>1135</v>
      </c>
      <c r="D63" t="s">
        <v>246</v>
      </c>
      <c r="E63" t="s">
        <v>208</v>
      </c>
      <c r="F63" t="s">
        <v>979</v>
      </c>
      <c r="G63">
        <v>9</v>
      </c>
      <c r="H63" s="189">
        <v>29.43544</v>
      </c>
      <c r="I63" s="67">
        <v>5.48794</v>
      </c>
      <c r="J63" s="67">
        <v>5.8129400000000002</v>
      </c>
      <c r="K63" s="67">
        <v>3.7702399999999998</v>
      </c>
      <c r="L63" s="67">
        <v>255.86105000000001</v>
      </c>
      <c r="M63" s="67">
        <v>75.956729999999993</v>
      </c>
      <c r="N63" s="67">
        <v>8.0950000000000006</v>
      </c>
      <c r="O63" s="67">
        <v>0</v>
      </c>
      <c r="P63" s="67">
        <v>0</v>
      </c>
      <c r="Q63" s="67">
        <v>0</v>
      </c>
      <c r="R63" s="67">
        <v>0</v>
      </c>
      <c r="S63" s="190">
        <v>0</v>
      </c>
      <c r="T63" s="191"/>
      <c r="U63" s="193" t="s">
        <v>1160</v>
      </c>
      <c r="V63" s="191" t="s">
        <v>305</v>
      </c>
      <c r="W63" s="192">
        <v>38.72</v>
      </c>
      <c r="X63" s="191">
        <v>2489.3729600000001</v>
      </c>
      <c r="Y63" s="191">
        <v>1316.8785200000002</v>
      </c>
      <c r="Z63" s="191">
        <v>4197.30656</v>
      </c>
      <c r="AA63" s="191">
        <v>7578.1841199999999</v>
      </c>
      <c r="AB63" s="191">
        <v>6601.2449999999999</v>
      </c>
      <c r="AC63" s="191">
        <v>8797.402</v>
      </c>
      <c r="AD63" s="191">
        <v>3868.1559999999999</v>
      </c>
      <c r="AE63" s="191">
        <v>2223</v>
      </c>
      <c r="AF63" s="191">
        <v>0</v>
      </c>
      <c r="AG63" s="191">
        <v>0</v>
      </c>
      <c r="AH63" s="191">
        <v>0</v>
      </c>
      <c r="AL63" s="144" t="s">
        <v>270</v>
      </c>
    </row>
    <row r="64" spans="1:38">
      <c r="A64" s="155" t="s">
        <v>214</v>
      </c>
      <c r="B64" t="s">
        <v>1136</v>
      </c>
      <c r="C64" t="s">
        <v>1137</v>
      </c>
      <c r="D64" t="s">
        <v>214</v>
      </c>
      <c r="E64" t="s">
        <v>208</v>
      </c>
      <c r="F64" t="s">
        <v>976</v>
      </c>
      <c r="G64">
        <v>12</v>
      </c>
      <c r="H64" s="189">
        <v>0</v>
      </c>
      <c r="I64" s="67">
        <v>0</v>
      </c>
      <c r="J64" s="67">
        <v>0</v>
      </c>
      <c r="K64" s="67">
        <v>2922</v>
      </c>
      <c r="L64" s="67">
        <v>50</v>
      </c>
      <c r="M64" s="67">
        <v>0</v>
      </c>
      <c r="N64" s="67">
        <v>0</v>
      </c>
      <c r="O64" s="67">
        <v>0</v>
      </c>
      <c r="P64" s="67">
        <v>0</v>
      </c>
      <c r="Q64" s="67">
        <v>0</v>
      </c>
      <c r="R64" s="67">
        <v>0</v>
      </c>
      <c r="S64" s="190">
        <v>0</v>
      </c>
      <c r="T64" s="191"/>
      <c r="U64" s="193" t="s">
        <v>1173</v>
      </c>
      <c r="V64" s="191" t="s">
        <v>232</v>
      </c>
      <c r="W64" s="192">
        <v>1.5</v>
      </c>
      <c r="X64" s="191">
        <v>93</v>
      </c>
      <c r="Y64" s="191">
        <v>0</v>
      </c>
      <c r="Z64" s="191">
        <v>445.54</v>
      </c>
      <c r="AA64" s="191">
        <v>1469.21</v>
      </c>
      <c r="AB64" s="191">
        <v>0</v>
      </c>
      <c r="AC64" s="191">
        <v>0</v>
      </c>
      <c r="AD64" s="191">
        <v>0</v>
      </c>
      <c r="AE64" s="191">
        <v>0</v>
      </c>
      <c r="AF64" s="191">
        <v>0</v>
      </c>
      <c r="AG64" s="191">
        <v>0</v>
      </c>
      <c r="AH64" s="191">
        <v>0</v>
      </c>
      <c r="AL64" s="144" t="s">
        <v>272</v>
      </c>
    </row>
    <row r="65" spans="1:38">
      <c r="A65" s="155" t="s">
        <v>214</v>
      </c>
      <c r="B65" t="s">
        <v>1136</v>
      </c>
      <c r="C65" t="s">
        <v>1138</v>
      </c>
      <c r="D65" t="s">
        <v>347</v>
      </c>
      <c r="E65" t="s">
        <v>205</v>
      </c>
      <c r="F65" t="s">
        <v>1043</v>
      </c>
      <c r="G65">
        <v>12</v>
      </c>
      <c r="H65" s="189">
        <v>0</v>
      </c>
      <c r="I65" s="67">
        <v>130</v>
      </c>
      <c r="J65" s="67">
        <v>520</v>
      </c>
      <c r="K65" s="67">
        <v>0</v>
      </c>
      <c r="L65" s="67">
        <v>0</v>
      </c>
      <c r="M65" s="67">
        <v>0</v>
      </c>
      <c r="N65" s="67">
        <v>0</v>
      </c>
      <c r="O65" s="67">
        <v>0</v>
      </c>
      <c r="P65" s="67">
        <v>0</v>
      </c>
      <c r="Q65" s="67">
        <v>0</v>
      </c>
      <c r="R65" s="67">
        <v>0</v>
      </c>
      <c r="S65" s="190">
        <v>0</v>
      </c>
      <c r="T65" s="191"/>
      <c r="U65" s="193" t="s">
        <v>1178</v>
      </c>
      <c r="V65" s="191" t="s">
        <v>249</v>
      </c>
      <c r="W65" s="192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L65" s="144" t="s">
        <v>278</v>
      </c>
    </row>
    <row r="66" spans="1:38">
      <c r="A66" s="155" t="s">
        <v>340</v>
      </c>
      <c r="B66" t="s">
        <v>1141</v>
      </c>
      <c r="C66" t="s">
        <v>1142</v>
      </c>
      <c r="D66" t="s">
        <v>340</v>
      </c>
      <c r="E66" t="s">
        <v>207</v>
      </c>
      <c r="F66" t="s">
        <v>979</v>
      </c>
      <c r="G66">
        <v>10</v>
      </c>
      <c r="H66" s="189">
        <v>1444.0274400000001</v>
      </c>
      <c r="I66" s="67">
        <v>1795.8647000000001</v>
      </c>
      <c r="J66" s="67">
        <v>5913.56394</v>
      </c>
      <c r="K66" s="67">
        <v>11598.55393</v>
      </c>
      <c r="L66" s="67">
        <v>8064.6551900000004</v>
      </c>
      <c r="M66" s="67">
        <v>8.13992</v>
      </c>
      <c r="N66" s="67">
        <v>0</v>
      </c>
      <c r="O66" s="67">
        <v>0</v>
      </c>
      <c r="P66" s="67">
        <v>0</v>
      </c>
      <c r="Q66" s="67">
        <v>0</v>
      </c>
      <c r="R66" s="67">
        <v>0</v>
      </c>
      <c r="S66" s="190">
        <v>0</v>
      </c>
      <c r="T66" s="191"/>
      <c r="U66" s="193" t="s">
        <v>1180</v>
      </c>
      <c r="V66" s="191" t="s">
        <v>320</v>
      </c>
      <c r="W66" s="192"/>
      <c r="X66" s="191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L66" s="144" t="s">
        <v>264</v>
      </c>
    </row>
    <row r="67" spans="1:38">
      <c r="A67" s="155" t="s">
        <v>288</v>
      </c>
      <c r="B67" t="s">
        <v>1143</v>
      </c>
      <c r="C67" t="s">
        <v>1144</v>
      </c>
      <c r="D67" t="s">
        <v>288</v>
      </c>
      <c r="E67" t="s">
        <v>208</v>
      </c>
      <c r="F67" t="s">
        <v>979</v>
      </c>
      <c r="G67">
        <v>17.5</v>
      </c>
      <c r="H67" s="189">
        <v>44.910240000000002</v>
      </c>
      <c r="I67" s="67">
        <v>126.21675</v>
      </c>
      <c r="J67" s="67">
        <v>0</v>
      </c>
      <c r="K67" s="67">
        <v>3310.6711700000001</v>
      </c>
      <c r="L67" s="67">
        <v>1621.10502</v>
      </c>
      <c r="M67" s="67">
        <v>842.07964000000004</v>
      </c>
      <c r="N67" s="67">
        <v>0</v>
      </c>
      <c r="O67" s="67">
        <v>0</v>
      </c>
      <c r="P67" s="67">
        <v>0</v>
      </c>
      <c r="Q67" s="67">
        <v>0</v>
      </c>
      <c r="R67" s="67">
        <v>0</v>
      </c>
      <c r="S67" s="190">
        <v>0</v>
      </c>
      <c r="T67" s="191"/>
      <c r="U67" s="191" t="s">
        <v>1183</v>
      </c>
      <c r="V67" s="191" t="s">
        <v>353</v>
      </c>
      <c r="W67" s="192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L67" s="144" t="s">
        <v>271</v>
      </c>
    </row>
    <row r="68" spans="1:38">
      <c r="A68" s="155" t="s">
        <v>288</v>
      </c>
      <c r="B68" t="s">
        <v>1143</v>
      </c>
      <c r="C68" t="s">
        <v>1145</v>
      </c>
      <c r="D68" t="s">
        <v>288</v>
      </c>
      <c r="E68" t="s">
        <v>207</v>
      </c>
      <c r="F68" t="s">
        <v>979</v>
      </c>
      <c r="G68">
        <v>17.5</v>
      </c>
      <c r="H68" s="189">
        <v>11.579000000000001</v>
      </c>
      <c r="I68" s="67">
        <v>0</v>
      </c>
      <c r="J68" s="67">
        <v>0</v>
      </c>
      <c r="K68" s="67">
        <v>0</v>
      </c>
      <c r="L68" s="67">
        <v>0</v>
      </c>
      <c r="M68" s="67">
        <v>0</v>
      </c>
      <c r="N68" s="67">
        <v>439.12700000000001</v>
      </c>
      <c r="O68" s="67">
        <v>0</v>
      </c>
      <c r="P68" s="67">
        <v>0</v>
      </c>
      <c r="Q68" s="67">
        <v>0</v>
      </c>
      <c r="R68" s="67">
        <v>0</v>
      </c>
      <c r="S68" s="190">
        <v>0</v>
      </c>
      <c r="T68" s="191"/>
      <c r="U68" s="193" t="s">
        <v>1184</v>
      </c>
      <c r="V68" s="191" t="s">
        <v>322</v>
      </c>
      <c r="W68" s="192"/>
      <c r="X68" s="191"/>
      <c r="Y68" s="191"/>
      <c r="Z68" s="191"/>
      <c r="AA68" s="191"/>
      <c r="AB68" s="191"/>
      <c r="AC68" s="191"/>
      <c r="AD68" s="191"/>
      <c r="AE68" s="191"/>
      <c r="AF68" s="191"/>
      <c r="AG68" s="191"/>
      <c r="AH68" s="191"/>
      <c r="AL68" s="144" t="s">
        <v>281</v>
      </c>
    </row>
    <row r="69" spans="1:38">
      <c r="A69" s="155" t="s">
        <v>288</v>
      </c>
      <c r="B69" t="s">
        <v>1143</v>
      </c>
      <c r="C69" t="s">
        <v>1146</v>
      </c>
      <c r="D69" t="s">
        <v>1147</v>
      </c>
      <c r="E69" t="s">
        <v>208</v>
      </c>
      <c r="F69" t="s">
        <v>979</v>
      </c>
      <c r="G69">
        <v>17.5</v>
      </c>
      <c r="H69" s="189">
        <v>417.03104000000002</v>
      </c>
      <c r="I69" s="67">
        <v>0</v>
      </c>
      <c r="J69" s="67">
        <v>1919.5164</v>
      </c>
      <c r="K69" s="67">
        <v>5529.7249099999999</v>
      </c>
      <c r="L69" s="67">
        <v>1533.7501400000001</v>
      </c>
      <c r="M69" s="67">
        <v>0</v>
      </c>
      <c r="N69" s="67">
        <v>0</v>
      </c>
      <c r="O69" s="67">
        <v>0</v>
      </c>
      <c r="P69" s="67">
        <v>0</v>
      </c>
      <c r="Q69" s="67">
        <v>0</v>
      </c>
      <c r="R69" s="67">
        <v>0</v>
      </c>
      <c r="S69" s="190">
        <v>0</v>
      </c>
      <c r="T69" s="191"/>
      <c r="U69" s="193" t="s">
        <v>1187</v>
      </c>
      <c r="V69" s="191" t="s">
        <v>316</v>
      </c>
      <c r="W69" s="192"/>
      <c r="X69" s="191"/>
      <c r="Y69" s="191"/>
      <c r="Z69" s="191"/>
      <c r="AA69" s="191"/>
      <c r="AB69" s="191"/>
      <c r="AC69" s="191"/>
      <c r="AD69" s="191"/>
      <c r="AE69" s="191"/>
      <c r="AF69" s="191"/>
      <c r="AG69" s="191"/>
      <c r="AH69" s="191"/>
      <c r="AL69" s="144" t="s">
        <v>225</v>
      </c>
    </row>
    <row r="70" spans="1:38">
      <c r="A70" s="155" t="s">
        <v>288</v>
      </c>
      <c r="B70" t="s">
        <v>1143</v>
      </c>
      <c r="C70" t="s">
        <v>1148</v>
      </c>
      <c r="D70" t="s">
        <v>1147</v>
      </c>
      <c r="E70" t="s">
        <v>207</v>
      </c>
      <c r="F70" t="s">
        <v>979</v>
      </c>
      <c r="G70">
        <v>17.5</v>
      </c>
      <c r="H70" s="189">
        <v>15411.12312</v>
      </c>
      <c r="I70" s="67">
        <v>1820.19714</v>
      </c>
      <c r="J70" s="67">
        <v>8169.2945099999997</v>
      </c>
      <c r="K70" s="67">
        <v>8886.8204399999995</v>
      </c>
      <c r="L70" s="67">
        <v>680.39872000000003</v>
      </c>
      <c r="M70" s="67">
        <v>0</v>
      </c>
      <c r="N70" s="67">
        <v>0</v>
      </c>
      <c r="O70" s="67">
        <v>0</v>
      </c>
      <c r="P70" s="67">
        <v>0</v>
      </c>
      <c r="Q70" s="67">
        <v>0</v>
      </c>
      <c r="R70" s="67">
        <v>0</v>
      </c>
      <c r="S70" s="190">
        <v>0</v>
      </c>
      <c r="T70" s="191"/>
      <c r="U70" s="191" t="s">
        <v>1500</v>
      </c>
      <c r="V70" s="191" t="s">
        <v>276</v>
      </c>
      <c r="W70" s="192"/>
      <c r="X70" s="191"/>
      <c r="Y70" s="191"/>
      <c r="Z70" s="191"/>
      <c r="AA70" s="191"/>
      <c r="AB70" s="191"/>
      <c r="AC70" s="191"/>
      <c r="AD70" s="191"/>
      <c r="AE70" s="191"/>
      <c r="AF70" s="191"/>
      <c r="AG70" s="191"/>
      <c r="AH70" s="191"/>
      <c r="AL70" s="144" t="s">
        <v>275</v>
      </c>
    </row>
    <row r="71" spans="1:38">
      <c r="A71" s="155" t="s">
        <v>288</v>
      </c>
      <c r="B71" t="s">
        <v>1143</v>
      </c>
      <c r="C71" t="s">
        <v>1149</v>
      </c>
      <c r="D71" t="s">
        <v>1150</v>
      </c>
      <c r="E71" t="s">
        <v>208</v>
      </c>
      <c r="F71" t="s">
        <v>979</v>
      </c>
      <c r="G71">
        <v>17.5</v>
      </c>
      <c r="H71" s="189">
        <v>1483.8702800000001</v>
      </c>
      <c r="I71" s="67">
        <v>50.000480000000003</v>
      </c>
      <c r="J71" s="67">
        <v>2410.8204000000001</v>
      </c>
      <c r="K71" s="67">
        <v>680.79204000000004</v>
      </c>
      <c r="L71" s="67">
        <v>0</v>
      </c>
      <c r="M71" s="67">
        <v>0</v>
      </c>
      <c r="N71" s="67">
        <v>0</v>
      </c>
      <c r="O71" s="67">
        <v>0</v>
      </c>
      <c r="P71" s="67">
        <v>0</v>
      </c>
      <c r="Q71" s="67">
        <v>0</v>
      </c>
      <c r="R71" s="67">
        <v>0</v>
      </c>
      <c r="S71" s="190">
        <v>0</v>
      </c>
      <c r="T71" s="191"/>
      <c r="U71" s="193" t="s">
        <v>1467</v>
      </c>
      <c r="V71" s="191" t="s">
        <v>243</v>
      </c>
      <c r="W71" s="192">
        <v>12.5</v>
      </c>
      <c r="X71" s="191">
        <v>0</v>
      </c>
      <c r="Y71" s="191">
        <v>0</v>
      </c>
      <c r="Z71" s="191">
        <v>0</v>
      </c>
      <c r="AA71" s="191">
        <v>0</v>
      </c>
      <c r="AB71" s="191">
        <v>0</v>
      </c>
      <c r="AC71" s="191">
        <v>0</v>
      </c>
      <c r="AD71" s="191">
        <v>120.78</v>
      </c>
      <c r="AE71" s="191">
        <v>1428.059</v>
      </c>
      <c r="AF71" s="191">
        <v>6483.3940000000002</v>
      </c>
      <c r="AG71" s="191">
        <v>9483.2100000000009</v>
      </c>
      <c r="AH71" s="191">
        <v>8793.862000000001</v>
      </c>
      <c r="AL71" s="144" t="s">
        <v>276</v>
      </c>
    </row>
    <row r="72" spans="1:38">
      <c r="A72" s="155" t="s">
        <v>16</v>
      </c>
      <c r="B72" t="s">
        <v>1151</v>
      </c>
      <c r="C72" t="s">
        <v>1152</v>
      </c>
      <c r="D72" t="s">
        <v>16</v>
      </c>
      <c r="E72" t="s">
        <v>207</v>
      </c>
      <c r="F72" t="s">
        <v>979</v>
      </c>
      <c r="G72">
        <v>6.4</v>
      </c>
      <c r="H72" s="189">
        <v>21</v>
      </c>
      <c r="I72" s="67">
        <v>101.5</v>
      </c>
      <c r="J72" s="67">
        <v>0.1</v>
      </c>
      <c r="K72" s="67">
        <v>1.4</v>
      </c>
      <c r="L72" s="67">
        <v>2010</v>
      </c>
      <c r="M72" s="67">
        <v>6257.3855299999996</v>
      </c>
      <c r="N72" s="67">
        <v>4986.4805399999996</v>
      </c>
      <c r="O72" s="67">
        <v>4708.7072200000002</v>
      </c>
      <c r="P72" s="67">
        <v>52.540790000000001</v>
      </c>
      <c r="Q72" s="67">
        <v>0</v>
      </c>
      <c r="R72" s="67">
        <v>0</v>
      </c>
      <c r="S72" s="190">
        <v>0</v>
      </c>
      <c r="T72" s="191"/>
      <c r="U72" s="191" t="s">
        <v>1514</v>
      </c>
      <c r="V72" s="191" t="s">
        <v>295</v>
      </c>
      <c r="W72" s="192"/>
      <c r="X72" s="191"/>
      <c r="Y72" s="191"/>
      <c r="Z72" s="191"/>
      <c r="AA72" s="191"/>
      <c r="AB72" s="191"/>
      <c r="AC72" s="191"/>
      <c r="AD72" s="191"/>
      <c r="AE72" s="191"/>
      <c r="AF72" s="191"/>
      <c r="AG72" s="191"/>
      <c r="AH72" s="191"/>
      <c r="AL72" s="144" t="s">
        <v>277</v>
      </c>
    </row>
    <row r="73" spans="1:38">
      <c r="A73" s="155" t="s">
        <v>16</v>
      </c>
      <c r="B73" t="s">
        <v>1151</v>
      </c>
      <c r="C73" t="s">
        <v>1153</v>
      </c>
      <c r="D73" t="s">
        <v>1154</v>
      </c>
      <c r="E73" t="s">
        <v>208</v>
      </c>
      <c r="F73" t="s">
        <v>979</v>
      </c>
      <c r="G73">
        <v>6.4</v>
      </c>
      <c r="H73" s="189">
        <v>0</v>
      </c>
      <c r="I73" s="67">
        <v>0</v>
      </c>
      <c r="J73" s="67">
        <v>0</v>
      </c>
      <c r="K73" s="67">
        <v>35</v>
      </c>
      <c r="L73" s="67">
        <v>1000</v>
      </c>
      <c r="M73" s="67">
        <v>1000</v>
      </c>
      <c r="N73" s="67">
        <v>1000</v>
      </c>
      <c r="O73" s="67">
        <v>1000</v>
      </c>
      <c r="P73" s="67">
        <v>1000</v>
      </c>
      <c r="Q73" s="67">
        <v>0</v>
      </c>
      <c r="R73" s="67">
        <v>0</v>
      </c>
      <c r="S73" s="190">
        <v>0</v>
      </c>
      <c r="T73" s="191"/>
      <c r="U73" s="193" t="s">
        <v>1548</v>
      </c>
      <c r="V73" s="191" t="s">
        <v>324</v>
      </c>
      <c r="W73" s="192">
        <v>3</v>
      </c>
      <c r="X73" s="191">
        <v>0</v>
      </c>
      <c r="Y73" s="191">
        <v>0</v>
      </c>
      <c r="Z73" s="191">
        <v>0</v>
      </c>
      <c r="AA73" s="191">
        <v>0</v>
      </c>
      <c r="AB73" s="191">
        <v>84</v>
      </c>
      <c r="AC73" s="191">
        <v>1506</v>
      </c>
      <c r="AD73" s="191">
        <v>828</v>
      </c>
      <c r="AE73" s="191">
        <v>82</v>
      </c>
      <c r="AF73" s="191">
        <v>0</v>
      </c>
      <c r="AG73" s="191">
        <v>0</v>
      </c>
      <c r="AH73" s="191">
        <v>0</v>
      </c>
      <c r="AL73" s="144" t="s">
        <v>279</v>
      </c>
    </row>
    <row r="74" spans="1:38">
      <c r="A74" s="155" t="s">
        <v>16</v>
      </c>
      <c r="B74" t="s">
        <v>1151</v>
      </c>
      <c r="C74" t="s">
        <v>1155</v>
      </c>
      <c r="D74" t="s">
        <v>1156</v>
      </c>
      <c r="E74" t="s">
        <v>207</v>
      </c>
      <c r="F74" t="s">
        <v>979</v>
      </c>
      <c r="G74">
        <v>6.4</v>
      </c>
      <c r="H74" s="189">
        <v>0</v>
      </c>
      <c r="I74" s="67">
        <v>0</v>
      </c>
      <c r="J74" s="67">
        <v>0</v>
      </c>
      <c r="K74" s="67">
        <v>0</v>
      </c>
      <c r="L74" s="67">
        <v>0</v>
      </c>
      <c r="M74" s="67">
        <v>332.31700000000001</v>
      </c>
      <c r="N74" s="67">
        <v>2422.5</v>
      </c>
      <c r="O74" s="67">
        <v>0</v>
      </c>
      <c r="P74" s="67">
        <v>0</v>
      </c>
      <c r="Q74" s="67">
        <v>0</v>
      </c>
      <c r="R74" s="67">
        <v>0</v>
      </c>
      <c r="S74" s="190">
        <v>0</v>
      </c>
      <c r="T74" s="191"/>
      <c r="U74" s="193" t="s">
        <v>1464</v>
      </c>
      <c r="V74" s="191" t="s">
        <v>236</v>
      </c>
      <c r="W74" s="192">
        <v>15</v>
      </c>
      <c r="X74" s="191">
        <v>0</v>
      </c>
      <c r="Y74" s="191">
        <v>0</v>
      </c>
      <c r="Z74" s="191">
        <v>0</v>
      </c>
      <c r="AA74" s="191">
        <v>0</v>
      </c>
      <c r="AB74" s="191">
        <v>0</v>
      </c>
      <c r="AC74" s="191">
        <v>128</v>
      </c>
      <c r="AD74" s="191">
        <v>1059</v>
      </c>
      <c r="AE74" s="191">
        <v>1520</v>
      </c>
      <c r="AF74" s="191">
        <v>3526</v>
      </c>
      <c r="AG74" s="191">
        <v>3409</v>
      </c>
      <c r="AH74" s="191">
        <v>354</v>
      </c>
      <c r="AL74" s="144" t="s">
        <v>286</v>
      </c>
    </row>
    <row r="75" spans="1:38">
      <c r="A75" s="155" t="s">
        <v>345</v>
      </c>
      <c r="B75" t="s">
        <v>1157</v>
      </c>
      <c r="C75" t="s">
        <v>1158</v>
      </c>
      <c r="D75" t="s">
        <v>345</v>
      </c>
      <c r="E75" t="s">
        <v>207</v>
      </c>
      <c r="F75" t="s">
        <v>979</v>
      </c>
      <c r="G75">
        <v>23.4</v>
      </c>
      <c r="H75" s="189">
        <v>398.76840000000004</v>
      </c>
      <c r="I75" s="67">
        <v>150</v>
      </c>
      <c r="J75" s="67">
        <v>250.10086000000001</v>
      </c>
      <c r="K75" s="67">
        <v>1167.0644400000001</v>
      </c>
      <c r="L75" s="67">
        <v>2180.89372</v>
      </c>
      <c r="M75" s="67">
        <v>4321.7195000000002</v>
      </c>
      <c r="N75" s="67">
        <v>2746.3737700000001</v>
      </c>
      <c r="O75" s="67">
        <v>73.943520000000007</v>
      </c>
      <c r="P75" s="67">
        <v>0</v>
      </c>
      <c r="Q75" s="67">
        <v>0</v>
      </c>
      <c r="R75" s="67">
        <v>0</v>
      </c>
      <c r="S75" s="190">
        <v>0</v>
      </c>
      <c r="T75" s="191"/>
      <c r="U75" s="191" t="s">
        <v>1191</v>
      </c>
      <c r="V75" s="191" t="s">
        <v>239</v>
      </c>
      <c r="W75" s="192"/>
      <c r="X75" s="191"/>
      <c r="Y75" s="191"/>
      <c r="Z75" s="191"/>
      <c r="AA75" s="191"/>
      <c r="AB75" s="191"/>
      <c r="AC75" s="191"/>
      <c r="AD75" s="191"/>
      <c r="AE75" s="191"/>
      <c r="AF75" s="191"/>
      <c r="AG75" s="191"/>
      <c r="AH75" s="191"/>
      <c r="AL75" s="144" t="s">
        <v>280</v>
      </c>
    </row>
    <row r="76" spans="1:38">
      <c r="A76" s="155" t="s">
        <v>345</v>
      </c>
      <c r="B76" t="s">
        <v>1157</v>
      </c>
      <c r="C76" t="s">
        <v>1159</v>
      </c>
      <c r="D76" t="s">
        <v>345</v>
      </c>
      <c r="E76" t="s">
        <v>208</v>
      </c>
      <c r="F76" t="s">
        <v>979</v>
      </c>
      <c r="G76">
        <v>23.4</v>
      </c>
      <c r="H76" s="189">
        <v>77.580280000000002</v>
      </c>
      <c r="I76" s="67">
        <v>25</v>
      </c>
      <c r="J76" s="67">
        <v>286.30124999999998</v>
      </c>
      <c r="K76" s="67">
        <v>784.84825000000001</v>
      </c>
      <c r="L76" s="67">
        <v>2002.9312</v>
      </c>
      <c r="M76" s="67">
        <v>2211.9312</v>
      </c>
      <c r="N76" s="67">
        <v>6392.4160000000002</v>
      </c>
      <c r="O76" s="67">
        <v>6314.46983</v>
      </c>
      <c r="P76" s="67">
        <v>2947.6194999999998</v>
      </c>
      <c r="Q76" s="67">
        <v>0</v>
      </c>
      <c r="R76" s="67">
        <v>0</v>
      </c>
      <c r="S76" s="190">
        <v>0</v>
      </c>
      <c r="T76" s="191"/>
      <c r="U76" s="191" t="s">
        <v>1518</v>
      </c>
      <c r="V76" s="191" t="s">
        <v>302</v>
      </c>
      <c r="W76" s="192"/>
      <c r="X76" s="191"/>
      <c r="Y76" s="191"/>
      <c r="Z76" s="191"/>
      <c r="AA76" s="191"/>
      <c r="AB76" s="191"/>
      <c r="AC76" s="191"/>
      <c r="AD76" s="191"/>
      <c r="AE76" s="191"/>
      <c r="AF76" s="191"/>
      <c r="AG76" s="191"/>
      <c r="AH76" s="191"/>
      <c r="AL76" s="144" t="s">
        <v>282</v>
      </c>
    </row>
    <row r="77" spans="1:38">
      <c r="A77" s="155" t="s">
        <v>305</v>
      </c>
      <c r="B77" t="s">
        <v>1160</v>
      </c>
      <c r="C77" t="s">
        <v>1161</v>
      </c>
      <c r="D77" t="s">
        <v>305</v>
      </c>
      <c r="E77" t="s">
        <v>208</v>
      </c>
      <c r="F77" t="s">
        <v>979</v>
      </c>
      <c r="G77">
        <v>38.72</v>
      </c>
      <c r="H77" s="189">
        <v>751.67615999999998</v>
      </c>
      <c r="I77" s="67">
        <v>197.99979999999999</v>
      </c>
      <c r="J77" s="67">
        <v>180</v>
      </c>
      <c r="K77" s="67">
        <v>3639.3520400000002</v>
      </c>
      <c r="L77" s="67">
        <v>1958</v>
      </c>
      <c r="M77" s="67">
        <v>5168</v>
      </c>
      <c r="N77" s="67">
        <v>3210</v>
      </c>
      <c r="O77" s="67">
        <v>0</v>
      </c>
      <c r="P77" s="67">
        <v>0</v>
      </c>
      <c r="Q77" s="67">
        <v>0</v>
      </c>
      <c r="R77" s="67">
        <v>0</v>
      </c>
      <c r="S77" s="190">
        <v>0</v>
      </c>
      <c r="T77" s="191"/>
      <c r="U77" s="193" t="s">
        <v>1525</v>
      </c>
      <c r="V77" s="191" t="s">
        <v>298</v>
      </c>
      <c r="W77" s="192">
        <v>19.399999999999999</v>
      </c>
      <c r="X77" s="191">
        <v>0</v>
      </c>
      <c r="Y77" s="191">
        <v>0</v>
      </c>
      <c r="Z77" s="191">
        <v>0</v>
      </c>
      <c r="AA77" s="191">
        <v>0</v>
      </c>
      <c r="AB77" s="191">
        <v>100</v>
      </c>
      <c r="AC77" s="191">
        <v>1330</v>
      </c>
      <c r="AD77" s="191">
        <v>480</v>
      </c>
      <c r="AE77" s="191">
        <v>1187</v>
      </c>
      <c r="AF77" s="191">
        <v>7881</v>
      </c>
      <c r="AG77" s="191">
        <v>7881</v>
      </c>
      <c r="AH77" s="191">
        <v>4767</v>
      </c>
      <c r="AL77" s="144" t="s">
        <v>283</v>
      </c>
    </row>
    <row r="78" spans="1:38">
      <c r="A78" s="155" t="s">
        <v>305</v>
      </c>
      <c r="B78" t="s">
        <v>1160</v>
      </c>
      <c r="C78" t="s">
        <v>1162</v>
      </c>
      <c r="D78" t="s">
        <v>1163</v>
      </c>
      <c r="E78" t="s">
        <v>207</v>
      </c>
      <c r="F78" t="s">
        <v>979</v>
      </c>
      <c r="G78">
        <v>38.72</v>
      </c>
      <c r="H78" s="189">
        <v>720.57856000000015</v>
      </c>
      <c r="I78" s="67">
        <v>656.02052000000003</v>
      </c>
      <c r="J78" s="67">
        <v>2218.30656</v>
      </c>
      <c r="K78" s="67">
        <v>2505</v>
      </c>
      <c r="L78" s="67">
        <v>3669.2449999999999</v>
      </c>
      <c r="M78" s="67">
        <v>3516.2460000000001</v>
      </c>
      <c r="N78" s="67">
        <v>545</v>
      </c>
      <c r="O78" s="67">
        <v>2218</v>
      </c>
      <c r="P78" s="67">
        <v>0</v>
      </c>
      <c r="Q78" s="67">
        <v>0</v>
      </c>
      <c r="R78" s="67">
        <v>0</v>
      </c>
      <c r="S78" s="190">
        <v>0</v>
      </c>
      <c r="T78" s="191"/>
      <c r="U78" s="193" t="s">
        <v>1559</v>
      </c>
      <c r="V78" s="191" t="s">
        <v>343</v>
      </c>
      <c r="W78" s="192">
        <v>2.38</v>
      </c>
      <c r="X78" s="191">
        <v>0</v>
      </c>
      <c r="Y78" s="191">
        <v>0</v>
      </c>
      <c r="Z78" s="191">
        <v>0</v>
      </c>
      <c r="AA78" s="191">
        <v>0</v>
      </c>
      <c r="AB78" s="191">
        <v>95</v>
      </c>
      <c r="AC78" s="191">
        <v>1258</v>
      </c>
      <c r="AD78" s="191">
        <v>366</v>
      </c>
      <c r="AE78" s="191">
        <v>1096</v>
      </c>
      <c r="AF78" s="191">
        <v>7390</v>
      </c>
      <c r="AG78" s="191">
        <v>7390</v>
      </c>
      <c r="AH78" s="191">
        <v>4795.0000000000009</v>
      </c>
      <c r="AL78" s="144" t="s">
        <v>284</v>
      </c>
    </row>
    <row r="79" spans="1:38">
      <c r="A79" s="155" t="s">
        <v>305</v>
      </c>
      <c r="B79" t="s">
        <v>1160</v>
      </c>
      <c r="C79" t="s">
        <v>1164</v>
      </c>
      <c r="D79" t="s">
        <v>347</v>
      </c>
      <c r="E79" t="s">
        <v>205</v>
      </c>
      <c r="F79" t="s">
        <v>1043</v>
      </c>
      <c r="G79">
        <v>38.72</v>
      </c>
      <c r="H79" s="189">
        <v>896.08507999999995</v>
      </c>
      <c r="I79" s="67">
        <v>457.85820000000001</v>
      </c>
      <c r="J79" s="67">
        <v>1794</v>
      </c>
      <c r="K79" s="67">
        <v>1428.8320799999999</v>
      </c>
      <c r="L79" s="67">
        <v>969</v>
      </c>
      <c r="M79" s="67">
        <v>0</v>
      </c>
      <c r="N79" s="67">
        <v>0</v>
      </c>
      <c r="O79" s="67">
        <v>0</v>
      </c>
      <c r="P79" s="67">
        <v>0</v>
      </c>
      <c r="Q79" s="67">
        <v>0</v>
      </c>
      <c r="R79" s="67">
        <v>0</v>
      </c>
      <c r="S79" s="190">
        <v>0</v>
      </c>
      <c r="T79" s="191"/>
      <c r="U79" s="191" t="s">
        <v>1509</v>
      </c>
      <c r="V79" s="191" t="s">
        <v>285</v>
      </c>
      <c r="W79" s="192"/>
      <c r="X79" s="191"/>
      <c r="Y79" s="191"/>
      <c r="Z79" s="191"/>
      <c r="AA79" s="191"/>
      <c r="AB79" s="191"/>
      <c r="AC79" s="191"/>
      <c r="AD79" s="191"/>
      <c r="AE79" s="191"/>
      <c r="AF79" s="191"/>
      <c r="AG79" s="191"/>
      <c r="AH79" s="191"/>
      <c r="AL79" s="144" t="s">
        <v>285</v>
      </c>
    </row>
    <row r="80" spans="1:38">
      <c r="A80" s="155" t="s">
        <v>305</v>
      </c>
      <c r="B80" t="s">
        <v>1160</v>
      </c>
      <c r="C80" t="s">
        <v>1165</v>
      </c>
      <c r="D80" t="s">
        <v>1163</v>
      </c>
      <c r="E80" t="s">
        <v>207</v>
      </c>
      <c r="F80" t="s">
        <v>979</v>
      </c>
      <c r="G80">
        <v>38.72</v>
      </c>
      <c r="H80" s="189">
        <v>121.03316</v>
      </c>
      <c r="I80" s="67">
        <v>5</v>
      </c>
      <c r="J80" s="67">
        <v>5</v>
      </c>
      <c r="K80" s="67">
        <v>5</v>
      </c>
      <c r="L80" s="67">
        <v>5</v>
      </c>
      <c r="M80" s="67">
        <v>113.15600000000001</v>
      </c>
      <c r="N80" s="67">
        <v>113.15600000000001</v>
      </c>
      <c r="O80" s="67">
        <v>5</v>
      </c>
      <c r="P80" s="67">
        <v>0</v>
      </c>
      <c r="Q80" s="67">
        <v>0</v>
      </c>
      <c r="R80" s="67">
        <v>0</v>
      </c>
      <c r="S80" s="190">
        <v>0</v>
      </c>
      <c r="T80" s="191"/>
      <c r="U80" s="193" t="s">
        <v>1483</v>
      </c>
      <c r="V80" s="191" t="s">
        <v>268</v>
      </c>
      <c r="W80" s="192">
        <v>2</v>
      </c>
      <c r="X80" s="191">
        <v>0</v>
      </c>
      <c r="Y80" s="191">
        <v>0</v>
      </c>
      <c r="Z80" s="191">
        <v>410</v>
      </c>
      <c r="AA80" s="191">
        <v>1575</v>
      </c>
      <c r="AB80" s="191">
        <v>6277</v>
      </c>
      <c r="AC80" s="191">
        <v>401</v>
      </c>
      <c r="AD80" s="191">
        <v>0</v>
      </c>
      <c r="AE80" s="191">
        <v>0</v>
      </c>
      <c r="AF80" s="191">
        <v>0</v>
      </c>
      <c r="AG80" s="191">
        <v>0</v>
      </c>
      <c r="AH80" s="191">
        <v>0</v>
      </c>
      <c r="AL80" s="144" t="s">
        <v>291</v>
      </c>
    </row>
    <row r="81" spans="1:38">
      <c r="A81" s="155"/>
      <c r="B81" s="99" t="s">
        <v>1171</v>
      </c>
      <c r="C81" t="s">
        <v>1172</v>
      </c>
      <c r="D81" t="s">
        <v>347</v>
      </c>
      <c r="E81" t="s">
        <v>205</v>
      </c>
      <c r="F81" t="s">
        <v>1045</v>
      </c>
      <c r="G81">
        <v>10</v>
      </c>
      <c r="H81" s="189">
        <v>7470.9739200000004</v>
      </c>
      <c r="I81" s="67">
        <v>0</v>
      </c>
      <c r="J81" s="67">
        <v>0</v>
      </c>
      <c r="K81" s="67">
        <v>0</v>
      </c>
      <c r="L81" s="67">
        <v>0</v>
      </c>
      <c r="M81" s="67">
        <v>250</v>
      </c>
      <c r="N81" s="67">
        <v>3506.0000399999999</v>
      </c>
      <c r="O81" s="67">
        <v>5634</v>
      </c>
      <c r="P81" s="67">
        <v>4899.7020400000001</v>
      </c>
      <c r="Q81" s="67">
        <v>0</v>
      </c>
      <c r="R81" s="67">
        <v>0</v>
      </c>
      <c r="S81" s="190">
        <v>0</v>
      </c>
      <c r="T81" s="191"/>
      <c r="U81" s="193" t="s">
        <v>1572</v>
      </c>
      <c r="V81" s="191" t="s">
        <v>363</v>
      </c>
      <c r="W81" s="192">
        <v>3</v>
      </c>
      <c r="X81" s="191">
        <v>0</v>
      </c>
      <c r="Y81" s="191">
        <v>0</v>
      </c>
      <c r="Z81" s="191">
        <v>0</v>
      </c>
      <c r="AA81" s="191">
        <v>136.5</v>
      </c>
      <c r="AB81" s="191">
        <v>525</v>
      </c>
      <c r="AC81" s="191">
        <v>4100</v>
      </c>
      <c r="AD81" s="191">
        <v>1754.645</v>
      </c>
      <c r="AE81" s="191">
        <v>0</v>
      </c>
      <c r="AF81" s="191">
        <v>0</v>
      </c>
      <c r="AG81" s="191">
        <v>0</v>
      </c>
      <c r="AH81" s="191">
        <v>0</v>
      </c>
      <c r="AL81" s="144" t="s">
        <v>293</v>
      </c>
    </row>
    <row r="82" spans="1:38">
      <c r="A82" s="155" t="s">
        <v>232</v>
      </c>
      <c r="B82" t="s">
        <v>1173</v>
      </c>
      <c r="C82" t="s">
        <v>1174</v>
      </c>
      <c r="D82" t="s">
        <v>232</v>
      </c>
      <c r="E82" t="s">
        <v>208</v>
      </c>
      <c r="F82" t="s">
        <v>976</v>
      </c>
      <c r="G82">
        <v>1.5</v>
      </c>
      <c r="H82" s="189">
        <v>93</v>
      </c>
      <c r="I82" s="67">
        <v>0</v>
      </c>
      <c r="J82" s="67">
        <v>405.54</v>
      </c>
      <c r="K82" s="67">
        <v>0</v>
      </c>
      <c r="L82" s="67">
        <v>0</v>
      </c>
      <c r="M82" s="67">
        <v>0</v>
      </c>
      <c r="N82" s="67">
        <v>0</v>
      </c>
      <c r="O82" s="67">
        <v>0</v>
      </c>
      <c r="P82" s="67">
        <v>0</v>
      </c>
      <c r="Q82" s="67">
        <v>0</v>
      </c>
      <c r="R82" s="67">
        <v>0</v>
      </c>
      <c r="S82" s="190">
        <v>0</v>
      </c>
      <c r="T82" s="191"/>
      <c r="U82" s="193" t="s">
        <v>1528</v>
      </c>
      <c r="V82" s="191" t="s">
        <v>301</v>
      </c>
      <c r="W82" s="192">
        <v>13</v>
      </c>
      <c r="X82" s="191">
        <v>0</v>
      </c>
      <c r="Y82" s="191">
        <v>0</v>
      </c>
      <c r="Z82" s="191">
        <v>0</v>
      </c>
      <c r="AA82" s="191">
        <v>0</v>
      </c>
      <c r="AB82" s="191">
        <v>0</v>
      </c>
      <c r="AC82" s="191">
        <v>109.14749999999999</v>
      </c>
      <c r="AD82" s="191">
        <v>1295.2909999999999</v>
      </c>
      <c r="AE82" s="191">
        <v>8601.7180000000008</v>
      </c>
      <c r="AF82" s="191">
        <v>8601.7180000000008</v>
      </c>
      <c r="AG82" s="191">
        <v>5255.2040000000006</v>
      </c>
      <c r="AH82" s="191">
        <v>1975.5700000000002</v>
      </c>
      <c r="AL82" s="144" t="s">
        <v>295</v>
      </c>
    </row>
    <row r="83" spans="1:38">
      <c r="A83" s="155" t="s">
        <v>232</v>
      </c>
      <c r="B83" t="s">
        <v>1173</v>
      </c>
      <c r="C83" t="s">
        <v>1175</v>
      </c>
      <c r="D83" t="s">
        <v>232</v>
      </c>
      <c r="E83" t="s">
        <v>208</v>
      </c>
      <c r="F83" t="s">
        <v>976</v>
      </c>
      <c r="G83">
        <v>1.5</v>
      </c>
      <c r="H83" s="189">
        <v>0</v>
      </c>
      <c r="I83" s="67">
        <v>0</v>
      </c>
      <c r="J83" s="67">
        <v>20</v>
      </c>
      <c r="K83" s="67">
        <v>1055.21</v>
      </c>
      <c r="L83" s="67">
        <v>0</v>
      </c>
      <c r="M83" s="67">
        <v>0</v>
      </c>
      <c r="N83" s="67">
        <v>0</v>
      </c>
      <c r="O83" s="67">
        <v>0</v>
      </c>
      <c r="P83" s="67">
        <v>0</v>
      </c>
      <c r="Q83" s="67">
        <v>0</v>
      </c>
      <c r="R83" s="67">
        <v>0</v>
      </c>
      <c r="S83" s="190">
        <v>0</v>
      </c>
      <c r="T83" s="191"/>
      <c r="U83" s="193" t="s">
        <v>1534</v>
      </c>
      <c r="V83" s="191" t="s">
        <v>312</v>
      </c>
      <c r="W83" s="192">
        <v>15</v>
      </c>
      <c r="X83" s="191">
        <v>0</v>
      </c>
      <c r="Y83" s="191">
        <v>0</v>
      </c>
      <c r="Z83" s="191">
        <v>0</v>
      </c>
      <c r="AA83" s="191">
        <v>0</v>
      </c>
      <c r="AB83" s="191">
        <v>110.25</v>
      </c>
      <c r="AC83" s="191">
        <v>1466.325</v>
      </c>
      <c r="AD83" s="191">
        <v>529.20000000000005</v>
      </c>
      <c r="AE83" s="191">
        <v>1308.375</v>
      </c>
      <c r="AF83" s="191">
        <v>8688.6039999999994</v>
      </c>
      <c r="AG83" s="191">
        <v>8688.6039999999994</v>
      </c>
      <c r="AH83" s="191">
        <v>5255.2040000000006</v>
      </c>
      <c r="AL83" s="144" t="s">
        <v>297</v>
      </c>
    </row>
    <row r="84" spans="1:38">
      <c r="A84" s="155" t="s">
        <v>232</v>
      </c>
      <c r="B84" t="s">
        <v>1173</v>
      </c>
      <c r="C84" t="s">
        <v>1176</v>
      </c>
      <c r="D84" t="s">
        <v>1177</v>
      </c>
      <c r="E84" t="s">
        <v>208</v>
      </c>
      <c r="F84" t="s">
        <v>976</v>
      </c>
      <c r="G84">
        <v>1.5</v>
      </c>
      <c r="H84" s="189">
        <v>0</v>
      </c>
      <c r="I84" s="67">
        <v>0</v>
      </c>
      <c r="J84" s="67">
        <v>20</v>
      </c>
      <c r="K84" s="67">
        <v>414</v>
      </c>
      <c r="L84" s="67">
        <v>0</v>
      </c>
      <c r="M84" s="67">
        <v>0</v>
      </c>
      <c r="N84" s="67">
        <v>0</v>
      </c>
      <c r="O84" s="67">
        <v>0</v>
      </c>
      <c r="P84" s="67">
        <v>0</v>
      </c>
      <c r="Q84" s="67">
        <v>0</v>
      </c>
      <c r="R84" s="67">
        <v>0</v>
      </c>
      <c r="S84" s="190">
        <v>0</v>
      </c>
      <c r="T84" s="191"/>
      <c r="U84" s="191" t="s">
        <v>1536</v>
      </c>
      <c r="V84" s="191" t="s">
        <v>351</v>
      </c>
      <c r="W84" s="192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L84" s="144" t="s">
        <v>287</v>
      </c>
    </row>
    <row r="85" spans="1:38">
      <c r="A85" s="155" t="s">
        <v>249</v>
      </c>
      <c r="B85" t="s">
        <v>1178</v>
      </c>
      <c r="C85" t="s">
        <v>1179</v>
      </c>
      <c r="D85" t="s">
        <v>249</v>
      </c>
      <c r="E85" t="s">
        <v>207</v>
      </c>
      <c r="F85" t="s">
        <v>976</v>
      </c>
      <c r="G85">
        <v>15</v>
      </c>
      <c r="H85" s="189">
        <v>0</v>
      </c>
      <c r="I85" s="67">
        <v>0</v>
      </c>
      <c r="J85" s="67">
        <v>0</v>
      </c>
      <c r="K85" s="67">
        <v>0</v>
      </c>
      <c r="L85" s="67">
        <v>0</v>
      </c>
      <c r="M85" s="67">
        <v>0</v>
      </c>
      <c r="N85" s="67">
        <v>0</v>
      </c>
      <c r="O85" s="67">
        <v>2000</v>
      </c>
      <c r="P85" s="67">
        <v>0</v>
      </c>
      <c r="Q85" s="67">
        <v>0</v>
      </c>
      <c r="R85" s="67">
        <v>0</v>
      </c>
      <c r="S85" s="190">
        <v>0</v>
      </c>
      <c r="T85" s="191"/>
      <c r="U85" s="191" t="s">
        <v>1549</v>
      </c>
      <c r="V85" s="191" t="s">
        <v>344</v>
      </c>
      <c r="W85" s="192"/>
      <c r="X85" s="191"/>
      <c r="Y85" s="191"/>
      <c r="Z85" s="191"/>
      <c r="AA85" s="191"/>
      <c r="AB85" s="191"/>
      <c r="AC85" s="191"/>
      <c r="AD85" s="191"/>
      <c r="AE85" s="191"/>
      <c r="AF85" s="191"/>
      <c r="AG85" s="191"/>
      <c r="AH85" s="191"/>
      <c r="AL85" s="144" t="s">
        <v>288</v>
      </c>
    </row>
    <row r="86" spans="1:38">
      <c r="A86" s="155" t="s">
        <v>320</v>
      </c>
      <c r="B86" t="s">
        <v>1180</v>
      </c>
      <c r="C86" t="s">
        <v>1181</v>
      </c>
      <c r="D86" t="s">
        <v>320</v>
      </c>
      <c r="E86" t="s">
        <v>207</v>
      </c>
      <c r="F86" t="s">
        <v>979</v>
      </c>
      <c r="G86">
        <v>12.5</v>
      </c>
      <c r="H86" s="189">
        <v>0</v>
      </c>
      <c r="I86" s="67">
        <v>0</v>
      </c>
      <c r="J86" s="67">
        <v>0</v>
      </c>
      <c r="K86" s="67">
        <v>0</v>
      </c>
      <c r="L86" s="67">
        <v>0</v>
      </c>
      <c r="M86" s="67">
        <v>0</v>
      </c>
      <c r="N86" s="67">
        <v>0</v>
      </c>
      <c r="O86" s="67">
        <v>1980</v>
      </c>
      <c r="P86" s="67">
        <v>0</v>
      </c>
      <c r="Q86" s="67">
        <v>0</v>
      </c>
      <c r="R86" s="67">
        <v>0</v>
      </c>
      <c r="S86" s="190">
        <v>0</v>
      </c>
      <c r="T86" s="191"/>
      <c r="U86" s="193" t="s">
        <v>1568</v>
      </c>
      <c r="V86" s="191" t="s">
        <v>356</v>
      </c>
      <c r="W86" s="192">
        <v>15</v>
      </c>
      <c r="X86" s="191">
        <v>0</v>
      </c>
      <c r="Y86" s="191">
        <v>0</v>
      </c>
      <c r="Z86" s="191">
        <v>0</v>
      </c>
      <c r="AA86" s="191">
        <v>0</v>
      </c>
      <c r="AB86" s="191">
        <v>110.25</v>
      </c>
      <c r="AC86" s="191">
        <v>1466.325</v>
      </c>
      <c r="AD86" s="191">
        <v>529.20000000000005</v>
      </c>
      <c r="AE86" s="191">
        <v>1479.2629999999999</v>
      </c>
      <c r="AF86" s="191">
        <v>10739.254000000001</v>
      </c>
      <c r="AG86" s="191">
        <v>10739.254000000001</v>
      </c>
      <c r="AH86" s="191">
        <v>6495.516999999998</v>
      </c>
      <c r="AL86" s="144" t="s">
        <v>289</v>
      </c>
    </row>
    <row r="87" spans="1:38">
      <c r="A87" s="155" t="s">
        <v>320</v>
      </c>
      <c r="B87" t="s">
        <v>1180</v>
      </c>
      <c r="C87" t="s">
        <v>1182</v>
      </c>
      <c r="D87" t="s">
        <v>320</v>
      </c>
      <c r="E87" t="s">
        <v>208</v>
      </c>
      <c r="F87" t="s">
        <v>979</v>
      </c>
      <c r="G87">
        <v>12.5</v>
      </c>
      <c r="H87" s="189">
        <v>0</v>
      </c>
      <c r="I87" s="67">
        <v>0</v>
      </c>
      <c r="J87" s="67">
        <v>0</v>
      </c>
      <c r="K87" s="67">
        <v>0</v>
      </c>
      <c r="L87" s="67">
        <v>0</v>
      </c>
      <c r="M87" s="67">
        <v>0</v>
      </c>
      <c r="N87" s="67">
        <v>0</v>
      </c>
      <c r="O87" s="67">
        <v>143</v>
      </c>
      <c r="P87" s="67">
        <v>551</v>
      </c>
      <c r="Q87" s="67">
        <v>1381</v>
      </c>
      <c r="R87" s="67">
        <v>0</v>
      </c>
      <c r="S87" s="190">
        <v>0</v>
      </c>
      <c r="T87" s="191"/>
      <c r="U87" s="191" t="s">
        <v>1488</v>
      </c>
      <c r="V87" s="191" t="s">
        <v>278</v>
      </c>
      <c r="W87" s="192"/>
      <c r="X87" s="191"/>
      <c r="Y87" s="191"/>
      <c r="Z87" s="191"/>
      <c r="AA87" s="191"/>
      <c r="AB87" s="191"/>
      <c r="AC87" s="191"/>
      <c r="AD87" s="191"/>
      <c r="AE87" s="191"/>
      <c r="AF87" s="191"/>
      <c r="AG87" s="191"/>
      <c r="AH87" s="191"/>
      <c r="AL87" s="144" t="s">
        <v>290</v>
      </c>
    </row>
    <row r="88" spans="1:38">
      <c r="A88" s="155" t="s">
        <v>322</v>
      </c>
      <c r="B88" t="s">
        <v>1184</v>
      </c>
      <c r="C88" t="s">
        <v>1185</v>
      </c>
      <c r="D88" t="s">
        <v>322</v>
      </c>
      <c r="E88" t="s">
        <v>207</v>
      </c>
      <c r="F88" t="s">
        <v>976</v>
      </c>
      <c r="G88">
        <v>12.5</v>
      </c>
      <c r="H88" s="189">
        <v>0</v>
      </c>
      <c r="I88" s="67">
        <v>0</v>
      </c>
      <c r="J88" s="67">
        <v>0</v>
      </c>
      <c r="K88" s="67">
        <v>0</v>
      </c>
      <c r="L88" s="67">
        <v>0</v>
      </c>
      <c r="M88" s="67">
        <v>0</v>
      </c>
      <c r="N88" s="67">
        <v>0</v>
      </c>
      <c r="O88" s="67">
        <v>1980</v>
      </c>
      <c r="P88" s="67">
        <v>0</v>
      </c>
      <c r="Q88" s="67">
        <v>0</v>
      </c>
      <c r="R88" s="67">
        <v>0</v>
      </c>
      <c r="S88" s="190">
        <v>0</v>
      </c>
      <c r="T88" s="191"/>
      <c r="U88" s="193" t="s">
        <v>1562</v>
      </c>
      <c r="V88" s="191" t="s">
        <v>352</v>
      </c>
      <c r="W88" s="192">
        <v>2</v>
      </c>
      <c r="X88" s="191">
        <v>0</v>
      </c>
      <c r="Y88" s="191">
        <v>0</v>
      </c>
      <c r="Z88" s="191">
        <v>135</v>
      </c>
      <c r="AA88" s="191">
        <v>487</v>
      </c>
      <c r="AB88" s="191">
        <v>520</v>
      </c>
      <c r="AC88" s="191">
        <v>500</v>
      </c>
      <c r="AD88" s="191">
        <v>7420</v>
      </c>
      <c r="AE88" s="191">
        <v>621</v>
      </c>
      <c r="AF88" s="191">
        <v>487</v>
      </c>
      <c r="AG88" s="191">
        <v>0</v>
      </c>
      <c r="AH88" s="191">
        <v>0</v>
      </c>
      <c r="AL88" s="144" t="s">
        <v>302</v>
      </c>
    </row>
    <row r="89" spans="1:38">
      <c r="A89" s="155" t="s">
        <v>322</v>
      </c>
      <c r="B89" t="s">
        <v>1184</v>
      </c>
      <c r="C89" t="s">
        <v>1186</v>
      </c>
      <c r="D89" t="s">
        <v>322</v>
      </c>
      <c r="E89" t="s">
        <v>208</v>
      </c>
      <c r="F89" t="s">
        <v>976</v>
      </c>
      <c r="G89">
        <v>12.5</v>
      </c>
      <c r="H89" s="189">
        <v>0</v>
      </c>
      <c r="I89" s="67">
        <v>0</v>
      </c>
      <c r="J89" s="67">
        <v>0</v>
      </c>
      <c r="K89" s="67">
        <v>0</v>
      </c>
      <c r="L89" s="67">
        <v>0</v>
      </c>
      <c r="M89" s="67">
        <v>0</v>
      </c>
      <c r="N89" s="67">
        <v>0</v>
      </c>
      <c r="O89" s="67">
        <v>202</v>
      </c>
      <c r="P89" s="67">
        <v>776</v>
      </c>
      <c r="Q89" s="67">
        <v>1943</v>
      </c>
      <c r="R89" s="67">
        <v>0</v>
      </c>
      <c r="S89" s="190">
        <v>0</v>
      </c>
      <c r="T89" s="191"/>
      <c r="U89" s="191" t="s">
        <v>1563</v>
      </c>
      <c r="V89" s="191" t="s">
        <v>352</v>
      </c>
      <c r="W89" s="192"/>
      <c r="X89" s="191"/>
      <c r="Y89" s="191"/>
      <c r="Z89" s="191"/>
      <c r="AA89" s="191"/>
      <c r="AB89" s="191"/>
      <c r="AC89" s="191"/>
      <c r="AD89" s="191"/>
      <c r="AE89" s="191"/>
      <c r="AF89" s="191"/>
      <c r="AG89" s="191"/>
      <c r="AH89" s="191"/>
      <c r="AL89" s="144" t="s">
        <v>304</v>
      </c>
    </row>
    <row r="90" spans="1:38">
      <c r="A90" s="155" t="s">
        <v>316</v>
      </c>
      <c r="B90" t="s">
        <v>1187</v>
      </c>
      <c r="C90" t="s">
        <v>1188</v>
      </c>
      <c r="D90" t="s">
        <v>316</v>
      </c>
      <c r="E90" t="s">
        <v>208</v>
      </c>
      <c r="F90" t="s">
        <v>979</v>
      </c>
      <c r="G90">
        <v>20</v>
      </c>
      <c r="H90" s="189">
        <v>0</v>
      </c>
      <c r="I90" s="67">
        <v>0</v>
      </c>
      <c r="J90" s="67">
        <v>0</v>
      </c>
      <c r="K90" s="67">
        <v>0</v>
      </c>
      <c r="L90" s="67">
        <v>149</v>
      </c>
      <c r="M90" s="67">
        <v>4224</v>
      </c>
      <c r="N90" s="67">
        <v>3963.96</v>
      </c>
      <c r="O90" s="67">
        <v>3875.85</v>
      </c>
      <c r="P90" s="67">
        <v>0</v>
      </c>
      <c r="Q90" s="67">
        <v>0</v>
      </c>
      <c r="R90" s="67">
        <v>0</v>
      </c>
      <c r="S90" s="190">
        <v>0</v>
      </c>
      <c r="T90" s="191"/>
      <c r="U90" s="191" t="s">
        <v>1519</v>
      </c>
      <c r="V90" s="191" t="s">
        <v>304</v>
      </c>
      <c r="W90" s="192"/>
      <c r="X90" s="191"/>
      <c r="Y90" s="191"/>
      <c r="Z90" s="191"/>
      <c r="AA90" s="191"/>
      <c r="AB90" s="191"/>
      <c r="AC90" s="191"/>
      <c r="AD90" s="191"/>
      <c r="AE90" s="191"/>
      <c r="AF90" s="191"/>
      <c r="AG90" s="191"/>
      <c r="AH90" s="191"/>
      <c r="AL90" s="144" t="s">
        <v>292</v>
      </c>
    </row>
    <row r="91" spans="1:38">
      <c r="A91" s="155" t="s">
        <v>316</v>
      </c>
      <c r="B91" t="s">
        <v>1187</v>
      </c>
      <c r="C91" t="s">
        <v>1190</v>
      </c>
      <c r="D91" t="s">
        <v>1189</v>
      </c>
      <c r="E91" t="s">
        <v>208</v>
      </c>
      <c r="F91" t="s">
        <v>979</v>
      </c>
      <c r="G91">
        <v>20</v>
      </c>
      <c r="H91" s="189">
        <v>0</v>
      </c>
      <c r="I91" s="67">
        <v>0</v>
      </c>
      <c r="J91" s="67">
        <v>0</v>
      </c>
      <c r="K91" s="67">
        <v>0</v>
      </c>
      <c r="L91" s="67">
        <v>0</v>
      </c>
      <c r="M91" s="67">
        <v>0</v>
      </c>
      <c r="N91" s="67">
        <v>0</v>
      </c>
      <c r="O91" s="67">
        <v>0</v>
      </c>
      <c r="P91" s="67">
        <v>192</v>
      </c>
      <c r="Q91" s="67">
        <v>739</v>
      </c>
      <c r="R91" s="67">
        <v>1111.9999999999998</v>
      </c>
      <c r="S91" s="190">
        <v>0</v>
      </c>
      <c r="T91" s="191"/>
      <c r="U91" s="193" t="s">
        <v>1472</v>
      </c>
      <c r="V91" s="191" t="s">
        <v>248</v>
      </c>
      <c r="W91" s="192">
        <v>17.600000000000001</v>
      </c>
      <c r="X91" s="191">
        <v>0</v>
      </c>
      <c r="Y91" s="191">
        <v>0</v>
      </c>
      <c r="Z91" s="191">
        <v>0</v>
      </c>
      <c r="AA91" s="191">
        <v>0</v>
      </c>
      <c r="AB91" s="191">
        <v>110.25</v>
      </c>
      <c r="AC91" s="191">
        <v>1466.325</v>
      </c>
      <c r="AD91" s="191">
        <v>529.20000000000005</v>
      </c>
      <c r="AE91" s="191">
        <v>1308.375</v>
      </c>
      <c r="AF91" s="191">
        <v>8688.6039999999994</v>
      </c>
      <c r="AG91" s="191">
        <v>8688.6039999999994</v>
      </c>
      <c r="AH91" s="191">
        <v>5255.2040000000006</v>
      </c>
      <c r="AL91" s="144" t="s">
        <v>307</v>
      </c>
    </row>
    <row r="92" spans="1:38">
      <c r="A92" s="155" t="s">
        <v>296</v>
      </c>
      <c r="B92" t="s">
        <v>1195</v>
      </c>
      <c r="C92" t="s">
        <v>1196</v>
      </c>
      <c r="D92" t="s">
        <v>296</v>
      </c>
      <c r="E92" t="s">
        <v>207</v>
      </c>
      <c r="F92" t="s">
        <v>979</v>
      </c>
      <c r="G92">
        <v>5.3</v>
      </c>
      <c r="H92" s="189">
        <v>0</v>
      </c>
      <c r="I92" s="67">
        <v>0</v>
      </c>
      <c r="J92" s="67">
        <v>0</v>
      </c>
      <c r="K92" s="67">
        <v>0</v>
      </c>
      <c r="L92" s="67">
        <v>122</v>
      </c>
      <c r="M92" s="67">
        <v>1617</v>
      </c>
      <c r="N92" s="67">
        <v>583</v>
      </c>
      <c r="O92" s="67">
        <v>1442</v>
      </c>
      <c r="P92" s="67">
        <v>9579</v>
      </c>
      <c r="Q92" s="67">
        <v>9579</v>
      </c>
      <c r="R92" s="67">
        <v>5794.0000000000018</v>
      </c>
      <c r="S92" s="190">
        <v>0</v>
      </c>
      <c r="T92" s="191"/>
      <c r="U92" s="193" t="s">
        <v>1471</v>
      </c>
      <c r="V92" s="191" t="s">
        <v>247</v>
      </c>
      <c r="W92" s="192">
        <v>17.600000000000001</v>
      </c>
      <c r="X92" s="191">
        <v>0</v>
      </c>
      <c r="Y92" s="191">
        <v>0</v>
      </c>
      <c r="Z92" s="191">
        <v>0</v>
      </c>
      <c r="AA92" s="191">
        <v>0</v>
      </c>
      <c r="AB92" s="191">
        <v>110.25</v>
      </c>
      <c r="AC92" s="191">
        <v>1466.325</v>
      </c>
      <c r="AD92" s="191">
        <v>529.20000000000005</v>
      </c>
      <c r="AE92" s="191">
        <v>1479.2629999999999</v>
      </c>
      <c r="AF92" s="191">
        <v>10739.254000000001</v>
      </c>
      <c r="AG92" s="191">
        <v>10739.254000000001</v>
      </c>
      <c r="AH92" s="191">
        <v>6495.516999999998</v>
      </c>
      <c r="AL92" s="144" t="s">
        <v>309</v>
      </c>
    </row>
    <row r="93" spans="1:38">
      <c r="A93" s="155" t="s">
        <v>360</v>
      </c>
      <c r="B93" t="s">
        <v>1198</v>
      </c>
      <c r="C93" t="s">
        <v>1199</v>
      </c>
      <c r="D93" t="s">
        <v>360</v>
      </c>
      <c r="E93" t="s">
        <v>208</v>
      </c>
      <c r="F93" t="s">
        <v>979</v>
      </c>
      <c r="G93">
        <v>4.0999999999999996</v>
      </c>
      <c r="H93" s="189">
        <v>0</v>
      </c>
      <c r="I93" s="67">
        <v>0</v>
      </c>
      <c r="J93" s="67">
        <v>0</v>
      </c>
      <c r="K93" s="67">
        <v>0</v>
      </c>
      <c r="L93" s="67">
        <v>20</v>
      </c>
      <c r="M93" s="67">
        <v>2000</v>
      </c>
      <c r="N93" s="67">
        <v>2000</v>
      </c>
      <c r="O93" s="67">
        <v>2000</v>
      </c>
      <c r="P93" s="67">
        <v>2000</v>
      </c>
      <c r="Q93" s="67">
        <v>2000</v>
      </c>
      <c r="R93" s="67">
        <v>0</v>
      </c>
      <c r="S93" s="190">
        <v>0</v>
      </c>
      <c r="T93" s="191"/>
      <c r="U93" s="191" t="s">
        <v>1474</v>
      </c>
      <c r="V93" s="191" t="s">
        <v>259</v>
      </c>
      <c r="W93" s="192"/>
      <c r="X93" s="191"/>
      <c r="Y93" s="191"/>
      <c r="Z93" s="191"/>
      <c r="AA93" s="191"/>
      <c r="AB93" s="191"/>
      <c r="AC93" s="191"/>
      <c r="AD93" s="191"/>
      <c r="AE93" s="191"/>
      <c r="AF93" s="191"/>
      <c r="AG93" s="191"/>
      <c r="AH93" s="191"/>
      <c r="AL93" s="144" t="s">
        <v>311</v>
      </c>
    </row>
    <row r="94" spans="1:38">
      <c r="A94" s="155" t="s">
        <v>308</v>
      </c>
      <c r="B94" t="s">
        <v>1200</v>
      </c>
      <c r="C94" t="s">
        <v>1201</v>
      </c>
      <c r="D94" t="s">
        <v>308</v>
      </c>
      <c r="E94" t="s">
        <v>208</v>
      </c>
      <c r="F94" t="s">
        <v>976</v>
      </c>
      <c r="G94">
        <v>5</v>
      </c>
      <c r="H94" s="189">
        <v>0</v>
      </c>
      <c r="I94" s="67">
        <v>0</v>
      </c>
      <c r="J94" s="67">
        <v>0</v>
      </c>
      <c r="K94" s="67">
        <v>0</v>
      </c>
      <c r="L94" s="67">
        <v>0</v>
      </c>
      <c r="M94" s="67">
        <v>0</v>
      </c>
      <c r="N94" s="67">
        <v>0</v>
      </c>
      <c r="O94" s="67">
        <v>0</v>
      </c>
      <c r="P94" s="67">
        <v>1485</v>
      </c>
      <c r="Q94" s="67">
        <v>1890.9</v>
      </c>
      <c r="R94" s="67">
        <v>1217.7</v>
      </c>
      <c r="S94" s="190">
        <v>0</v>
      </c>
      <c r="T94" s="191"/>
      <c r="U94" s="191" t="s">
        <v>1531</v>
      </c>
      <c r="V94" s="191" t="s">
        <v>325</v>
      </c>
      <c r="W94" s="192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L94" s="144" t="s">
        <v>294</v>
      </c>
    </row>
    <row r="95" spans="1:38">
      <c r="A95" s="155" t="s">
        <v>308</v>
      </c>
      <c r="B95" t="s">
        <v>1200</v>
      </c>
      <c r="C95" t="s">
        <v>1202</v>
      </c>
      <c r="D95" t="s">
        <v>308</v>
      </c>
      <c r="E95" t="s">
        <v>208</v>
      </c>
      <c r="F95" t="s">
        <v>976</v>
      </c>
      <c r="G95">
        <v>5</v>
      </c>
      <c r="H95" s="189">
        <v>0</v>
      </c>
      <c r="I95" s="67">
        <v>0</v>
      </c>
      <c r="J95" s="67">
        <v>0</v>
      </c>
      <c r="K95" s="67">
        <v>0</v>
      </c>
      <c r="L95" s="67">
        <v>0</v>
      </c>
      <c r="M95" s="67">
        <v>0</v>
      </c>
      <c r="N95" s="67">
        <v>0</v>
      </c>
      <c r="O95" s="67">
        <v>1500</v>
      </c>
      <c r="P95" s="67">
        <v>2640</v>
      </c>
      <c r="Q95" s="67">
        <v>500</v>
      </c>
      <c r="R95" s="67">
        <v>0</v>
      </c>
      <c r="S95" s="190">
        <v>0</v>
      </c>
      <c r="T95" s="191"/>
      <c r="U95" s="193" t="s">
        <v>1515</v>
      </c>
      <c r="V95" s="191" t="s">
        <v>287</v>
      </c>
      <c r="W95" s="192">
        <v>14</v>
      </c>
      <c r="X95" s="191">
        <v>0</v>
      </c>
      <c r="Y95" s="191">
        <v>0</v>
      </c>
      <c r="Z95" s="191">
        <v>0</v>
      </c>
      <c r="AA95" s="191">
        <v>0</v>
      </c>
      <c r="AB95" s="191">
        <v>0</v>
      </c>
      <c r="AC95" s="191">
        <v>1660</v>
      </c>
      <c r="AD95" s="191">
        <v>6381</v>
      </c>
      <c r="AE95" s="191">
        <v>9605</v>
      </c>
      <c r="AF95" s="191">
        <v>0</v>
      </c>
      <c r="AG95" s="191">
        <v>0</v>
      </c>
      <c r="AH95" s="191">
        <v>0</v>
      </c>
      <c r="AL95" s="144" t="s">
        <v>314</v>
      </c>
    </row>
    <row r="96" spans="1:38">
      <c r="A96" s="155" t="s">
        <v>336</v>
      </c>
      <c r="B96" t="s">
        <v>1218</v>
      </c>
      <c r="C96" t="s">
        <v>1219</v>
      </c>
      <c r="D96" t="s">
        <v>336</v>
      </c>
      <c r="E96" t="s">
        <v>208</v>
      </c>
      <c r="F96" t="s">
        <v>979</v>
      </c>
      <c r="G96">
        <v>25</v>
      </c>
      <c r="H96" s="189">
        <v>218.50031999999996</v>
      </c>
      <c r="I96" s="67">
        <v>107.09976</v>
      </c>
      <c r="J96" s="67">
        <v>99.960759999999993</v>
      </c>
      <c r="K96" s="67">
        <v>2437.8559599999999</v>
      </c>
      <c r="L96" s="67">
        <v>0</v>
      </c>
      <c r="M96" s="67">
        <v>0</v>
      </c>
      <c r="N96" s="67">
        <v>0</v>
      </c>
      <c r="O96" s="67">
        <v>0</v>
      </c>
      <c r="P96" s="67">
        <v>0</v>
      </c>
      <c r="Q96" s="67">
        <v>0</v>
      </c>
      <c r="R96" s="67">
        <v>0</v>
      </c>
      <c r="S96" s="190">
        <v>0</v>
      </c>
      <c r="T96" s="191"/>
      <c r="U96" s="193" t="s">
        <v>1507</v>
      </c>
      <c r="V96" s="191" t="s">
        <v>283</v>
      </c>
      <c r="W96" s="192">
        <v>15</v>
      </c>
      <c r="X96" s="191">
        <v>0</v>
      </c>
      <c r="Y96" s="191">
        <v>0</v>
      </c>
      <c r="Z96" s="191">
        <v>0</v>
      </c>
      <c r="AA96" s="191">
        <v>0</v>
      </c>
      <c r="AB96" s="191">
        <v>105</v>
      </c>
      <c r="AC96" s="191">
        <v>1396.5</v>
      </c>
      <c r="AD96" s="191">
        <v>504</v>
      </c>
      <c r="AE96" s="191">
        <v>4408.8220000000001</v>
      </c>
      <c r="AF96" s="191">
        <v>11227.861000000001</v>
      </c>
      <c r="AG96" s="191">
        <v>11227.861000000001</v>
      </c>
      <c r="AH96" s="191">
        <v>1186.2060000000001</v>
      </c>
      <c r="AL96" s="144" t="s">
        <v>296</v>
      </c>
    </row>
    <row r="97" spans="1:38">
      <c r="A97" s="155" t="s">
        <v>336</v>
      </c>
      <c r="B97" t="s">
        <v>1218</v>
      </c>
      <c r="C97" t="s">
        <v>1220</v>
      </c>
      <c r="D97" t="s">
        <v>336</v>
      </c>
      <c r="E97" t="s">
        <v>207</v>
      </c>
      <c r="F97" t="s">
        <v>979</v>
      </c>
      <c r="G97">
        <v>25</v>
      </c>
      <c r="H97" s="189">
        <v>1463.3817200000001</v>
      </c>
      <c r="I97" s="67">
        <v>1643.19</v>
      </c>
      <c r="J97" s="67">
        <v>4093.15175</v>
      </c>
      <c r="K97" s="67">
        <v>2144.4158000000002</v>
      </c>
      <c r="L97" s="67">
        <v>227.69488000000001</v>
      </c>
      <c r="M97" s="67">
        <v>0</v>
      </c>
      <c r="N97" s="67">
        <v>0</v>
      </c>
      <c r="O97" s="67">
        <v>0</v>
      </c>
      <c r="P97" s="67">
        <v>0</v>
      </c>
      <c r="Q97" s="67">
        <v>0</v>
      </c>
      <c r="R97" s="67">
        <v>0</v>
      </c>
      <c r="S97" s="190">
        <v>0</v>
      </c>
      <c r="T97" s="191"/>
      <c r="U97" s="193" t="s">
        <v>1571</v>
      </c>
      <c r="V97" s="191" t="s">
        <v>361</v>
      </c>
      <c r="W97" s="192">
        <v>3.44</v>
      </c>
      <c r="X97" s="191">
        <v>0</v>
      </c>
      <c r="Y97" s="191">
        <v>0</v>
      </c>
      <c r="Z97" s="191">
        <v>0</v>
      </c>
      <c r="AA97" s="191">
        <v>0</v>
      </c>
      <c r="AB97" s="191">
        <v>105</v>
      </c>
      <c r="AC97" s="191">
        <v>1396.5</v>
      </c>
      <c r="AD97" s="191">
        <v>504</v>
      </c>
      <c r="AE97" s="191">
        <v>1246.0719999999999</v>
      </c>
      <c r="AF97" s="191">
        <v>8274.8610000000008</v>
      </c>
      <c r="AG97" s="191">
        <v>8274.8610000000008</v>
      </c>
      <c r="AH97" s="191">
        <v>5004.9560000000001</v>
      </c>
      <c r="AL97" s="144" t="s">
        <v>316</v>
      </c>
    </row>
    <row r="98" spans="1:38">
      <c r="A98" s="155" t="s">
        <v>336</v>
      </c>
      <c r="B98" t="s">
        <v>1218</v>
      </c>
      <c r="C98" t="s">
        <v>1221</v>
      </c>
      <c r="D98" t="s">
        <v>336</v>
      </c>
      <c r="E98" t="s">
        <v>208</v>
      </c>
      <c r="F98" t="s">
        <v>979</v>
      </c>
      <c r="G98">
        <v>25</v>
      </c>
      <c r="H98" s="189">
        <v>347.22672</v>
      </c>
      <c r="I98" s="67">
        <v>225.32748000000001</v>
      </c>
      <c r="J98" s="67">
        <v>537.33932000000004</v>
      </c>
      <c r="K98" s="67">
        <v>2859</v>
      </c>
      <c r="L98" s="67">
        <v>199.79988</v>
      </c>
      <c r="M98" s="67">
        <v>0</v>
      </c>
      <c r="N98" s="67">
        <v>0</v>
      </c>
      <c r="O98" s="67">
        <v>0</v>
      </c>
      <c r="P98" s="67">
        <v>0</v>
      </c>
      <c r="Q98" s="67">
        <v>0</v>
      </c>
      <c r="R98" s="67">
        <v>0</v>
      </c>
      <c r="S98" s="190">
        <v>0</v>
      </c>
      <c r="T98" s="191"/>
      <c r="U98" s="191" t="s">
        <v>1524</v>
      </c>
      <c r="V98" s="191" t="s">
        <v>314</v>
      </c>
      <c r="W98" s="192"/>
      <c r="X98" s="191"/>
      <c r="Y98" s="191"/>
      <c r="Z98" s="191"/>
      <c r="AA98" s="191"/>
      <c r="AB98" s="191"/>
      <c r="AC98" s="191"/>
      <c r="AD98" s="191"/>
      <c r="AE98" s="191"/>
      <c r="AF98" s="191"/>
      <c r="AG98" s="191"/>
      <c r="AH98" s="191"/>
      <c r="AL98" s="144" t="s">
        <v>298</v>
      </c>
    </row>
    <row r="99" spans="1:38">
      <c r="A99" s="155" t="s">
        <v>255</v>
      </c>
      <c r="B99" t="s">
        <v>1222</v>
      </c>
      <c r="C99" t="s">
        <v>1223</v>
      </c>
      <c r="D99" t="s">
        <v>255</v>
      </c>
      <c r="E99" t="s">
        <v>208</v>
      </c>
      <c r="F99" t="s">
        <v>979</v>
      </c>
      <c r="G99">
        <v>9.4</v>
      </c>
      <c r="H99" s="189">
        <v>737.37907999999993</v>
      </c>
      <c r="I99" s="67">
        <v>1071.56313</v>
      </c>
      <c r="J99" s="67">
        <v>875.14034000000004</v>
      </c>
      <c r="K99" s="67">
        <v>505.81258000000008</v>
      </c>
      <c r="L99" s="67">
        <v>0</v>
      </c>
      <c r="M99" s="67">
        <v>0</v>
      </c>
      <c r="N99" s="67">
        <v>0</v>
      </c>
      <c r="O99" s="67">
        <v>0</v>
      </c>
      <c r="P99" s="67">
        <v>0</v>
      </c>
      <c r="Q99" s="67">
        <v>0</v>
      </c>
      <c r="R99" s="67">
        <v>0</v>
      </c>
      <c r="S99" s="190">
        <v>0</v>
      </c>
      <c r="T99" s="191"/>
      <c r="U99" s="193" t="s">
        <v>1530</v>
      </c>
      <c r="V99" s="191" t="s">
        <v>310</v>
      </c>
      <c r="W99" s="192">
        <v>12.5</v>
      </c>
      <c r="X99" s="191">
        <v>0</v>
      </c>
      <c r="Y99" s="191">
        <v>0</v>
      </c>
      <c r="Z99" s="191">
        <v>0</v>
      </c>
      <c r="AA99" s="191">
        <v>0</v>
      </c>
      <c r="AB99" s="191">
        <v>110.25</v>
      </c>
      <c r="AC99" s="191">
        <v>1466.325</v>
      </c>
      <c r="AD99" s="191">
        <v>529.20000000000005</v>
      </c>
      <c r="AE99" s="191">
        <v>1308.375</v>
      </c>
      <c r="AF99" s="191">
        <v>8688.6039999999994</v>
      </c>
      <c r="AG99" s="191">
        <v>8688.6039999999994</v>
      </c>
      <c r="AH99" s="191">
        <v>5255.2040000000006</v>
      </c>
      <c r="AL99" s="144" t="s">
        <v>300</v>
      </c>
    </row>
    <row r="100" spans="1:38">
      <c r="A100" s="155" t="s">
        <v>255</v>
      </c>
      <c r="B100" t="s">
        <v>1222</v>
      </c>
      <c r="C100" t="s">
        <v>1224</v>
      </c>
      <c r="D100" t="s">
        <v>1225</v>
      </c>
      <c r="E100" t="s">
        <v>207</v>
      </c>
      <c r="F100" t="s">
        <v>979</v>
      </c>
      <c r="G100">
        <v>9.4</v>
      </c>
      <c r="H100" s="189">
        <v>1183.2639200000001</v>
      </c>
      <c r="I100" s="67">
        <v>766.76334000000008</v>
      </c>
      <c r="J100" s="67">
        <v>1246.1692800000001</v>
      </c>
      <c r="K100" s="67">
        <v>526.53431999999998</v>
      </c>
      <c r="L100" s="67">
        <v>0</v>
      </c>
      <c r="M100" s="67">
        <v>0</v>
      </c>
      <c r="N100" s="67">
        <v>0</v>
      </c>
      <c r="O100" s="67">
        <v>0</v>
      </c>
      <c r="P100" s="67">
        <v>0</v>
      </c>
      <c r="Q100" s="67">
        <v>0</v>
      </c>
      <c r="R100" s="67">
        <v>0</v>
      </c>
      <c r="S100" s="190">
        <v>0</v>
      </c>
      <c r="T100" s="191"/>
      <c r="U100" s="191" t="s">
        <v>1567</v>
      </c>
      <c r="V100" s="191" t="s">
        <v>364</v>
      </c>
      <c r="W100" s="192"/>
      <c r="X100" s="191"/>
      <c r="Y100" s="191"/>
      <c r="Z100" s="191"/>
      <c r="AA100" s="191"/>
      <c r="AB100" s="191"/>
      <c r="AC100" s="191"/>
      <c r="AD100" s="191"/>
      <c r="AE100" s="191"/>
      <c r="AF100" s="191"/>
      <c r="AG100" s="191"/>
      <c r="AH100" s="191"/>
      <c r="AL100" s="144" t="s">
        <v>253</v>
      </c>
    </row>
    <row r="101" spans="1:38">
      <c r="A101" s="155" t="s">
        <v>267</v>
      </c>
      <c r="B101" t="s">
        <v>1226</v>
      </c>
      <c r="C101" t="s">
        <v>1227</v>
      </c>
      <c r="D101" t="s">
        <v>267</v>
      </c>
      <c r="E101" t="s">
        <v>208</v>
      </c>
      <c r="F101" t="s">
        <v>976</v>
      </c>
      <c r="G101">
        <v>7.2</v>
      </c>
      <c r="H101" s="189">
        <v>144.65820000000002</v>
      </c>
      <c r="I101" s="67">
        <v>411.38833</v>
      </c>
      <c r="J101" s="67">
        <v>369.28735999999998</v>
      </c>
      <c r="K101" s="67">
        <v>25.976279999999999</v>
      </c>
      <c r="L101" s="67">
        <v>12.41985</v>
      </c>
      <c r="M101" s="67">
        <v>0</v>
      </c>
      <c r="N101" s="67">
        <v>0</v>
      </c>
      <c r="O101" s="67">
        <v>0</v>
      </c>
      <c r="P101" s="67">
        <v>0</v>
      </c>
      <c r="Q101" s="67">
        <v>0</v>
      </c>
      <c r="R101" s="67">
        <v>0</v>
      </c>
      <c r="S101" s="190">
        <v>0</v>
      </c>
      <c r="T101" s="191"/>
      <c r="U101" s="193" t="s">
        <v>1538</v>
      </c>
      <c r="V101" s="191" t="s">
        <v>315</v>
      </c>
      <c r="W101" s="192">
        <v>14.5</v>
      </c>
      <c r="X101" s="191">
        <v>0</v>
      </c>
      <c r="Y101" s="191">
        <v>0</v>
      </c>
      <c r="Z101" s="191">
        <v>0</v>
      </c>
      <c r="AA101" s="191">
        <v>0</v>
      </c>
      <c r="AB101" s="191">
        <v>105</v>
      </c>
      <c r="AC101" s="191">
        <v>871.5</v>
      </c>
      <c r="AD101" s="191">
        <v>504</v>
      </c>
      <c r="AE101" s="191">
        <v>798.22</v>
      </c>
      <c r="AF101" s="191">
        <v>2900.6390000000001</v>
      </c>
      <c r="AG101" s="191">
        <v>2804.471</v>
      </c>
      <c r="AH101" s="191">
        <v>291.10399999999998</v>
      </c>
      <c r="AL101" s="144" t="s">
        <v>308</v>
      </c>
    </row>
    <row r="102" spans="1:38">
      <c r="A102" s="155" t="s">
        <v>267</v>
      </c>
      <c r="B102" t="s">
        <v>1226</v>
      </c>
      <c r="C102" t="s">
        <v>1228</v>
      </c>
      <c r="D102" t="s">
        <v>267</v>
      </c>
      <c r="E102" t="s">
        <v>208</v>
      </c>
      <c r="F102" t="s">
        <v>1168</v>
      </c>
      <c r="G102">
        <v>7.2</v>
      </c>
      <c r="H102" s="189">
        <v>241.57120000000003</v>
      </c>
      <c r="I102" s="67">
        <v>1433.3684599999999</v>
      </c>
      <c r="J102" s="67">
        <v>2321.09267</v>
      </c>
      <c r="K102" s="67">
        <v>2716.8456099999999</v>
      </c>
      <c r="L102" s="67">
        <v>1452.0935500000001</v>
      </c>
      <c r="M102" s="67">
        <v>189.37504999999999</v>
      </c>
      <c r="N102" s="67">
        <v>0</v>
      </c>
      <c r="O102" s="67">
        <v>0</v>
      </c>
      <c r="P102" s="67">
        <v>0</v>
      </c>
      <c r="Q102" s="67">
        <v>0</v>
      </c>
      <c r="R102" s="67">
        <v>0</v>
      </c>
      <c r="S102" s="190">
        <v>0</v>
      </c>
      <c r="T102" s="191"/>
      <c r="U102" s="193" t="s">
        <v>1558</v>
      </c>
      <c r="V102" s="191" t="s">
        <v>337</v>
      </c>
      <c r="W102" s="192">
        <v>7.5</v>
      </c>
      <c r="X102" s="191">
        <v>0</v>
      </c>
      <c r="Y102" s="191">
        <v>0</v>
      </c>
      <c r="Z102" s="191">
        <v>0</v>
      </c>
      <c r="AA102" s="191">
        <v>0</v>
      </c>
      <c r="AB102" s="191">
        <v>105</v>
      </c>
      <c r="AC102" s="191">
        <v>1396.5</v>
      </c>
      <c r="AD102" s="191">
        <v>504</v>
      </c>
      <c r="AE102" s="191">
        <v>1246.0719999999999</v>
      </c>
      <c r="AF102" s="191">
        <v>8274.8610000000008</v>
      </c>
      <c r="AG102" s="191">
        <v>8274.8610000000008</v>
      </c>
      <c r="AH102" s="191">
        <v>5004.9560000000001</v>
      </c>
      <c r="AL102" s="144" t="s">
        <v>301</v>
      </c>
    </row>
    <row r="103" spans="1:38">
      <c r="A103" s="155" t="s">
        <v>267</v>
      </c>
      <c r="B103" t="s">
        <v>1226</v>
      </c>
      <c r="C103" t="s">
        <v>1229</v>
      </c>
      <c r="D103" t="s">
        <v>1230</v>
      </c>
      <c r="E103" t="s">
        <v>208</v>
      </c>
      <c r="F103" t="s">
        <v>976</v>
      </c>
      <c r="G103">
        <v>7.2</v>
      </c>
      <c r="H103" s="189">
        <v>92.631839999999997</v>
      </c>
      <c r="I103" s="67">
        <v>492.76350000000002</v>
      </c>
      <c r="J103" s="67">
        <v>729.31403</v>
      </c>
      <c r="K103" s="67">
        <v>19.939920000000001</v>
      </c>
      <c r="L103" s="67">
        <v>0</v>
      </c>
      <c r="M103" s="67">
        <v>0</v>
      </c>
      <c r="N103" s="67">
        <v>0</v>
      </c>
      <c r="O103" s="67">
        <v>0</v>
      </c>
      <c r="P103" s="67">
        <v>0</v>
      </c>
      <c r="Q103" s="67">
        <v>0</v>
      </c>
      <c r="R103" s="67">
        <v>0</v>
      </c>
      <c r="S103" s="190">
        <v>0</v>
      </c>
      <c r="T103" s="191"/>
      <c r="U103" s="191" t="s">
        <v>1466</v>
      </c>
      <c r="V103" s="191" t="s">
        <v>237</v>
      </c>
      <c r="W103" s="192"/>
      <c r="X103" s="191"/>
      <c r="Y103" s="191"/>
      <c r="Z103" s="191"/>
      <c r="AA103" s="191"/>
      <c r="AB103" s="191"/>
      <c r="AC103" s="191"/>
      <c r="AD103" s="191"/>
      <c r="AE103" s="191"/>
      <c r="AF103" s="191"/>
      <c r="AG103" s="191"/>
      <c r="AH103" s="191"/>
      <c r="AL103" s="144" t="s">
        <v>320</v>
      </c>
    </row>
    <row r="104" spans="1:38">
      <c r="A104" s="155" t="s">
        <v>267</v>
      </c>
      <c r="B104" t="s">
        <v>1226</v>
      </c>
      <c r="C104" t="s">
        <v>1231</v>
      </c>
      <c r="D104" t="s">
        <v>1230</v>
      </c>
      <c r="E104" t="s">
        <v>207</v>
      </c>
      <c r="F104" t="s">
        <v>976</v>
      </c>
      <c r="G104">
        <v>7.2</v>
      </c>
      <c r="H104" s="189">
        <v>9873.140159999999</v>
      </c>
      <c r="I104" s="67">
        <v>6407.1243099999983</v>
      </c>
      <c r="J104" s="67">
        <v>2741.8984099999998</v>
      </c>
      <c r="K104" s="67">
        <v>120</v>
      </c>
      <c r="L104" s="67">
        <v>0</v>
      </c>
      <c r="M104" s="67">
        <v>0</v>
      </c>
      <c r="N104" s="67">
        <v>0</v>
      </c>
      <c r="O104" s="67">
        <v>0</v>
      </c>
      <c r="P104" s="67">
        <v>0</v>
      </c>
      <c r="Q104" s="67">
        <v>0</v>
      </c>
      <c r="R104" s="67">
        <v>0</v>
      </c>
      <c r="S104" s="190">
        <v>0</v>
      </c>
      <c r="T104" s="191"/>
      <c r="U104" s="193" t="s">
        <v>1478</v>
      </c>
      <c r="V104" s="191" t="s">
        <v>260</v>
      </c>
      <c r="W104" s="192">
        <v>9.5</v>
      </c>
      <c r="X104" s="191">
        <v>0</v>
      </c>
      <c r="Y104" s="191">
        <v>0</v>
      </c>
      <c r="Z104" s="191">
        <v>0</v>
      </c>
      <c r="AA104" s="191">
        <v>0</v>
      </c>
      <c r="AB104" s="191">
        <v>121.551</v>
      </c>
      <c r="AC104" s="191">
        <v>1616.623</v>
      </c>
      <c r="AD104" s="191">
        <v>583.44299999999998</v>
      </c>
      <c r="AE104" s="191">
        <v>1442.4839999999999</v>
      </c>
      <c r="AF104" s="191">
        <v>9579.1859999999997</v>
      </c>
      <c r="AG104" s="191">
        <v>9579.1859999999997</v>
      </c>
      <c r="AH104" s="191">
        <v>5793.8620000000001</v>
      </c>
      <c r="AL104" s="144" t="s">
        <v>303</v>
      </c>
    </row>
    <row r="105" spans="1:38">
      <c r="A105" s="155" t="s">
        <v>317</v>
      </c>
      <c r="B105" t="s">
        <v>1232</v>
      </c>
      <c r="C105" t="s">
        <v>1233</v>
      </c>
      <c r="D105" t="s">
        <v>317</v>
      </c>
      <c r="E105" t="s">
        <v>207</v>
      </c>
      <c r="F105" t="s">
        <v>979</v>
      </c>
      <c r="G105">
        <v>0.5</v>
      </c>
      <c r="H105" s="189">
        <v>109.75444</v>
      </c>
      <c r="I105" s="67">
        <v>179.92389</v>
      </c>
      <c r="J105" s="67">
        <v>0</v>
      </c>
      <c r="K105" s="67">
        <v>0</v>
      </c>
      <c r="L105" s="67">
        <v>0</v>
      </c>
      <c r="M105" s="67">
        <v>0</v>
      </c>
      <c r="N105" s="67">
        <v>0</v>
      </c>
      <c r="O105" s="67">
        <v>0</v>
      </c>
      <c r="P105" s="67">
        <v>0</v>
      </c>
      <c r="Q105" s="67">
        <v>0</v>
      </c>
      <c r="R105" s="67">
        <v>0</v>
      </c>
      <c r="S105" s="190">
        <v>0</v>
      </c>
      <c r="T105" s="191"/>
      <c r="U105" s="191" t="s">
        <v>1511</v>
      </c>
      <c r="V105" s="191" t="s">
        <v>291</v>
      </c>
      <c r="W105" s="192"/>
      <c r="X105" s="191"/>
      <c r="Y105" s="191"/>
      <c r="Z105" s="191"/>
      <c r="AA105" s="191"/>
      <c r="AB105" s="191"/>
      <c r="AC105" s="191"/>
      <c r="AD105" s="191"/>
      <c r="AE105" s="191"/>
      <c r="AF105" s="191"/>
      <c r="AG105" s="191"/>
      <c r="AH105" s="191"/>
      <c r="AL105" s="144" t="s">
        <v>322</v>
      </c>
    </row>
    <row r="106" spans="1:38">
      <c r="A106" s="155" t="s">
        <v>263</v>
      </c>
      <c r="B106" t="s">
        <v>1234</v>
      </c>
      <c r="C106" t="s">
        <v>1235</v>
      </c>
      <c r="D106" t="s">
        <v>263</v>
      </c>
      <c r="E106" t="s">
        <v>208</v>
      </c>
      <c r="F106" t="s">
        <v>976</v>
      </c>
      <c r="G106">
        <v>80</v>
      </c>
      <c r="H106" s="189">
        <v>55.995320000000007</v>
      </c>
      <c r="I106" s="67">
        <v>0</v>
      </c>
      <c r="J106" s="67">
        <v>42.953629999999997</v>
      </c>
      <c r="K106" s="67">
        <v>103.64569</v>
      </c>
      <c r="L106" s="67">
        <v>2560.4735099999998</v>
      </c>
      <c r="M106" s="67">
        <v>8950.7709400000003</v>
      </c>
      <c r="N106" s="67">
        <v>2389.65236</v>
      </c>
      <c r="O106" s="67">
        <v>3</v>
      </c>
      <c r="P106" s="67">
        <v>0</v>
      </c>
      <c r="Q106" s="67">
        <v>0</v>
      </c>
      <c r="R106" s="67">
        <v>0</v>
      </c>
      <c r="S106" s="190">
        <v>0</v>
      </c>
      <c r="T106" s="191"/>
      <c r="U106" s="191" t="s">
        <v>1532</v>
      </c>
      <c r="V106" s="191" t="s">
        <v>348</v>
      </c>
      <c r="W106" s="192"/>
      <c r="X106" s="191"/>
      <c r="Y106" s="191"/>
      <c r="Z106" s="191"/>
      <c r="AA106" s="191"/>
      <c r="AB106" s="191"/>
      <c r="AC106" s="191"/>
      <c r="AD106" s="191"/>
      <c r="AE106" s="191"/>
      <c r="AF106" s="191"/>
      <c r="AG106" s="191"/>
      <c r="AH106" s="191"/>
      <c r="AL106" s="144" t="s">
        <v>299</v>
      </c>
    </row>
    <row r="107" spans="1:38">
      <c r="A107" s="155" t="s">
        <v>263</v>
      </c>
      <c r="B107" t="s">
        <v>1234</v>
      </c>
      <c r="C107" t="s">
        <v>1236</v>
      </c>
      <c r="D107" t="s">
        <v>263</v>
      </c>
      <c r="E107" t="s">
        <v>207</v>
      </c>
      <c r="F107" t="s">
        <v>976</v>
      </c>
      <c r="G107">
        <v>80</v>
      </c>
      <c r="H107" s="189">
        <v>0</v>
      </c>
      <c r="I107" s="67">
        <v>0</v>
      </c>
      <c r="J107" s="67">
        <v>910.20887000000005</v>
      </c>
      <c r="K107" s="67">
        <v>920.20887000000005</v>
      </c>
      <c r="L107" s="67">
        <v>1319.46514</v>
      </c>
      <c r="M107" s="67">
        <v>0</v>
      </c>
      <c r="N107" s="67">
        <v>0</v>
      </c>
      <c r="O107" s="67">
        <v>0</v>
      </c>
      <c r="P107" s="67">
        <v>0</v>
      </c>
      <c r="Q107" s="67">
        <v>0</v>
      </c>
      <c r="R107" s="67">
        <v>0</v>
      </c>
      <c r="S107" s="190">
        <v>0</v>
      </c>
      <c r="T107" s="191"/>
      <c r="U107" s="191" t="s">
        <v>1513</v>
      </c>
      <c r="V107" s="191" t="s">
        <v>323</v>
      </c>
      <c r="W107" s="192"/>
      <c r="X107" s="191"/>
      <c r="Y107" s="191"/>
      <c r="Z107" s="191"/>
      <c r="AA107" s="191"/>
      <c r="AB107" s="191"/>
      <c r="AC107" s="191"/>
      <c r="AD107" s="191"/>
      <c r="AE107" s="191"/>
      <c r="AF107" s="191"/>
      <c r="AG107" s="191"/>
      <c r="AH107" s="191"/>
      <c r="AL107" s="144" t="s">
        <v>305</v>
      </c>
    </row>
    <row r="108" spans="1:38">
      <c r="A108" s="155" t="s">
        <v>263</v>
      </c>
      <c r="B108" t="s">
        <v>1234</v>
      </c>
      <c r="C108" t="s">
        <v>1237</v>
      </c>
      <c r="D108" t="s">
        <v>263</v>
      </c>
      <c r="E108" t="s">
        <v>207</v>
      </c>
      <c r="F108" t="s">
        <v>976</v>
      </c>
      <c r="G108">
        <v>80</v>
      </c>
      <c r="H108" s="189">
        <v>2960.5587599999999</v>
      </c>
      <c r="I108" s="67">
        <v>1024.1930400000001</v>
      </c>
      <c r="J108" s="67">
        <v>1839.7106699999999</v>
      </c>
      <c r="K108" s="67">
        <v>2902.0350100000001</v>
      </c>
      <c r="L108" s="67">
        <v>16834.70348</v>
      </c>
      <c r="M108" s="67">
        <v>6477.2666099999997</v>
      </c>
      <c r="N108" s="67">
        <v>0</v>
      </c>
      <c r="O108" s="67">
        <v>0</v>
      </c>
      <c r="P108" s="67">
        <v>0</v>
      </c>
      <c r="Q108" s="67">
        <v>0</v>
      </c>
      <c r="R108" s="67">
        <v>0</v>
      </c>
      <c r="S108" s="190">
        <v>0</v>
      </c>
      <c r="T108" s="191"/>
      <c r="U108" s="193" t="s">
        <v>1550</v>
      </c>
      <c r="V108" s="191" t="s">
        <v>326</v>
      </c>
      <c r="W108" s="192">
        <v>4.8</v>
      </c>
      <c r="X108" s="191">
        <v>233.89500000000001</v>
      </c>
      <c r="Y108" s="191">
        <v>293.64998000000003</v>
      </c>
      <c r="Z108" s="191">
        <v>149.18751</v>
      </c>
      <c r="AA108" s="191">
        <v>0</v>
      </c>
      <c r="AB108" s="191">
        <v>0</v>
      </c>
      <c r="AC108" s="191">
        <v>0</v>
      </c>
      <c r="AD108" s="191">
        <v>0</v>
      </c>
      <c r="AE108" s="191">
        <v>0</v>
      </c>
      <c r="AF108" s="191">
        <v>0</v>
      </c>
      <c r="AG108" s="191">
        <v>0</v>
      </c>
      <c r="AH108" s="191">
        <v>0</v>
      </c>
      <c r="AL108" s="144" t="s">
        <v>310</v>
      </c>
    </row>
    <row r="109" spans="1:38">
      <c r="A109" s="155" t="s">
        <v>234</v>
      </c>
      <c r="B109" t="s">
        <v>1238</v>
      </c>
      <c r="C109" t="s">
        <v>1239</v>
      </c>
      <c r="D109" t="s">
        <v>234</v>
      </c>
      <c r="E109" t="s">
        <v>208</v>
      </c>
      <c r="F109" t="s">
        <v>979</v>
      </c>
      <c r="G109">
        <v>4</v>
      </c>
      <c r="H109" s="189">
        <v>0</v>
      </c>
      <c r="I109" s="67">
        <v>0</v>
      </c>
      <c r="J109" s="67">
        <v>0</v>
      </c>
      <c r="K109" s="67">
        <v>184</v>
      </c>
      <c r="L109" s="67">
        <v>735</v>
      </c>
      <c r="M109" s="67">
        <v>735</v>
      </c>
      <c r="N109" s="67">
        <v>734.69388000000004</v>
      </c>
      <c r="O109" s="67">
        <v>0</v>
      </c>
      <c r="P109" s="67">
        <v>0</v>
      </c>
      <c r="Q109" s="67">
        <v>612.245</v>
      </c>
      <c r="R109" s="67">
        <v>0</v>
      </c>
      <c r="S109" s="190">
        <v>0</v>
      </c>
      <c r="T109" s="191"/>
      <c r="U109" s="193" t="s">
        <v>1551</v>
      </c>
      <c r="V109" s="191" t="s">
        <v>328</v>
      </c>
      <c r="W109" s="192">
        <v>29.5</v>
      </c>
      <c r="X109" s="191">
        <v>0</v>
      </c>
      <c r="Y109" s="191">
        <v>0</v>
      </c>
      <c r="Z109" s="191">
        <v>50</v>
      </c>
      <c r="AA109" s="191">
        <v>471.64</v>
      </c>
      <c r="AB109" s="191">
        <v>0</v>
      </c>
      <c r="AC109" s="191">
        <v>0</v>
      </c>
      <c r="AD109" s="191">
        <v>0</v>
      </c>
      <c r="AE109" s="191">
        <v>0</v>
      </c>
      <c r="AF109" s="191">
        <v>0</v>
      </c>
      <c r="AG109" s="191">
        <v>0</v>
      </c>
      <c r="AH109" s="191">
        <v>0</v>
      </c>
      <c r="AL109" s="144" t="s">
        <v>325</v>
      </c>
    </row>
    <row r="110" spans="1:38">
      <c r="A110" s="155" t="s">
        <v>234</v>
      </c>
      <c r="B110" t="s">
        <v>1238</v>
      </c>
      <c r="C110" t="s">
        <v>1240</v>
      </c>
      <c r="D110" t="s">
        <v>234</v>
      </c>
      <c r="E110" t="s">
        <v>207</v>
      </c>
      <c r="F110" t="s">
        <v>979</v>
      </c>
      <c r="G110">
        <v>4</v>
      </c>
      <c r="H110" s="189">
        <v>0</v>
      </c>
      <c r="I110" s="67">
        <v>0</v>
      </c>
      <c r="J110" s="67">
        <v>0</v>
      </c>
      <c r="K110" s="67">
        <v>191</v>
      </c>
      <c r="L110" s="67">
        <v>766</v>
      </c>
      <c r="M110" s="67">
        <v>766</v>
      </c>
      <c r="N110" s="67">
        <v>765.8</v>
      </c>
      <c r="O110" s="67">
        <v>0</v>
      </c>
      <c r="P110" s="67">
        <v>0</v>
      </c>
      <c r="Q110" s="67">
        <v>765.8</v>
      </c>
      <c r="R110" s="67">
        <v>574.35</v>
      </c>
      <c r="S110" s="190">
        <v>0</v>
      </c>
      <c r="T110" s="191"/>
      <c r="U110" s="193" t="s">
        <v>1506</v>
      </c>
      <c r="V110" s="191" t="s">
        <v>282</v>
      </c>
      <c r="W110" s="192">
        <v>10</v>
      </c>
      <c r="X110" s="191">
        <v>0</v>
      </c>
      <c r="Y110" s="191">
        <v>0</v>
      </c>
      <c r="Z110" s="191">
        <v>0</v>
      </c>
      <c r="AA110" s="191">
        <v>136.5</v>
      </c>
      <c r="AB110" s="191">
        <v>525</v>
      </c>
      <c r="AC110" s="191">
        <v>2382.6080000000002</v>
      </c>
      <c r="AD110" s="191">
        <v>2378.8609999999999</v>
      </c>
      <c r="AE110" s="191">
        <v>0</v>
      </c>
      <c r="AF110" s="191">
        <v>0</v>
      </c>
      <c r="AG110" s="191">
        <v>0</v>
      </c>
      <c r="AH110" s="191">
        <v>0</v>
      </c>
      <c r="AL110" s="144" t="s">
        <v>327</v>
      </c>
    </row>
    <row r="111" spans="1:38">
      <c r="A111" s="155" t="s">
        <v>253</v>
      </c>
      <c r="B111" t="s">
        <v>1241</v>
      </c>
      <c r="C111" t="s">
        <v>1242</v>
      </c>
      <c r="D111" t="s">
        <v>253</v>
      </c>
      <c r="E111" t="s">
        <v>207</v>
      </c>
      <c r="F111" t="s">
        <v>979</v>
      </c>
      <c r="G111">
        <v>13.5</v>
      </c>
      <c r="H111" s="189">
        <v>0</v>
      </c>
      <c r="I111" s="67">
        <v>0</v>
      </c>
      <c r="J111" s="67">
        <v>0</v>
      </c>
      <c r="K111" s="67">
        <v>0</v>
      </c>
      <c r="L111" s="67">
        <v>0</v>
      </c>
      <c r="M111" s="67">
        <v>670.96924999999999</v>
      </c>
      <c r="N111" s="67">
        <v>670.96924999999999</v>
      </c>
      <c r="O111" s="67">
        <v>670.96924999999999</v>
      </c>
      <c r="P111" s="67">
        <v>0</v>
      </c>
      <c r="Q111" s="67">
        <v>0</v>
      </c>
      <c r="R111" s="67">
        <v>0</v>
      </c>
      <c r="S111" s="190">
        <v>0</v>
      </c>
      <c r="T111" s="191"/>
      <c r="U111" s="191" t="s">
        <v>1194</v>
      </c>
      <c r="V111" s="191" t="s">
        <v>293</v>
      </c>
      <c r="W111" s="192"/>
      <c r="X111" s="191"/>
      <c r="Y111" s="191"/>
      <c r="Z111" s="191"/>
      <c r="AA111" s="191"/>
      <c r="AB111" s="191"/>
      <c r="AC111" s="191"/>
      <c r="AD111" s="191"/>
      <c r="AE111" s="191"/>
      <c r="AF111" s="191"/>
      <c r="AG111" s="191"/>
      <c r="AH111" s="191"/>
      <c r="AL111" s="144" t="s">
        <v>329</v>
      </c>
    </row>
    <row r="112" spans="1:38">
      <c r="A112" s="155" t="s">
        <v>253</v>
      </c>
      <c r="B112" t="s">
        <v>1241</v>
      </c>
      <c r="C112" t="s">
        <v>1243</v>
      </c>
      <c r="D112" t="s">
        <v>253</v>
      </c>
      <c r="E112" t="s">
        <v>208</v>
      </c>
      <c r="F112" t="s">
        <v>979</v>
      </c>
      <c r="G112">
        <v>13.5</v>
      </c>
      <c r="H112" s="189">
        <v>0</v>
      </c>
      <c r="I112" s="67">
        <v>0</v>
      </c>
      <c r="J112" s="67">
        <v>0</v>
      </c>
      <c r="K112" s="67">
        <v>0</v>
      </c>
      <c r="L112" s="67">
        <v>68.466279999999998</v>
      </c>
      <c r="M112" s="67">
        <v>169.79632000000001</v>
      </c>
      <c r="N112" s="67">
        <v>271.12633</v>
      </c>
      <c r="O112" s="67">
        <v>997.52747999999997</v>
      </c>
      <c r="P112" s="67">
        <v>1805.8840399999999</v>
      </c>
      <c r="Q112" s="67">
        <v>106.04765</v>
      </c>
      <c r="R112" s="67">
        <v>0</v>
      </c>
      <c r="S112" s="190">
        <v>0</v>
      </c>
      <c r="T112" s="191"/>
      <c r="U112" s="193" t="s">
        <v>1195</v>
      </c>
      <c r="V112" s="191" t="s">
        <v>296</v>
      </c>
      <c r="W112" s="192">
        <v>5.3</v>
      </c>
      <c r="X112" s="191">
        <v>0</v>
      </c>
      <c r="Y112" s="191">
        <v>0</v>
      </c>
      <c r="Z112" s="191">
        <v>0</v>
      </c>
      <c r="AA112" s="191">
        <v>0</v>
      </c>
      <c r="AB112" s="191">
        <v>122</v>
      </c>
      <c r="AC112" s="191">
        <v>1617</v>
      </c>
      <c r="AD112" s="191">
        <v>583</v>
      </c>
      <c r="AE112" s="191">
        <v>1442</v>
      </c>
      <c r="AF112" s="191">
        <v>9579</v>
      </c>
      <c r="AG112" s="191">
        <v>9579</v>
      </c>
      <c r="AH112" s="191">
        <v>5794.0000000000018</v>
      </c>
      <c r="AL112" s="144" t="s">
        <v>312</v>
      </c>
    </row>
    <row r="113" spans="1:38">
      <c r="A113" s="155" t="s">
        <v>253</v>
      </c>
      <c r="B113" t="s">
        <v>1241</v>
      </c>
      <c r="C113" t="s">
        <v>1244</v>
      </c>
      <c r="D113" t="s">
        <v>253</v>
      </c>
      <c r="E113" t="s">
        <v>207</v>
      </c>
      <c r="F113" t="s">
        <v>979</v>
      </c>
      <c r="G113">
        <v>13.5</v>
      </c>
      <c r="H113" s="189">
        <v>0</v>
      </c>
      <c r="I113" s="67">
        <v>0</v>
      </c>
      <c r="J113" s="67">
        <v>0</v>
      </c>
      <c r="K113" s="67">
        <v>0</v>
      </c>
      <c r="L113" s="67">
        <v>423.64411999999999</v>
      </c>
      <c r="M113" s="67">
        <v>1281.93238</v>
      </c>
      <c r="N113" s="67">
        <v>1062.19372</v>
      </c>
      <c r="O113" s="67">
        <v>3569.3137999999999</v>
      </c>
      <c r="P113" s="67">
        <v>7436.9210300000004</v>
      </c>
      <c r="Q113" s="67">
        <v>251.07849999999999</v>
      </c>
      <c r="R113" s="67">
        <v>0</v>
      </c>
      <c r="S113" s="190">
        <v>0</v>
      </c>
      <c r="T113" s="191"/>
      <c r="U113" s="191" t="s">
        <v>1197</v>
      </c>
      <c r="V113" s="191" t="s">
        <v>359</v>
      </c>
      <c r="W113" s="192"/>
      <c r="X113" s="191"/>
      <c r="Y113" s="191"/>
      <c r="Z113" s="191"/>
      <c r="AA113" s="191"/>
      <c r="AB113" s="191"/>
      <c r="AC113" s="191"/>
      <c r="AD113" s="191"/>
      <c r="AE113" s="191"/>
      <c r="AF113" s="191"/>
      <c r="AG113" s="191"/>
      <c r="AH113" s="191"/>
      <c r="AL113" s="144" t="s">
        <v>332</v>
      </c>
    </row>
    <row r="114" spans="1:38">
      <c r="A114" s="155" t="s">
        <v>253</v>
      </c>
      <c r="B114" t="s">
        <v>1241</v>
      </c>
      <c r="C114" t="s">
        <v>1245</v>
      </c>
      <c r="D114" t="s">
        <v>253</v>
      </c>
      <c r="E114" t="s">
        <v>208</v>
      </c>
      <c r="F114" t="s">
        <v>979</v>
      </c>
      <c r="G114">
        <v>13.5</v>
      </c>
      <c r="H114" s="189">
        <v>0</v>
      </c>
      <c r="I114" s="67">
        <v>0</v>
      </c>
      <c r="J114" s="67">
        <v>0</v>
      </c>
      <c r="K114" s="67">
        <v>0</v>
      </c>
      <c r="L114" s="67">
        <v>7.0879599999999998</v>
      </c>
      <c r="M114" s="67">
        <v>17.026520000000001</v>
      </c>
      <c r="N114" s="67">
        <v>49.192799999999998</v>
      </c>
      <c r="O114" s="67">
        <v>147.09528</v>
      </c>
      <c r="P114" s="67">
        <v>24.497209999999999</v>
      </c>
      <c r="Q114" s="67">
        <v>0</v>
      </c>
      <c r="R114" s="67">
        <v>0</v>
      </c>
      <c r="S114" s="190">
        <v>0</v>
      </c>
      <c r="T114" s="191"/>
      <c r="U114" s="193" t="s">
        <v>1198</v>
      </c>
      <c r="V114" s="191" t="s">
        <v>360</v>
      </c>
      <c r="W114" s="192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  <c r="AH114" s="191"/>
      <c r="AL114" s="144" t="s">
        <v>313</v>
      </c>
    </row>
    <row r="115" spans="1:38">
      <c r="A115" s="155" t="s">
        <v>284</v>
      </c>
      <c r="B115" t="s">
        <v>1246</v>
      </c>
      <c r="C115" t="s">
        <v>1247</v>
      </c>
      <c r="D115" t="s">
        <v>284</v>
      </c>
      <c r="E115" t="s">
        <v>208</v>
      </c>
      <c r="F115" t="s">
        <v>979</v>
      </c>
      <c r="G115">
        <v>32.9</v>
      </c>
      <c r="H115" s="189">
        <v>0</v>
      </c>
      <c r="I115" s="67">
        <v>0</v>
      </c>
      <c r="J115" s="67">
        <v>0</v>
      </c>
      <c r="K115" s="67">
        <v>128</v>
      </c>
      <c r="L115" s="67">
        <v>1059</v>
      </c>
      <c r="M115" s="67">
        <v>1583</v>
      </c>
      <c r="N115" s="67">
        <v>2834</v>
      </c>
      <c r="O115" s="67">
        <v>3971</v>
      </c>
      <c r="P115" s="67">
        <v>100</v>
      </c>
      <c r="Q115" s="67">
        <v>0</v>
      </c>
      <c r="R115" s="67">
        <v>0</v>
      </c>
      <c r="S115" s="190">
        <v>0</v>
      </c>
      <c r="T115" s="191"/>
      <c r="U115" s="193" t="s">
        <v>1486</v>
      </c>
      <c r="V115" s="191" t="s">
        <v>270</v>
      </c>
      <c r="W115" s="192">
        <v>5</v>
      </c>
      <c r="X115" s="191">
        <v>0</v>
      </c>
      <c r="Y115" s="191">
        <v>0</v>
      </c>
      <c r="Z115" s="191">
        <v>0</v>
      </c>
      <c r="AA115" s="191">
        <v>0</v>
      </c>
      <c r="AB115" s="191">
        <v>0</v>
      </c>
      <c r="AC115" s="191">
        <v>0</v>
      </c>
      <c r="AD115" s="191">
        <v>0</v>
      </c>
      <c r="AE115" s="191">
        <v>425.7</v>
      </c>
      <c r="AF115" s="191">
        <v>1633.5</v>
      </c>
      <c r="AG115" s="191">
        <v>1900.8</v>
      </c>
      <c r="AH115" s="191">
        <v>0</v>
      </c>
      <c r="AL115" s="144" t="s">
        <v>315</v>
      </c>
    </row>
    <row r="116" spans="1:38">
      <c r="A116" s="155" t="s">
        <v>284</v>
      </c>
      <c r="B116" t="s">
        <v>1246</v>
      </c>
      <c r="C116" t="s">
        <v>1248</v>
      </c>
      <c r="D116" t="s">
        <v>1249</v>
      </c>
      <c r="E116" t="s">
        <v>208</v>
      </c>
      <c r="F116" t="s">
        <v>979</v>
      </c>
      <c r="G116">
        <v>32.9</v>
      </c>
      <c r="H116" s="189">
        <v>0</v>
      </c>
      <c r="I116" s="67">
        <v>0</v>
      </c>
      <c r="J116" s="67">
        <v>0</v>
      </c>
      <c r="K116" s="67">
        <v>0</v>
      </c>
      <c r="L116" s="67">
        <v>0</v>
      </c>
      <c r="M116" s="67">
        <v>0</v>
      </c>
      <c r="N116" s="67">
        <v>49.5</v>
      </c>
      <c r="O116" s="67">
        <v>11755.26</v>
      </c>
      <c r="P116" s="67">
        <v>10107.9</v>
      </c>
      <c r="Q116" s="67">
        <v>2577.96</v>
      </c>
      <c r="R116" s="67">
        <v>0</v>
      </c>
      <c r="S116" s="190">
        <v>0</v>
      </c>
      <c r="T116" s="191"/>
      <c r="U116" s="193" t="s">
        <v>1485</v>
      </c>
      <c r="V116" s="191" t="s">
        <v>270</v>
      </c>
      <c r="W116" s="192">
        <v>5</v>
      </c>
      <c r="X116" s="191">
        <v>0</v>
      </c>
      <c r="Y116" s="191">
        <v>0</v>
      </c>
      <c r="Z116" s="191">
        <v>0</v>
      </c>
      <c r="AA116" s="191">
        <v>0</v>
      </c>
      <c r="AB116" s="191">
        <v>0</v>
      </c>
      <c r="AC116" s="191">
        <v>0</v>
      </c>
      <c r="AD116" s="191">
        <v>250</v>
      </c>
      <c r="AE116" s="191">
        <v>1830</v>
      </c>
      <c r="AF116" s="191">
        <v>1850</v>
      </c>
      <c r="AG116" s="191">
        <v>1020</v>
      </c>
      <c r="AH116" s="191">
        <v>0</v>
      </c>
      <c r="AL116" s="144" t="s">
        <v>335</v>
      </c>
    </row>
    <row r="117" spans="1:38">
      <c r="A117" s="155" t="s">
        <v>273</v>
      </c>
      <c r="B117" t="s">
        <v>1250</v>
      </c>
      <c r="C117" t="s">
        <v>1251</v>
      </c>
      <c r="D117" t="s">
        <v>273</v>
      </c>
      <c r="E117" t="s">
        <v>208</v>
      </c>
      <c r="F117" t="s">
        <v>979</v>
      </c>
      <c r="G117">
        <v>40</v>
      </c>
      <c r="H117" s="189">
        <v>0</v>
      </c>
      <c r="I117" s="67">
        <v>0</v>
      </c>
      <c r="J117" s="67">
        <v>0</v>
      </c>
      <c r="K117" s="67">
        <v>0</v>
      </c>
      <c r="L117" s="67">
        <v>0</v>
      </c>
      <c r="M117" s="67">
        <v>0</v>
      </c>
      <c r="N117" s="67">
        <v>49.5</v>
      </c>
      <c r="O117" s="67">
        <v>1642.41</v>
      </c>
      <c r="P117" s="67">
        <v>6317.19</v>
      </c>
      <c r="Q117" s="67">
        <v>7346.79</v>
      </c>
      <c r="R117" s="67">
        <v>0</v>
      </c>
      <c r="S117" s="190">
        <v>0</v>
      </c>
      <c r="T117" s="191"/>
      <c r="U117" s="193" t="s">
        <v>1484</v>
      </c>
      <c r="V117" s="191" t="s">
        <v>233</v>
      </c>
      <c r="W117" s="192">
        <v>5</v>
      </c>
      <c r="X117" s="191">
        <v>0</v>
      </c>
      <c r="Y117" s="191">
        <v>0</v>
      </c>
      <c r="Z117" s="191">
        <v>0</v>
      </c>
      <c r="AA117" s="191">
        <v>0</v>
      </c>
      <c r="AB117" s="191">
        <v>0</v>
      </c>
      <c r="AC117" s="191">
        <v>0</v>
      </c>
      <c r="AD117" s="191">
        <v>0</v>
      </c>
      <c r="AE117" s="191">
        <v>425.7</v>
      </c>
      <c r="AF117" s="191">
        <v>1633.5</v>
      </c>
      <c r="AG117" s="191">
        <v>1900.8</v>
      </c>
      <c r="AH117" s="191">
        <v>0</v>
      </c>
      <c r="AL117" s="144" t="s">
        <v>317</v>
      </c>
    </row>
    <row r="118" spans="1:38">
      <c r="A118" s="155" t="s">
        <v>292</v>
      </c>
      <c r="B118" t="s">
        <v>1252</v>
      </c>
      <c r="C118" t="s">
        <v>1253</v>
      </c>
      <c r="D118" t="s">
        <v>292</v>
      </c>
      <c r="E118" t="s">
        <v>208</v>
      </c>
      <c r="F118" t="s">
        <v>976</v>
      </c>
      <c r="G118">
        <v>6.25</v>
      </c>
      <c r="H118" s="189">
        <v>614.80948000000001</v>
      </c>
      <c r="I118" s="67">
        <v>103.55835999999999</v>
      </c>
      <c r="J118" s="67">
        <v>664.78983000000005</v>
      </c>
      <c r="K118" s="67">
        <v>2153.5355500000001</v>
      </c>
      <c r="L118" s="67">
        <v>2656.2359499999998</v>
      </c>
      <c r="M118" s="67">
        <v>1769.8251399999999</v>
      </c>
      <c r="N118" s="67">
        <v>2361.52124</v>
      </c>
      <c r="O118" s="67">
        <v>0</v>
      </c>
      <c r="P118" s="67">
        <v>0</v>
      </c>
      <c r="Q118" s="67">
        <v>0</v>
      </c>
      <c r="R118" s="67">
        <v>0</v>
      </c>
      <c r="S118" s="190">
        <v>0</v>
      </c>
      <c r="T118" s="191"/>
      <c r="U118" s="193" t="s">
        <v>1460</v>
      </c>
      <c r="V118" s="191" t="s">
        <v>227</v>
      </c>
      <c r="W118" s="192">
        <v>5</v>
      </c>
      <c r="X118" s="191">
        <v>0</v>
      </c>
      <c r="Y118" s="191">
        <v>0</v>
      </c>
      <c r="Z118" s="191">
        <v>0</v>
      </c>
      <c r="AA118" s="191">
        <v>0</v>
      </c>
      <c r="AB118" s="191">
        <v>1890.9</v>
      </c>
      <c r="AC118" s="191">
        <v>1217.7</v>
      </c>
      <c r="AD118" s="191">
        <v>693</v>
      </c>
      <c r="AE118" s="191">
        <v>0</v>
      </c>
      <c r="AF118" s="191">
        <v>0</v>
      </c>
      <c r="AG118" s="191">
        <v>0</v>
      </c>
      <c r="AH118" s="191">
        <v>0</v>
      </c>
      <c r="AL118" s="144" t="s">
        <v>338</v>
      </c>
    </row>
    <row r="119" spans="1:38">
      <c r="A119" s="155" t="s">
        <v>292</v>
      </c>
      <c r="B119" t="s">
        <v>1252</v>
      </c>
      <c r="C119" t="s">
        <v>1254</v>
      </c>
      <c r="D119" t="s">
        <v>292</v>
      </c>
      <c r="E119" t="s">
        <v>207</v>
      </c>
      <c r="F119" t="s">
        <v>979</v>
      </c>
      <c r="G119">
        <v>6.25</v>
      </c>
      <c r="H119" s="189">
        <v>2726.81756</v>
      </c>
      <c r="I119" s="67">
        <v>407.91052999999999</v>
      </c>
      <c r="J119" s="67">
        <v>1494.3892499999999</v>
      </c>
      <c r="K119" s="67">
        <v>6423.6646099999998</v>
      </c>
      <c r="L119" s="67">
        <v>4314.6575599999996</v>
      </c>
      <c r="M119" s="67">
        <v>509</v>
      </c>
      <c r="N119" s="67">
        <v>0</v>
      </c>
      <c r="O119" s="67">
        <v>0</v>
      </c>
      <c r="P119" s="67">
        <v>0</v>
      </c>
      <c r="Q119" s="67">
        <v>0</v>
      </c>
      <c r="R119" s="67">
        <v>0</v>
      </c>
      <c r="S119" s="190">
        <v>0</v>
      </c>
      <c r="T119" s="191"/>
      <c r="U119" s="193" t="s">
        <v>1461</v>
      </c>
      <c r="V119" s="191" t="s">
        <v>227</v>
      </c>
      <c r="W119" s="192">
        <v>5</v>
      </c>
      <c r="X119" s="191">
        <v>0</v>
      </c>
      <c r="Y119" s="191">
        <v>0</v>
      </c>
      <c r="Z119" s="191">
        <v>0</v>
      </c>
      <c r="AA119" s="191">
        <v>0</v>
      </c>
      <c r="AB119" s="191">
        <v>0</v>
      </c>
      <c r="AC119" s="191">
        <v>0</v>
      </c>
      <c r="AD119" s="191">
        <v>250</v>
      </c>
      <c r="AE119" s="191">
        <v>1300</v>
      </c>
      <c r="AF119" s="191">
        <v>2610</v>
      </c>
      <c r="AG119" s="191">
        <v>950</v>
      </c>
      <c r="AH119" s="191">
        <v>0</v>
      </c>
      <c r="AL119" s="144" t="s">
        <v>318</v>
      </c>
    </row>
    <row r="120" spans="1:38">
      <c r="A120" s="155" t="s">
        <v>235</v>
      </c>
      <c r="B120" t="s">
        <v>1255</v>
      </c>
      <c r="C120" t="s">
        <v>1256</v>
      </c>
      <c r="D120" t="s">
        <v>235</v>
      </c>
      <c r="E120" t="s">
        <v>208</v>
      </c>
      <c r="F120" t="s">
        <v>979</v>
      </c>
      <c r="G120">
        <v>32.5</v>
      </c>
      <c r="H120" s="189">
        <v>0</v>
      </c>
      <c r="I120" s="67">
        <v>0</v>
      </c>
      <c r="J120" s="67">
        <v>0</v>
      </c>
      <c r="K120" s="67">
        <v>0</v>
      </c>
      <c r="L120" s="67">
        <v>495</v>
      </c>
      <c r="M120" s="67">
        <v>1980</v>
      </c>
      <c r="N120" s="67">
        <v>1980</v>
      </c>
      <c r="O120" s="67">
        <v>0</v>
      </c>
      <c r="P120" s="67">
        <v>0</v>
      </c>
      <c r="Q120" s="67">
        <v>0</v>
      </c>
      <c r="R120" s="67">
        <v>0</v>
      </c>
      <c r="S120" s="190">
        <v>0</v>
      </c>
      <c r="T120" s="191"/>
      <c r="U120" s="193" t="s">
        <v>1200</v>
      </c>
      <c r="V120" s="191" t="s">
        <v>308</v>
      </c>
      <c r="W120" s="192">
        <v>5</v>
      </c>
      <c r="X120" s="191">
        <v>0</v>
      </c>
      <c r="Y120" s="191">
        <v>0</v>
      </c>
      <c r="Z120" s="191">
        <v>0</v>
      </c>
      <c r="AA120" s="191">
        <v>0</v>
      </c>
      <c r="AB120" s="191">
        <v>0</v>
      </c>
      <c r="AC120" s="191">
        <v>0</v>
      </c>
      <c r="AD120" s="191">
        <v>0</v>
      </c>
      <c r="AE120" s="191">
        <v>1500</v>
      </c>
      <c r="AF120" s="191">
        <v>4125</v>
      </c>
      <c r="AG120" s="191">
        <v>2390.9</v>
      </c>
      <c r="AH120" s="191">
        <v>1217.7</v>
      </c>
      <c r="AL120" s="144" t="s">
        <v>319</v>
      </c>
    </row>
    <row r="121" spans="1:38">
      <c r="A121" s="155" t="s">
        <v>235</v>
      </c>
      <c r="B121" t="s">
        <v>1255</v>
      </c>
      <c r="C121" t="s">
        <v>1257</v>
      </c>
      <c r="D121" t="s">
        <v>235</v>
      </c>
      <c r="E121" t="s">
        <v>207</v>
      </c>
      <c r="F121" t="s">
        <v>979</v>
      </c>
      <c r="G121">
        <v>32.5</v>
      </c>
      <c r="H121" s="189">
        <v>0</v>
      </c>
      <c r="I121" s="67">
        <v>0</v>
      </c>
      <c r="J121" s="67">
        <v>0</v>
      </c>
      <c r="K121" s="67">
        <v>0</v>
      </c>
      <c r="L121" s="67">
        <v>121.551</v>
      </c>
      <c r="M121" s="67">
        <v>1616.623</v>
      </c>
      <c r="N121" s="67">
        <v>583.44299999999998</v>
      </c>
      <c r="O121" s="67">
        <v>1442.4839999999999</v>
      </c>
      <c r="P121" s="67">
        <v>9579.1859999999997</v>
      </c>
      <c r="Q121" s="67">
        <v>9579.1859999999997</v>
      </c>
      <c r="R121" s="67">
        <v>5793.8620000000001</v>
      </c>
      <c r="S121" s="190">
        <v>0</v>
      </c>
      <c r="T121" s="191"/>
      <c r="U121" s="193" t="s">
        <v>1560</v>
      </c>
      <c r="V121" s="191" t="s">
        <v>346</v>
      </c>
      <c r="W121" s="192">
        <v>5</v>
      </c>
      <c r="X121" s="191">
        <v>0</v>
      </c>
      <c r="Y121" s="191">
        <v>0</v>
      </c>
      <c r="Z121" s="191">
        <v>0</v>
      </c>
      <c r="AA121" s="191">
        <v>0</v>
      </c>
      <c r="AB121" s="191">
        <v>0</v>
      </c>
      <c r="AC121" s="191">
        <v>0</v>
      </c>
      <c r="AD121" s="191">
        <v>0</v>
      </c>
      <c r="AE121" s="191">
        <v>0</v>
      </c>
      <c r="AF121" s="191">
        <v>742.5</v>
      </c>
      <c r="AG121" s="191">
        <v>1584</v>
      </c>
      <c r="AH121" s="191">
        <v>742.5</v>
      </c>
      <c r="AL121" s="144" t="s">
        <v>321</v>
      </c>
    </row>
    <row r="122" spans="1:38">
      <c r="A122" s="155" t="s">
        <v>262</v>
      </c>
      <c r="B122" t="s">
        <v>1258</v>
      </c>
      <c r="C122" t="s">
        <v>1259</v>
      </c>
      <c r="D122" t="s">
        <v>262</v>
      </c>
      <c r="E122" t="s">
        <v>208</v>
      </c>
      <c r="F122" t="s">
        <v>979</v>
      </c>
      <c r="G122">
        <v>40</v>
      </c>
      <c r="H122" s="189">
        <v>0</v>
      </c>
      <c r="I122" s="67">
        <v>0</v>
      </c>
      <c r="J122" s="67">
        <v>0</v>
      </c>
      <c r="K122" s="67">
        <v>0</v>
      </c>
      <c r="L122" s="67">
        <v>752.45600000000002</v>
      </c>
      <c r="M122" s="67">
        <v>2894.0630000000001</v>
      </c>
      <c r="N122" s="67">
        <v>3365.3589999999999</v>
      </c>
      <c r="O122" s="67">
        <v>0</v>
      </c>
      <c r="P122" s="67">
        <v>0</v>
      </c>
      <c r="Q122" s="67">
        <v>0</v>
      </c>
      <c r="R122" s="67">
        <v>0</v>
      </c>
      <c r="S122" s="190">
        <v>0</v>
      </c>
      <c r="T122" s="191"/>
      <c r="U122" s="193" t="s">
        <v>1517</v>
      </c>
      <c r="V122" s="191" t="s">
        <v>289</v>
      </c>
      <c r="W122" s="192">
        <v>2</v>
      </c>
      <c r="X122" s="191">
        <v>0</v>
      </c>
      <c r="Y122" s="191">
        <v>0</v>
      </c>
      <c r="Z122" s="191">
        <v>0</v>
      </c>
      <c r="AA122" s="191">
        <v>0</v>
      </c>
      <c r="AB122" s="191">
        <v>0</v>
      </c>
      <c r="AC122" s="191">
        <v>10</v>
      </c>
      <c r="AD122" s="191">
        <v>40</v>
      </c>
      <c r="AE122" s="191">
        <v>1050</v>
      </c>
      <c r="AF122" s="191">
        <v>2300</v>
      </c>
      <c r="AG122" s="191">
        <v>800</v>
      </c>
      <c r="AH122" s="191">
        <v>0</v>
      </c>
      <c r="AL122" s="144" t="s">
        <v>339</v>
      </c>
    </row>
    <row r="123" spans="1:38">
      <c r="A123" s="155" t="s">
        <v>262</v>
      </c>
      <c r="B123" t="s">
        <v>1258</v>
      </c>
      <c r="C123" t="s">
        <v>1260</v>
      </c>
      <c r="D123" t="s">
        <v>262</v>
      </c>
      <c r="E123" t="s">
        <v>207</v>
      </c>
      <c r="F123" t="s">
        <v>979</v>
      </c>
      <c r="G123">
        <v>40</v>
      </c>
      <c r="H123" s="189">
        <v>0</v>
      </c>
      <c r="I123" s="67">
        <v>0</v>
      </c>
      <c r="J123" s="67">
        <v>0</v>
      </c>
      <c r="K123" s="67">
        <v>0</v>
      </c>
      <c r="L123" s="67">
        <v>105</v>
      </c>
      <c r="M123" s="67">
        <v>1397</v>
      </c>
      <c r="N123" s="67">
        <v>504</v>
      </c>
      <c r="O123" s="67">
        <v>1246</v>
      </c>
      <c r="P123" s="67">
        <v>577.5</v>
      </c>
      <c r="Q123" s="67">
        <v>8275.0439999999999</v>
      </c>
      <c r="R123" s="67">
        <v>5004.9560000000001</v>
      </c>
      <c r="S123" s="190">
        <v>0</v>
      </c>
      <c r="T123" s="191"/>
      <c r="U123" s="193" t="s">
        <v>1218</v>
      </c>
      <c r="V123" s="191" t="s">
        <v>336</v>
      </c>
      <c r="W123" s="192">
        <v>25</v>
      </c>
      <c r="X123" s="191">
        <v>2029.1087600000001</v>
      </c>
      <c r="Y123" s="191">
        <v>1975.61724</v>
      </c>
      <c r="Z123" s="191">
        <v>4730.45183</v>
      </c>
      <c r="AA123" s="191">
        <v>7441.2717599999996</v>
      </c>
      <c r="AB123" s="191">
        <v>427.49476000000004</v>
      </c>
      <c r="AC123" s="191">
        <v>0</v>
      </c>
      <c r="AD123" s="191">
        <v>0</v>
      </c>
      <c r="AE123" s="191">
        <v>0</v>
      </c>
      <c r="AF123" s="191">
        <v>0</v>
      </c>
      <c r="AG123" s="191">
        <v>0</v>
      </c>
      <c r="AH123" s="191">
        <v>0</v>
      </c>
      <c r="AL123" s="144" t="s">
        <v>324</v>
      </c>
    </row>
    <row r="124" spans="1:38">
      <c r="A124" s="155" t="s">
        <v>354</v>
      </c>
      <c r="B124" t="s">
        <v>1262</v>
      </c>
      <c r="C124" t="s">
        <v>1263</v>
      </c>
      <c r="D124" t="s">
        <v>354</v>
      </c>
      <c r="E124" t="s">
        <v>208</v>
      </c>
      <c r="F124" t="s">
        <v>976</v>
      </c>
      <c r="G124">
        <v>57.6</v>
      </c>
      <c r="H124" s="189">
        <v>0</v>
      </c>
      <c r="I124" s="67">
        <v>120</v>
      </c>
      <c r="J124" s="67">
        <v>240</v>
      </c>
      <c r="K124" s="67">
        <v>1500</v>
      </c>
      <c r="L124" s="67">
        <v>950</v>
      </c>
      <c r="M124" s="67">
        <v>0</v>
      </c>
      <c r="N124" s="67">
        <v>0</v>
      </c>
      <c r="O124" s="67">
        <v>0</v>
      </c>
      <c r="P124" s="67">
        <v>0</v>
      </c>
      <c r="Q124" s="67">
        <v>0</v>
      </c>
      <c r="R124" s="67">
        <v>0</v>
      </c>
      <c r="S124" s="190">
        <v>0</v>
      </c>
      <c r="T124" s="191"/>
      <c r="U124" s="193" t="s">
        <v>1475</v>
      </c>
      <c r="V124" s="191" t="s">
        <v>256</v>
      </c>
      <c r="W124" s="192">
        <v>5</v>
      </c>
      <c r="X124" s="191">
        <v>0</v>
      </c>
      <c r="Y124" s="191">
        <v>0</v>
      </c>
      <c r="Z124" s="191">
        <v>0</v>
      </c>
      <c r="AA124" s="191">
        <v>240</v>
      </c>
      <c r="AB124" s="191">
        <v>940</v>
      </c>
      <c r="AC124" s="191">
        <v>1090</v>
      </c>
      <c r="AD124" s="191">
        <v>0</v>
      </c>
      <c r="AE124" s="191">
        <v>0</v>
      </c>
      <c r="AF124" s="191">
        <v>0</v>
      </c>
      <c r="AG124" s="191">
        <v>0</v>
      </c>
      <c r="AH124" s="191">
        <v>0</v>
      </c>
      <c r="AL124" s="144" t="s">
        <v>344</v>
      </c>
    </row>
    <row r="125" spans="1:38">
      <c r="A125" s="155" t="s">
        <v>354</v>
      </c>
      <c r="B125" t="s">
        <v>1262</v>
      </c>
      <c r="C125" t="s">
        <v>1264</v>
      </c>
      <c r="D125" t="s">
        <v>354</v>
      </c>
      <c r="E125" t="s">
        <v>207</v>
      </c>
      <c r="F125" t="s">
        <v>976</v>
      </c>
      <c r="G125">
        <v>57.6</v>
      </c>
      <c r="H125" s="189">
        <v>0</v>
      </c>
      <c r="I125" s="67">
        <v>390</v>
      </c>
      <c r="J125" s="67">
        <v>950</v>
      </c>
      <c r="K125" s="67">
        <v>3400</v>
      </c>
      <c r="L125" s="67">
        <v>0</v>
      </c>
      <c r="M125" s="67">
        <v>0</v>
      </c>
      <c r="N125" s="67">
        <v>0</v>
      </c>
      <c r="O125" s="67">
        <v>0</v>
      </c>
      <c r="P125" s="67">
        <v>0</v>
      </c>
      <c r="Q125" s="67">
        <v>0</v>
      </c>
      <c r="R125" s="67">
        <v>0</v>
      </c>
      <c r="S125" s="190">
        <v>0</v>
      </c>
      <c r="T125" s="191"/>
      <c r="U125" s="193" t="s">
        <v>1542</v>
      </c>
      <c r="V125" s="191" t="s">
        <v>319</v>
      </c>
      <c r="W125" s="192">
        <v>5</v>
      </c>
      <c r="X125" s="191">
        <v>0</v>
      </c>
      <c r="Y125" s="191">
        <v>0</v>
      </c>
      <c r="Z125" s="191">
        <v>0</v>
      </c>
      <c r="AA125" s="191">
        <v>0</v>
      </c>
      <c r="AB125" s="191">
        <v>990</v>
      </c>
      <c r="AC125" s="191">
        <v>2623.5</v>
      </c>
      <c r="AD125" s="191">
        <v>0.495</v>
      </c>
      <c r="AE125" s="191">
        <v>0</v>
      </c>
      <c r="AF125" s="191">
        <v>0</v>
      </c>
      <c r="AG125" s="191">
        <v>0</v>
      </c>
      <c r="AH125" s="191">
        <v>0</v>
      </c>
      <c r="AL125" s="144" t="s">
        <v>326</v>
      </c>
    </row>
    <row r="126" spans="1:38">
      <c r="A126" s="155" t="s">
        <v>261</v>
      </c>
      <c r="B126" t="s">
        <v>1267</v>
      </c>
      <c r="C126" t="s">
        <v>1268</v>
      </c>
      <c r="D126" t="s">
        <v>261</v>
      </c>
      <c r="E126" t="s">
        <v>207</v>
      </c>
      <c r="F126" t="s">
        <v>979</v>
      </c>
      <c r="G126">
        <v>34.5</v>
      </c>
      <c r="H126" s="189">
        <v>0</v>
      </c>
      <c r="I126" s="67">
        <v>0</v>
      </c>
      <c r="J126" s="67">
        <v>0</v>
      </c>
      <c r="K126" s="67">
        <v>0</v>
      </c>
      <c r="L126" s="67">
        <v>0</v>
      </c>
      <c r="M126" s="67">
        <v>0</v>
      </c>
      <c r="N126" s="67">
        <v>0</v>
      </c>
      <c r="O126" s="67">
        <v>200</v>
      </c>
      <c r="P126" s="67">
        <v>200</v>
      </c>
      <c r="Q126" s="67">
        <v>0</v>
      </c>
      <c r="R126" s="67">
        <v>0</v>
      </c>
      <c r="S126" s="190">
        <v>0</v>
      </c>
      <c r="T126" s="191"/>
      <c r="U126" s="193" t="s">
        <v>1543</v>
      </c>
      <c r="V126" s="191" t="s">
        <v>319</v>
      </c>
      <c r="W126" s="192">
        <v>5</v>
      </c>
      <c r="X126" s="191">
        <v>0</v>
      </c>
      <c r="Y126" s="191">
        <v>0</v>
      </c>
      <c r="Z126" s="191">
        <v>0</v>
      </c>
      <c r="AA126" s="191">
        <v>0</v>
      </c>
      <c r="AB126" s="191">
        <v>390</v>
      </c>
      <c r="AC126" s="191">
        <v>2000</v>
      </c>
      <c r="AD126" s="191">
        <v>1250</v>
      </c>
      <c r="AE126" s="191">
        <v>0</v>
      </c>
      <c r="AF126" s="191">
        <v>0</v>
      </c>
      <c r="AG126" s="191">
        <v>0</v>
      </c>
      <c r="AH126" s="191">
        <v>0</v>
      </c>
      <c r="AL126" s="144" t="s">
        <v>328</v>
      </c>
    </row>
    <row r="127" spans="1:38">
      <c r="A127" s="155" t="s">
        <v>261</v>
      </c>
      <c r="B127" t="s">
        <v>1267</v>
      </c>
      <c r="C127" t="s">
        <v>1269</v>
      </c>
      <c r="D127" t="s">
        <v>261</v>
      </c>
      <c r="E127" t="s">
        <v>208</v>
      </c>
      <c r="F127" t="s">
        <v>979</v>
      </c>
      <c r="G127">
        <v>34.5</v>
      </c>
      <c r="H127" s="189">
        <v>0</v>
      </c>
      <c r="I127" s="67">
        <v>0</v>
      </c>
      <c r="J127" s="67">
        <v>0</v>
      </c>
      <c r="K127" s="67">
        <v>0</v>
      </c>
      <c r="L127" s="67">
        <v>0</v>
      </c>
      <c r="M127" s="67">
        <v>0</v>
      </c>
      <c r="N127" s="67">
        <v>71.662999999999997</v>
      </c>
      <c r="O127" s="67">
        <v>275.625</v>
      </c>
      <c r="P127" s="67">
        <v>320.51</v>
      </c>
      <c r="Q127" s="67">
        <v>0</v>
      </c>
      <c r="R127" s="67">
        <v>0</v>
      </c>
      <c r="S127" s="190">
        <v>0</v>
      </c>
      <c r="T127" s="191"/>
      <c r="U127" s="193" t="s">
        <v>1541</v>
      </c>
      <c r="V127" s="191" t="s">
        <v>319</v>
      </c>
      <c r="W127" s="192">
        <v>5</v>
      </c>
      <c r="X127" s="191">
        <v>0</v>
      </c>
      <c r="Y127" s="191">
        <v>0</v>
      </c>
      <c r="Z127" s="191">
        <v>0</v>
      </c>
      <c r="AA127" s="191">
        <v>0</v>
      </c>
      <c r="AB127" s="191">
        <v>0</v>
      </c>
      <c r="AC127" s="191">
        <v>0</v>
      </c>
      <c r="AD127" s="191">
        <v>0</v>
      </c>
      <c r="AE127" s="191">
        <v>69.3</v>
      </c>
      <c r="AF127" s="191">
        <v>267.3</v>
      </c>
      <c r="AG127" s="191">
        <v>306.89999999999998</v>
      </c>
      <c r="AH127" s="191">
        <v>0</v>
      </c>
      <c r="AL127" s="144" t="s">
        <v>330</v>
      </c>
    </row>
    <row r="128" spans="1:38">
      <c r="A128" s="155" t="s">
        <v>261</v>
      </c>
      <c r="B128" t="s">
        <v>1267</v>
      </c>
      <c r="C128" t="s">
        <v>1270</v>
      </c>
      <c r="D128" t="s">
        <v>261</v>
      </c>
      <c r="E128" t="s">
        <v>208</v>
      </c>
      <c r="F128" t="s">
        <v>979</v>
      </c>
      <c r="G128">
        <v>34.5</v>
      </c>
      <c r="H128" s="189">
        <v>0</v>
      </c>
      <c r="I128" s="67">
        <v>0</v>
      </c>
      <c r="J128" s="67">
        <v>0</v>
      </c>
      <c r="K128" s="67">
        <v>0</v>
      </c>
      <c r="L128" s="67">
        <v>0</v>
      </c>
      <c r="M128" s="67">
        <v>0</v>
      </c>
      <c r="N128" s="67">
        <v>18.59</v>
      </c>
      <c r="O128" s="67">
        <v>71.63</v>
      </c>
      <c r="P128" s="67">
        <v>2314</v>
      </c>
      <c r="Q128" s="67">
        <v>179.79</v>
      </c>
      <c r="R128" s="67">
        <v>0</v>
      </c>
      <c r="S128" s="190">
        <v>0</v>
      </c>
      <c r="T128" s="191"/>
      <c r="U128" s="193" t="s">
        <v>1544</v>
      </c>
      <c r="V128" s="191" t="s">
        <v>319</v>
      </c>
      <c r="W128" s="192">
        <v>5</v>
      </c>
      <c r="X128" s="191">
        <v>0</v>
      </c>
      <c r="Y128" s="191">
        <v>0</v>
      </c>
      <c r="Z128" s="191">
        <v>0</v>
      </c>
      <c r="AA128" s="191">
        <v>0</v>
      </c>
      <c r="AB128" s="191">
        <v>0</v>
      </c>
      <c r="AC128" s="191">
        <v>0</v>
      </c>
      <c r="AD128" s="191">
        <v>0</v>
      </c>
      <c r="AE128" s="191">
        <v>69.3</v>
      </c>
      <c r="AF128" s="191">
        <v>267.3</v>
      </c>
      <c r="AG128" s="191">
        <v>306.89999999999998</v>
      </c>
      <c r="AH128" s="191">
        <v>0</v>
      </c>
      <c r="AL128" s="144" t="s">
        <v>331</v>
      </c>
    </row>
    <row r="129" spans="1:38">
      <c r="A129" s="155" t="s">
        <v>261</v>
      </c>
      <c r="B129" t="s">
        <v>1267</v>
      </c>
      <c r="C129" t="s">
        <v>1271</v>
      </c>
      <c r="D129" t="s">
        <v>261</v>
      </c>
      <c r="E129" t="s">
        <v>208</v>
      </c>
      <c r="F129" t="s">
        <v>979</v>
      </c>
      <c r="G129">
        <v>34.5</v>
      </c>
      <c r="H129" s="189">
        <v>0</v>
      </c>
      <c r="I129" s="67">
        <v>0</v>
      </c>
      <c r="J129" s="67">
        <v>0</v>
      </c>
      <c r="K129" s="67">
        <v>0</v>
      </c>
      <c r="L129" s="67">
        <v>0</v>
      </c>
      <c r="M129" s="67">
        <v>0</v>
      </c>
      <c r="N129" s="67">
        <v>0</v>
      </c>
      <c r="O129" s="67">
        <v>0</v>
      </c>
      <c r="P129" s="67">
        <v>1728.623</v>
      </c>
      <c r="Q129" s="67">
        <v>6648.549</v>
      </c>
      <c r="R129" s="67">
        <v>16656.001999999997</v>
      </c>
      <c r="S129" s="190">
        <v>0</v>
      </c>
      <c r="T129" s="191"/>
      <c r="U129" s="191" t="s">
        <v>1522</v>
      </c>
      <c r="V129" s="191" t="s">
        <v>311</v>
      </c>
      <c r="W129" s="192"/>
      <c r="X129" s="191"/>
      <c r="Y129" s="191"/>
      <c r="Z129" s="191"/>
      <c r="AA129" s="191"/>
      <c r="AB129" s="191"/>
      <c r="AC129" s="191"/>
      <c r="AD129" s="191"/>
      <c r="AE129" s="191"/>
      <c r="AF129" s="191"/>
      <c r="AG129" s="191"/>
      <c r="AH129" s="191"/>
      <c r="AL129" s="144" t="s">
        <v>333</v>
      </c>
    </row>
    <row r="130" spans="1:38">
      <c r="A130" s="155" t="s">
        <v>261</v>
      </c>
      <c r="B130" t="s">
        <v>1267</v>
      </c>
      <c r="C130" t="s">
        <v>1272</v>
      </c>
      <c r="D130" t="s">
        <v>1273</v>
      </c>
      <c r="E130" t="s">
        <v>208</v>
      </c>
      <c r="F130" t="s">
        <v>979</v>
      </c>
      <c r="G130">
        <v>34.5</v>
      </c>
      <c r="H130" s="189">
        <v>0</v>
      </c>
      <c r="I130" s="67">
        <v>0</v>
      </c>
      <c r="J130" s="67">
        <v>0</v>
      </c>
      <c r="K130" s="67">
        <v>0</v>
      </c>
      <c r="L130" s="67">
        <v>0</v>
      </c>
      <c r="M130" s="67">
        <v>50</v>
      </c>
      <c r="N130" s="67">
        <v>2000</v>
      </c>
      <c r="O130" s="67">
        <v>2000</v>
      </c>
      <c r="P130" s="67">
        <v>2000</v>
      </c>
      <c r="Q130" s="67">
        <v>2000</v>
      </c>
      <c r="R130" s="67">
        <v>1749.9999999999995</v>
      </c>
      <c r="S130" s="190">
        <v>0</v>
      </c>
      <c r="T130" s="191"/>
      <c r="U130" s="193" t="s">
        <v>1222</v>
      </c>
      <c r="V130" s="191" t="s">
        <v>255</v>
      </c>
      <c r="W130" s="192">
        <v>9.4</v>
      </c>
      <c r="X130" s="191">
        <v>1920.643</v>
      </c>
      <c r="Y130" s="191">
        <v>1838.32647</v>
      </c>
      <c r="Z130" s="191">
        <v>2121.30962</v>
      </c>
      <c r="AA130" s="191">
        <v>1032.3469</v>
      </c>
      <c r="AB130" s="191">
        <v>0</v>
      </c>
      <c r="AC130" s="191">
        <v>0</v>
      </c>
      <c r="AD130" s="191">
        <v>0</v>
      </c>
      <c r="AE130" s="191">
        <v>0</v>
      </c>
      <c r="AF130" s="191">
        <v>0</v>
      </c>
      <c r="AG130" s="191">
        <v>0</v>
      </c>
      <c r="AH130" s="191">
        <v>0</v>
      </c>
      <c r="AL130" s="144" t="s">
        <v>334</v>
      </c>
    </row>
    <row r="131" spans="1:38">
      <c r="A131" s="155" t="s">
        <v>261</v>
      </c>
      <c r="B131" t="s">
        <v>1267</v>
      </c>
      <c r="C131" t="s">
        <v>1274</v>
      </c>
      <c r="D131" t="s">
        <v>1273</v>
      </c>
      <c r="E131" t="s">
        <v>207</v>
      </c>
      <c r="F131" t="s">
        <v>979</v>
      </c>
      <c r="G131">
        <v>34.5</v>
      </c>
      <c r="H131" s="189">
        <v>0</v>
      </c>
      <c r="I131" s="67">
        <v>0</v>
      </c>
      <c r="J131" s="67">
        <v>0</v>
      </c>
      <c r="K131" s="67">
        <v>0</v>
      </c>
      <c r="L131" s="67">
        <v>0</v>
      </c>
      <c r="M131" s="67">
        <v>105</v>
      </c>
      <c r="N131" s="67">
        <v>1397</v>
      </c>
      <c r="O131" s="67">
        <v>1750</v>
      </c>
      <c r="P131" s="67">
        <v>8274.8610000000008</v>
      </c>
      <c r="Q131" s="67">
        <v>8274.9999999999982</v>
      </c>
      <c r="R131" s="67">
        <v>4999.9999999999991</v>
      </c>
      <c r="S131" s="190">
        <v>0</v>
      </c>
      <c r="T131" s="191"/>
      <c r="U131" s="193" t="s">
        <v>1226</v>
      </c>
      <c r="V131" s="191" t="s">
        <v>267</v>
      </c>
      <c r="W131" s="192">
        <v>7.2</v>
      </c>
      <c r="X131" s="191">
        <v>10352.001399999999</v>
      </c>
      <c r="Y131" s="191">
        <v>8744.6445999999978</v>
      </c>
      <c r="Z131" s="191">
        <v>6161.5924699999996</v>
      </c>
      <c r="AA131" s="191">
        <v>2882.7618099999995</v>
      </c>
      <c r="AB131" s="191">
        <v>1464.5134</v>
      </c>
      <c r="AC131" s="191">
        <v>189.37504999999999</v>
      </c>
      <c r="AD131" s="191">
        <v>0</v>
      </c>
      <c r="AE131" s="191">
        <v>0</v>
      </c>
      <c r="AF131" s="191">
        <v>0</v>
      </c>
      <c r="AG131" s="191">
        <v>0</v>
      </c>
      <c r="AH131" s="191">
        <v>0</v>
      </c>
      <c r="AL131" s="144" t="s">
        <v>336</v>
      </c>
    </row>
    <row r="132" spans="1:38">
      <c r="A132" s="155" t="s">
        <v>261</v>
      </c>
      <c r="B132" t="s">
        <v>1267</v>
      </c>
      <c r="C132" t="s">
        <v>1275</v>
      </c>
      <c r="D132" t="s">
        <v>347</v>
      </c>
      <c r="E132" t="s">
        <v>208</v>
      </c>
      <c r="F132" t="s">
        <v>979</v>
      </c>
      <c r="G132">
        <v>34.5</v>
      </c>
      <c r="H132" s="189">
        <v>0</v>
      </c>
      <c r="I132" s="67">
        <v>0</v>
      </c>
      <c r="J132" s="67">
        <v>0</v>
      </c>
      <c r="K132" s="67">
        <v>0</v>
      </c>
      <c r="L132" s="67">
        <v>250</v>
      </c>
      <c r="M132" s="67">
        <v>1865</v>
      </c>
      <c r="N132" s="67">
        <v>4100</v>
      </c>
      <c r="O132" s="67">
        <v>6000</v>
      </c>
      <c r="P132" s="67">
        <v>2000</v>
      </c>
      <c r="Q132" s="67">
        <v>1000</v>
      </c>
      <c r="R132" s="67">
        <v>0</v>
      </c>
      <c r="S132" s="190">
        <v>0</v>
      </c>
      <c r="T132" s="191"/>
      <c r="U132" s="193" t="s">
        <v>1232</v>
      </c>
      <c r="V132" s="191" t="s">
        <v>317</v>
      </c>
      <c r="W132" s="192">
        <v>0.5</v>
      </c>
      <c r="X132" s="191">
        <v>109.75444</v>
      </c>
      <c r="Y132" s="191">
        <v>179.92389</v>
      </c>
      <c r="Z132" s="191">
        <v>0</v>
      </c>
      <c r="AA132" s="191">
        <v>0</v>
      </c>
      <c r="AB132" s="191">
        <v>0</v>
      </c>
      <c r="AC132" s="191">
        <v>0</v>
      </c>
      <c r="AD132" s="191">
        <v>0</v>
      </c>
      <c r="AE132" s="191">
        <v>0</v>
      </c>
      <c r="AF132" s="191">
        <v>0</v>
      </c>
      <c r="AG132" s="191">
        <v>0</v>
      </c>
      <c r="AH132" s="191">
        <v>0</v>
      </c>
      <c r="AL132" s="144" t="s">
        <v>274</v>
      </c>
    </row>
    <row r="133" spans="1:38">
      <c r="A133" s="155" t="s">
        <v>232</v>
      </c>
      <c r="B133" t="s">
        <v>1276</v>
      </c>
      <c r="C133" t="s">
        <v>1277</v>
      </c>
      <c r="D133" t="s">
        <v>232</v>
      </c>
      <c r="E133" t="s">
        <v>207</v>
      </c>
      <c r="F133" t="s">
        <v>979</v>
      </c>
      <c r="G133">
        <v>24.6</v>
      </c>
      <c r="H133" s="189">
        <v>0</v>
      </c>
      <c r="I133" s="67">
        <v>0</v>
      </c>
      <c r="J133" s="67">
        <v>0</v>
      </c>
      <c r="K133" s="67">
        <v>0</v>
      </c>
      <c r="L133" s="67">
        <v>0</v>
      </c>
      <c r="M133" s="67">
        <v>0</v>
      </c>
      <c r="N133" s="67">
        <v>110.25</v>
      </c>
      <c r="O133" s="67">
        <v>915.07500000000005</v>
      </c>
      <c r="P133" s="67">
        <v>529.20000000000005</v>
      </c>
      <c r="Q133" s="67">
        <v>838.13099999999997</v>
      </c>
      <c r="R133" s="67">
        <v>5990.3649999999998</v>
      </c>
      <c r="S133" s="190">
        <v>0</v>
      </c>
      <c r="T133" s="191"/>
      <c r="U133" s="193" t="s">
        <v>1234</v>
      </c>
      <c r="V133" s="191" t="s">
        <v>263</v>
      </c>
      <c r="W133" s="192">
        <v>80</v>
      </c>
      <c r="X133" s="191">
        <v>3016.5540799999999</v>
      </c>
      <c r="Y133" s="191">
        <v>1024.1930400000001</v>
      </c>
      <c r="Z133" s="191">
        <v>2792.8731699999998</v>
      </c>
      <c r="AA133" s="191">
        <v>3925.8895700000003</v>
      </c>
      <c r="AB133" s="191">
        <v>20714.64213</v>
      </c>
      <c r="AC133" s="191">
        <v>15428.037550000001</v>
      </c>
      <c r="AD133" s="191">
        <v>2389.65236</v>
      </c>
      <c r="AE133" s="191">
        <v>3</v>
      </c>
      <c r="AF133" s="191">
        <v>0</v>
      </c>
      <c r="AG133" s="191">
        <v>0</v>
      </c>
      <c r="AH133" s="191">
        <v>0</v>
      </c>
      <c r="AL133" s="144" t="s">
        <v>306</v>
      </c>
    </row>
    <row r="134" spans="1:38">
      <c r="A134" s="155" t="s">
        <v>232</v>
      </c>
      <c r="B134" t="s">
        <v>1276</v>
      </c>
      <c r="C134" t="s">
        <v>1278</v>
      </c>
      <c r="D134" t="s">
        <v>1279</v>
      </c>
      <c r="E134" t="s">
        <v>207</v>
      </c>
      <c r="F134" t="s">
        <v>979</v>
      </c>
      <c r="G134">
        <v>24.6</v>
      </c>
      <c r="H134" s="189">
        <v>0</v>
      </c>
      <c r="I134" s="67">
        <v>0</v>
      </c>
      <c r="J134" s="67">
        <v>0</v>
      </c>
      <c r="K134" s="67">
        <v>0</v>
      </c>
      <c r="L134" s="67">
        <v>105</v>
      </c>
      <c r="M134" s="67">
        <v>872</v>
      </c>
      <c r="N134" s="67">
        <v>504</v>
      </c>
      <c r="O134" s="67">
        <v>3699</v>
      </c>
      <c r="P134" s="67">
        <v>2804</v>
      </c>
      <c r="Q134" s="67">
        <v>291.10399999999998</v>
      </c>
      <c r="R134" s="67">
        <v>0</v>
      </c>
      <c r="S134" s="190">
        <v>0</v>
      </c>
      <c r="T134" s="191"/>
      <c r="U134" s="193" t="s">
        <v>1238</v>
      </c>
      <c r="V134" s="191" t="s">
        <v>234</v>
      </c>
      <c r="W134" s="192">
        <v>4</v>
      </c>
      <c r="X134" s="191">
        <v>0</v>
      </c>
      <c r="Y134" s="191">
        <v>0</v>
      </c>
      <c r="Z134" s="191">
        <v>0</v>
      </c>
      <c r="AA134" s="191">
        <v>375</v>
      </c>
      <c r="AB134" s="191">
        <v>1501</v>
      </c>
      <c r="AC134" s="191">
        <v>1501</v>
      </c>
      <c r="AD134" s="191">
        <v>1500.49388</v>
      </c>
      <c r="AE134" s="191">
        <v>0</v>
      </c>
      <c r="AF134" s="191">
        <v>0</v>
      </c>
      <c r="AG134" s="191">
        <v>1378.0450000000001</v>
      </c>
      <c r="AH134" s="191">
        <v>574.35</v>
      </c>
      <c r="AL134" s="144" t="s">
        <v>337</v>
      </c>
    </row>
    <row r="135" spans="1:38">
      <c r="A135" s="155" t="s">
        <v>232</v>
      </c>
      <c r="B135" t="s">
        <v>1276</v>
      </c>
      <c r="C135" t="s">
        <v>1280</v>
      </c>
      <c r="D135" t="s">
        <v>1280</v>
      </c>
      <c r="E135" t="s">
        <v>207</v>
      </c>
      <c r="F135" t="s">
        <v>979</v>
      </c>
      <c r="G135">
        <v>24.6</v>
      </c>
      <c r="H135" s="189">
        <v>0</v>
      </c>
      <c r="I135" s="67">
        <v>0</v>
      </c>
      <c r="J135" s="67">
        <v>0</v>
      </c>
      <c r="K135" s="67">
        <v>0</v>
      </c>
      <c r="L135" s="67">
        <v>105</v>
      </c>
      <c r="M135" s="67">
        <v>1397</v>
      </c>
      <c r="N135" s="67">
        <v>504</v>
      </c>
      <c r="O135" s="67">
        <v>3246</v>
      </c>
      <c r="P135" s="67">
        <v>8274.8610000000008</v>
      </c>
      <c r="Q135" s="67">
        <v>6275</v>
      </c>
      <c r="R135" s="67">
        <v>5004.9560000000001</v>
      </c>
      <c r="S135" s="190">
        <v>0</v>
      </c>
      <c r="T135" s="191"/>
      <c r="U135" s="193" t="s">
        <v>1241</v>
      </c>
      <c r="V135" s="191" t="s">
        <v>253</v>
      </c>
      <c r="W135" s="192">
        <v>13.5</v>
      </c>
      <c r="X135" s="191">
        <v>0</v>
      </c>
      <c r="Y135" s="191">
        <v>0</v>
      </c>
      <c r="Z135" s="191">
        <v>0</v>
      </c>
      <c r="AA135" s="191">
        <v>0</v>
      </c>
      <c r="AB135" s="191">
        <v>499.19835999999998</v>
      </c>
      <c r="AC135" s="191">
        <v>2139.7244699999997</v>
      </c>
      <c r="AD135" s="191">
        <v>2053.4820999999997</v>
      </c>
      <c r="AE135" s="191">
        <v>5384.9058100000002</v>
      </c>
      <c r="AF135" s="191">
        <v>9267.3022799999999</v>
      </c>
      <c r="AG135" s="191">
        <v>357.12615</v>
      </c>
      <c r="AH135" s="191">
        <v>0</v>
      </c>
      <c r="AL135" s="144" t="s">
        <v>340</v>
      </c>
    </row>
    <row r="136" spans="1:38">
      <c r="A136" s="155" t="s">
        <v>232</v>
      </c>
      <c r="B136" t="s">
        <v>1276</v>
      </c>
      <c r="C136" t="s">
        <v>1281</v>
      </c>
      <c r="D136" t="s">
        <v>358</v>
      </c>
      <c r="E136" t="s">
        <v>207</v>
      </c>
      <c r="F136" t="s">
        <v>979</v>
      </c>
      <c r="G136">
        <v>24.6</v>
      </c>
      <c r="H136" s="189">
        <v>0</v>
      </c>
      <c r="I136" s="67">
        <v>0</v>
      </c>
      <c r="J136" s="67">
        <v>0</v>
      </c>
      <c r="K136" s="67">
        <v>0</v>
      </c>
      <c r="L136" s="67">
        <v>110</v>
      </c>
      <c r="M136" s="67">
        <v>915</v>
      </c>
      <c r="N136" s="67">
        <v>529</v>
      </c>
      <c r="O136" s="67">
        <v>3884</v>
      </c>
      <c r="P136" s="67">
        <v>2945</v>
      </c>
      <c r="Q136" s="67">
        <v>305.65900000000005</v>
      </c>
      <c r="R136" s="67">
        <v>0</v>
      </c>
      <c r="S136" s="190">
        <v>0</v>
      </c>
      <c r="T136" s="191"/>
      <c r="U136" s="193" t="s">
        <v>1246</v>
      </c>
      <c r="V136" s="191" t="s">
        <v>284</v>
      </c>
      <c r="W136" s="192">
        <v>32.9</v>
      </c>
      <c r="X136" s="191">
        <v>0</v>
      </c>
      <c r="Y136" s="191">
        <v>0</v>
      </c>
      <c r="Z136" s="191">
        <v>0</v>
      </c>
      <c r="AA136" s="191">
        <v>128</v>
      </c>
      <c r="AB136" s="191">
        <v>1059</v>
      </c>
      <c r="AC136" s="191">
        <v>1583</v>
      </c>
      <c r="AD136" s="191">
        <v>2883.5</v>
      </c>
      <c r="AE136" s="191">
        <v>15726.26</v>
      </c>
      <c r="AF136" s="191">
        <v>10207.9</v>
      </c>
      <c r="AG136" s="191">
        <v>2577.96</v>
      </c>
      <c r="AH136" s="191">
        <v>0</v>
      </c>
      <c r="AL136" s="144" t="s">
        <v>341</v>
      </c>
    </row>
    <row r="137" spans="1:38">
      <c r="A137" s="155" t="s">
        <v>303</v>
      </c>
      <c r="B137" t="s">
        <v>1282</v>
      </c>
      <c r="C137" t="s">
        <v>1283</v>
      </c>
      <c r="D137" t="s">
        <v>303</v>
      </c>
      <c r="E137" t="s">
        <v>208</v>
      </c>
      <c r="F137" t="s">
        <v>976</v>
      </c>
      <c r="G137">
        <v>60</v>
      </c>
      <c r="H137" s="189">
        <v>11.52172</v>
      </c>
      <c r="I137" s="67">
        <v>61.167000000000002</v>
      </c>
      <c r="J137" s="67">
        <v>142.892</v>
      </c>
      <c r="K137" s="67">
        <v>1500</v>
      </c>
      <c r="L137" s="67">
        <v>2555</v>
      </c>
      <c r="M137" s="67">
        <v>3725</v>
      </c>
      <c r="N137" s="67">
        <v>50</v>
      </c>
      <c r="O137" s="67">
        <v>0</v>
      </c>
      <c r="P137" s="67">
        <v>0</v>
      </c>
      <c r="Q137" s="67">
        <v>0</v>
      </c>
      <c r="R137" s="67">
        <v>0</v>
      </c>
      <c r="S137" s="190">
        <v>0</v>
      </c>
      <c r="T137" s="191"/>
      <c r="U137" s="193" t="s">
        <v>1250</v>
      </c>
      <c r="V137" s="191" t="s">
        <v>273</v>
      </c>
      <c r="W137" s="192"/>
      <c r="X137" s="191"/>
      <c r="Y137" s="191"/>
      <c r="Z137" s="191"/>
      <c r="AA137" s="191"/>
      <c r="AB137" s="191"/>
      <c r="AC137" s="191"/>
      <c r="AD137" s="191"/>
      <c r="AE137" s="191"/>
      <c r="AF137" s="191"/>
      <c r="AG137" s="191"/>
      <c r="AH137" s="191"/>
      <c r="AL137" s="144" t="s">
        <v>342</v>
      </c>
    </row>
    <row r="138" spans="1:38">
      <c r="A138" s="155" t="s">
        <v>303</v>
      </c>
      <c r="B138" t="s">
        <v>1282</v>
      </c>
      <c r="C138" t="s">
        <v>1284</v>
      </c>
      <c r="D138" t="s">
        <v>303</v>
      </c>
      <c r="E138" t="s">
        <v>207</v>
      </c>
      <c r="F138" t="s">
        <v>976</v>
      </c>
      <c r="G138">
        <v>60</v>
      </c>
      <c r="H138" s="189">
        <v>2153.3806</v>
      </c>
      <c r="I138" s="67">
        <v>850</v>
      </c>
      <c r="J138" s="67">
        <v>1690</v>
      </c>
      <c r="K138" s="67">
        <v>4515</v>
      </c>
      <c r="L138" s="67">
        <v>4554.567</v>
      </c>
      <c r="M138" s="67">
        <v>4933.3472400000001</v>
      </c>
      <c r="N138" s="67">
        <v>6067.60952</v>
      </c>
      <c r="O138" s="67">
        <v>150</v>
      </c>
      <c r="P138" s="67">
        <v>0</v>
      </c>
      <c r="Q138" s="67">
        <v>0</v>
      </c>
      <c r="R138" s="67">
        <v>0</v>
      </c>
      <c r="S138" s="190">
        <v>0</v>
      </c>
      <c r="T138" s="191"/>
      <c r="U138" s="193" t="s">
        <v>1252</v>
      </c>
      <c r="V138" s="191" t="s">
        <v>292</v>
      </c>
      <c r="W138" s="192">
        <v>6.25</v>
      </c>
      <c r="X138" s="191">
        <v>3341.6270399999999</v>
      </c>
      <c r="Y138" s="191">
        <v>511.46888999999999</v>
      </c>
      <c r="Z138" s="191">
        <v>2159.1790799999999</v>
      </c>
      <c r="AA138" s="191">
        <v>8577.2001600000003</v>
      </c>
      <c r="AB138" s="191">
        <v>6970.8935099999999</v>
      </c>
      <c r="AC138" s="191">
        <v>2278.8251399999999</v>
      </c>
      <c r="AD138" s="191">
        <v>2361.52124</v>
      </c>
      <c r="AE138" s="191">
        <v>0</v>
      </c>
      <c r="AF138" s="191">
        <v>0</v>
      </c>
      <c r="AG138" s="191">
        <v>0</v>
      </c>
      <c r="AH138" s="191">
        <v>0</v>
      </c>
      <c r="AL138" s="144" t="s">
        <v>343</v>
      </c>
    </row>
    <row r="139" spans="1:38">
      <c r="A139" s="155" t="s">
        <v>303</v>
      </c>
      <c r="B139" t="s">
        <v>1282</v>
      </c>
      <c r="C139" t="s">
        <v>1285</v>
      </c>
      <c r="D139" t="s">
        <v>1154</v>
      </c>
      <c r="E139" t="s">
        <v>208</v>
      </c>
      <c r="F139" t="s">
        <v>976</v>
      </c>
      <c r="G139">
        <v>60</v>
      </c>
      <c r="H139" s="189">
        <v>15.04224</v>
      </c>
      <c r="I139" s="67">
        <v>845.38699999999994</v>
      </c>
      <c r="J139" s="67">
        <v>2600</v>
      </c>
      <c r="K139" s="67">
        <v>3100</v>
      </c>
      <c r="L139" s="67">
        <v>4100</v>
      </c>
      <c r="M139" s="67">
        <v>4500</v>
      </c>
      <c r="N139" s="67">
        <v>6400</v>
      </c>
      <c r="O139" s="67">
        <v>4200</v>
      </c>
      <c r="P139" s="67">
        <v>600</v>
      </c>
      <c r="Q139" s="67">
        <v>50</v>
      </c>
      <c r="R139" s="67">
        <v>0</v>
      </c>
      <c r="S139" s="190">
        <v>0</v>
      </c>
      <c r="T139" s="191"/>
      <c r="U139" s="193" t="s">
        <v>1255</v>
      </c>
      <c r="V139" s="191" t="s">
        <v>235</v>
      </c>
      <c r="W139" s="192">
        <v>32.5</v>
      </c>
      <c r="X139" s="191">
        <v>0</v>
      </c>
      <c r="Y139" s="191">
        <v>0</v>
      </c>
      <c r="Z139" s="191">
        <v>0</v>
      </c>
      <c r="AA139" s="191">
        <v>0</v>
      </c>
      <c r="AB139" s="191">
        <v>616.55100000000004</v>
      </c>
      <c r="AC139" s="191">
        <v>3596.623</v>
      </c>
      <c r="AD139" s="191">
        <v>2563.4430000000002</v>
      </c>
      <c r="AE139" s="191">
        <v>1442.4839999999999</v>
      </c>
      <c r="AF139" s="191">
        <v>9579.1859999999997</v>
      </c>
      <c r="AG139" s="191">
        <v>9579.1859999999997</v>
      </c>
      <c r="AH139" s="191">
        <v>5793.8620000000001</v>
      </c>
      <c r="AL139" s="144" t="s">
        <v>345</v>
      </c>
    </row>
    <row r="140" spans="1:38">
      <c r="A140" s="155" t="s">
        <v>362</v>
      </c>
      <c r="B140" t="s">
        <v>1286</v>
      </c>
      <c r="C140" t="s">
        <v>1287</v>
      </c>
      <c r="D140" t="s">
        <v>362</v>
      </c>
      <c r="E140" t="s">
        <v>208</v>
      </c>
      <c r="F140" t="s">
        <v>979</v>
      </c>
      <c r="G140">
        <v>12</v>
      </c>
      <c r="H140" s="189">
        <v>0</v>
      </c>
      <c r="I140" s="67">
        <v>0</v>
      </c>
      <c r="J140" s="67">
        <v>0</v>
      </c>
      <c r="K140" s="67">
        <v>0</v>
      </c>
      <c r="L140" s="67">
        <v>0</v>
      </c>
      <c r="M140" s="67">
        <v>0</v>
      </c>
      <c r="N140" s="67">
        <v>0</v>
      </c>
      <c r="O140" s="67">
        <v>0</v>
      </c>
      <c r="P140" s="67">
        <v>2299.77</v>
      </c>
      <c r="Q140" s="67">
        <v>8844.66</v>
      </c>
      <c r="R140" s="67">
        <v>10285.11</v>
      </c>
      <c r="S140" s="190">
        <v>0</v>
      </c>
      <c r="T140" s="191"/>
      <c r="U140" s="193" t="s">
        <v>1258</v>
      </c>
      <c r="V140" s="191" t="s">
        <v>262</v>
      </c>
      <c r="W140" s="192">
        <v>40</v>
      </c>
      <c r="X140" s="191">
        <v>0</v>
      </c>
      <c r="Y140" s="191">
        <v>0</v>
      </c>
      <c r="Z140" s="191">
        <v>0</v>
      </c>
      <c r="AA140" s="191">
        <v>0</v>
      </c>
      <c r="AB140" s="191">
        <v>857.45600000000002</v>
      </c>
      <c r="AC140" s="191">
        <v>4291.0630000000001</v>
      </c>
      <c r="AD140" s="191">
        <v>3869.3589999999999</v>
      </c>
      <c r="AE140" s="191">
        <v>1246</v>
      </c>
      <c r="AF140" s="191">
        <v>577.5</v>
      </c>
      <c r="AG140" s="191">
        <v>8275.0439999999999</v>
      </c>
      <c r="AH140" s="191">
        <v>5004.9560000000001</v>
      </c>
      <c r="AL140" s="144" t="s">
        <v>346</v>
      </c>
    </row>
    <row r="141" spans="1:38">
      <c r="A141" s="155" t="s">
        <v>357</v>
      </c>
      <c r="B141" t="s">
        <v>1288</v>
      </c>
      <c r="C141" t="s">
        <v>1289</v>
      </c>
      <c r="D141" t="s">
        <v>357</v>
      </c>
      <c r="E141" t="s">
        <v>208</v>
      </c>
      <c r="F141" t="s">
        <v>979</v>
      </c>
      <c r="G141">
        <v>14</v>
      </c>
      <c r="H141" s="189">
        <v>0</v>
      </c>
      <c r="I141" s="67">
        <v>0</v>
      </c>
      <c r="J141" s="67">
        <v>0</v>
      </c>
      <c r="K141" s="67">
        <v>0</v>
      </c>
      <c r="L141" s="67">
        <v>0</v>
      </c>
      <c r="M141" s="67">
        <v>0</v>
      </c>
      <c r="N141" s="67">
        <v>0</v>
      </c>
      <c r="O141" s="67">
        <v>4803</v>
      </c>
      <c r="P141" s="67">
        <v>821.7</v>
      </c>
      <c r="Q141" s="67">
        <v>3159.09</v>
      </c>
      <c r="R141" s="67">
        <v>4754.97</v>
      </c>
      <c r="S141" s="190">
        <v>0</v>
      </c>
      <c r="T141" s="191"/>
      <c r="U141" s="191" t="s">
        <v>1261</v>
      </c>
      <c r="V141" s="191" t="s">
        <v>228</v>
      </c>
      <c r="W141" s="192"/>
      <c r="X141" s="191"/>
      <c r="Y141" s="191"/>
      <c r="Z141" s="191"/>
      <c r="AA141" s="191"/>
      <c r="AB141" s="191"/>
      <c r="AC141" s="191"/>
      <c r="AD141" s="191"/>
      <c r="AE141" s="191"/>
      <c r="AF141" s="191"/>
      <c r="AG141" s="191"/>
      <c r="AH141" s="191"/>
      <c r="AL141" s="144" t="s">
        <v>349</v>
      </c>
    </row>
    <row r="142" spans="1:38">
      <c r="A142" s="155" t="s">
        <v>230</v>
      </c>
      <c r="B142" t="s">
        <v>1291</v>
      </c>
      <c r="C142" t="s">
        <v>1292</v>
      </c>
      <c r="D142" t="s">
        <v>230</v>
      </c>
      <c r="E142" t="s">
        <v>208</v>
      </c>
      <c r="F142" t="s">
        <v>976</v>
      </c>
      <c r="G142">
        <v>10</v>
      </c>
      <c r="H142" s="189">
        <v>0</v>
      </c>
      <c r="I142" s="67">
        <v>0</v>
      </c>
      <c r="J142" s="67">
        <v>0</v>
      </c>
      <c r="K142" s="67">
        <v>0</v>
      </c>
      <c r="L142" s="67">
        <v>0</v>
      </c>
      <c r="M142" s="67">
        <v>0</v>
      </c>
      <c r="N142" s="67">
        <v>126.72</v>
      </c>
      <c r="O142" s="67">
        <v>1048.4100000000001</v>
      </c>
      <c r="P142" s="67">
        <v>606.87</v>
      </c>
      <c r="Q142" s="67">
        <v>906</v>
      </c>
      <c r="R142" s="67">
        <v>0</v>
      </c>
      <c r="S142" s="190">
        <v>0</v>
      </c>
      <c r="T142" s="191"/>
      <c r="U142" s="193" t="s">
        <v>1262</v>
      </c>
      <c r="V142" s="191" t="s">
        <v>354</v>
      </c>
      <c r="W142" s="192">
        <v>57.6</v>
      </c>
      <c r="X142" s="191">
        <v>0</v>
      </c>
      <c r="Y142" s="191">
        <v>510</v>
      </c>
      <c r="Z142" s="191">
        <v>1190</v>
      </c>
      <c r="AA142" s="191">
        <v>4900</v>
      </c>
      <c r="AB142" s="191">
        <v>950</v>
      </c>
      <c r="AC142" s="191">
        <v>0</v>
      </c>
      <c r="AD142" s="191">
        <v>0</v>
      </c>
      <c r="AE142" s="191">
        <v>0</v>
      </c>
      <c r="AF142" s="191">
        <v>0</v>
      </c>
      <c r="AG142" s="191">
        <v>0</v>
      </c>
      <c r="AH142" s="191">
        <v>0</v>
      </c>
      <c r="AL142" s="144" t="s">
        <v>350</v>
      </c>
    </row>
    <row r="143" spans="1:38">
      <c r="A143" s="155" t="s">
        <v>254</v>
      </c>
      <c r="B143" t="s">
        <v>1294</v>
      </c>
      <c r="C143" t="s">
        <v>1295</v>
      </c>
      <c r="D143" t="s">
        <v>254</v>
      </c>
      <c r="E143" t="s">
        <v>208</v>
      </c>
      <c r="F143" t="s">
        <v>979</v>
      </c>
      <c r="G143">
        <v>5</v>
      </c>
      <c r="H143" s="189">
        <v>55.26444</v>
      </c>
      <c r="I143" s="67">
        <v>568.50001999999995</v>
      </c>
      <c r="J143" s="67">
        <v>4510.3450400000002</v>
      </c>
      <c r="K143" s="67">
        <v>0</v>
      </c>
      <c r="L143" s="67">
        <v>0</v>
      </c>
      <c r="M143" s="67">
        <v>0</v>
      </c>
      <c r="N143" s="67">
        <v>0</v>
      </c>
      <c r="O143" s="67">
        <v>0</v>
      </c>
      <c r="P143" s="67">
        <v>0</v>
      </c>
      <c r="Q143" s="67">
        <v>0</v>
      </c>
      <c r="R143" s="67">
        <v>0</v>
      </c>
      <c r="S143" s="190">
        <v>0</v>
      </c>
      <c r="T143" s="191"/>
      <c r="U143" s="191" t="s">
        <v>1265</v>
      </c>
      <c r="V143" s="191" t="s">
        <v>238</v>
      </c>
      <c r="W143" s="192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L143" s="144" t="s">
        <v>352</v>
      </c>
    </row>
    <row r="144" spans="1:38">
      <c r="A144" s="155" t="s">
        <v>254</v>
      </c>
      <c r="B144" t="s">
        <v>1294</v>
      </c>
      <c r="C144" t="s">
        <v>1296</v>
      </c>
      <c r="D144" t="s">
        <v>254</v>
      </c>
      <c r="E144" t="s">
        <v>208</v>
      </c>
      <c r="F144" t="s">
        <v>979</v>
      </c>
      <c r="G144">
        <v>5</v>
      </c>
      <c r="H144" s="189">
        <v>0</v>
      </c>
      <c r="I144" s="67">
        <v>0</v>
      </c>
      <c r="J144" s="67">
        <v>0</v>
      </c>
      <c r="K144" s="67">
        <v>0</v>
      </c>
      <c r="L144" s="67">
        <v>0</v>
      </c>
      <c r="M144" s="67">
        <v>165.917</v>
      </c>
      <c r="N144" s="67">
        <v>638.14099999999996</v>
      </c>
      <c r="O144" s="67">
        <v>2543.1190000000001</v>
      </c>
      <c r="P144" s="67">
        <v>162.59800000000001</v>
      </c>
      <c r="Q144" s="67">
        <v>0</v>
      </c>
      <c r="R144" s="67">
        <v>0</v>
      </c>
      <c r="S144" s="190">
        <v>0</v>
      </c>
      <c r="T144" s="191"/>
      <c r="U144" s="193" t="s">
        <v>1535</v>
      </c>
      <c r="V144" s="191" t="s">
        <v>313</v>
      </c>
      <c r="W144" s="192">
        <v>0.65</v>
      </c>
      <c r="X144" s="191">
        <v>0</v>
      </c>
      <c r="Y144" s="191">
        <v>0</v>
      </c>
      <c r="Z144" s="191">
        <v>0</v>
      </c>
      <c r="AA144" s="191">
        <v>0</v>
      </c>
      <c r="AB144" s="191">
        <v>0</v>
      </c>
      <c r="AC144" s="191">
        <v>0</v>
      </c>
      <c r="AD144" s="191">
        <v>0</v>
      </c>
      <c r="AE144" s="191">
        <v>0</v>
      </c>
      <c r="AF144" s="191">
        <v>328</v>
      </c>
      <c r="AG144" s="191">
        <v>1262</v>
      </c>
      <c r="AH144" s="191">
        <v>1468</v>
      </c>
      <c r="AL144" s="144" t="s">
        <v>353</v>
      </c>
    </row>
    <row r="145" spans="1:38">
      <c r="A145" s="155" t="s">
        <v>254</v>
      </c>
      <c r="B145" t="s">
        <v>1294</v>
      </c>
      <c r="C145" t="s">
        <v>1297</v>
      </c>
      <c r="D145" t="s">
        <v>254</v>
      </c>
      <c r="E145" t="s">
        <v>207</v>
      </c>
      <c r="F145" t="s">
        <v>979</v>
      </c>
      <c r="G145">
        <v>5</v>
      </c>
      <c r="H145" s="189">
        <v>0</v>
      </c>
      <c r="I145" s="67">
        <v>0</v>
      </c>
      <c r="J145" s="67">
        <v>0</v>
      </c>
      <c r="K145" s="67">
        <v>0</v>
      </c>
      <c r="L145" s="67">
        <v>0</v>
      </c>
      <c r="M145" s="67">
        <v>0</v>
      </c>
      <c r="N145" s="67">
        <v>0</v>
      </c>
      <c r="O145" s="67">
        <v>0</v>
      </c>
      <c r="P145" s="67">
        <v>514.524</v>
      </c>
      <c r="Q145" s="67">
        <v>0</v>
      </c>
      <c r="R145" s="67">
        <v>0</v>
      </c>
      <c r="S145" s="190">
        <v>0</v>
      </c>
      <c r="T145" s="191"/>
      <c r="U145" s="193" t="s">
        <v>1463</v>
      </c>
      <c r="V145" s="191" t="s">
        <v>231</v>
      </c>
      <c r="W145" s="192">
        <v>1</v>
      </c>
      <c r="X145" s="191">
        <v>0</v>
      </c>
      <c r="Y145" s="191">
        <v>0</v>
      </c>
      <c r="Z145" s="191">
        <v>0</v>
      </c>
      <c r="AA145" s="191">
        <v>0</v>
      </c>
      <c r="AB145" s="191">
        <v>172</v>
      </c>
      <c r="AC145" s="191">
        <v>662</v>
      </c>
      <c r="AD145" s="191">
        <v>769</v>
      </c>
      <c r="AE145" s="191">
        <v>0</v>
      </c>
      <c r="AF145" s="191">
        <v>0</v>
      </c>
      <c r="AG145" s="191">
        <v>0</v>
      </c>
      <c r="AH145" s="191">
        <v>0</v>
      </c>
      <c r="AL145" s="144" t="s">
        <v>354</v>
      </c>
    </row>
    <row r="146" spans="1:38">
      <c r="A146" s="155" t="s">
        <v>335</v>
      </c>
      <c r="B146" t="s">
        <v>1308</v>
      </c>
      <c r="C146" t="s">
        <v>1309</v>
      </c>
      <c r="D146" t="s">
        <v>335</v>
      </c>
      <c r="E146" t="s">
        <v>207</v>
      </c>
      <c r="F146" t="s">
        <v>979</v>
      </c>
      <c r="G146">
        <v>13</v>
      </c>
      <c r="H146" s="189">
        <v>0</v>
      </c>
      <c r="I146" s="67">
        <v>0</v>
      </c>
      <c r="J146" s="67">
        <v>0</v>
      </c>
      <c r="K146" s="67">
        <v>20</v>
      </c>
      <c r="L146" s="67">
        <v>1150.298</v>
      </c>
      <c r="M146" s="67">
        <v>0</v>
      </c>
      <c r="N146" s="67">
        <v>0</v>
      </c>
      <c r="O146" s="67">
        <v>0</v>
      </c>
      <c r="P146" s="67">
        <v>0</v>
      </c>
      <c r="Q146" s="67">
        <v>0</v>
      </c>
      <c r="R146" s="67">
        <v>0</v>
      </c>
      <c r="S146" s="190">
        <v>0</v>
      </c>
      <c r="T146" s="191"/>
      <c r="U146" s="193" t="s">
        <v>1497</v>
      </c>
      <c r="V146" s="191" t="s">
        <v>233</v>
      </c>
      <c r="W146" s="192">
        <v>40</v>
      </c>
      <c r="X146" s="191">
        <v>0</v>
      </c>
      <c r="Y146" s="191">
        <v>2300</v>
      </c>
      <c r="Z146" s="191">
        <v>850</v>
      </c>
      <c r="AA146" s="191">
        <v>5100</v>
      </c>
      <c r="AB146" s="191">
        <v>7670</v>
      </c>
      <c r="AC146" s="191">
        <v>5850</v>
      </c>
      <c r="AD146" s="191">
        <v>1000</v>
      </c>
      <c r="AE146" s="191">
        <v>0</v>
      </c>
      <c r="AF146" s="191">
        <v>0</v>
      </c>
      <c r="AG146" s="191">
        <v>0</v>
      </c>
      <c r="AH146" s="191">
        <v>0</v>
      </c>
      <c r="AL146" s="144" t="s">
        <v>355</v>
      </c>
    </row>
    <row r="147" spans="1:38">
      <c r="A147" s="155" t="s">
        <v>335</v>
      </c>
      <c r="B147" t="s">
        <v>1308</v>
      </c>
      <c r="C147" t="s">
        <v>1310</v>
      </c>
      <c r="D147" t="s">
        <v>326</v>
      </c>
      <c r="E147" t="s">
        <v>208</v>
      </c>
      <c r="F147" t="s">
        <v>979</v>
      </c>
      <c r="G147">
        <v>13</v>
      </c>
      <c r="H147" s="189">
        <v>0</v>
      </c>
      <c r="I147" s="67">
        <v>0</v>
      </c>
      <c r="J147" s="67">
        <v>0</v>
      </c>
      <c r="K147" s="67">
        <v>0</v>
      </c>
      <c r="L147" s="67">
        <v>220</v>
      </c>
      <c r="M147" s="67">
        <v>630</v>
      </c>
      <c r="N147" s="67">
        <v>1527</v>
      </c>
      <c r="O147" s="67">
        <v>115</v>
      </c>
      <c r="P147" s="67">
        <v>0</v>
      </c>
      <c r="Q147" s="67">
        <v>0</v>
      </c>
      <c r="R147" s="67">
        <v>0</v>
      </c>
      <c r="S147" s="190">
        <v>0</v>
      </c>
      <c r="T147" s="191"/>
      <c r="U147" s="193" t="s">
        <v>1496</v>
      </c>
      <c r="V147" s="191" t="s">
        <v>233</v>
      </c>
      <c r="W147" s="192">
        <v>40</v>
      </c>
      <c r="X147" s="191">
        <v>0</v>
      </c>
      <c r="Y147" s="191">
        <v>120</v>
      </c>
      <c r="Z147" s="191">
        <v>275</v>
      </c>
      <c r="AA147" s="191">
        <v>1190</v>
      </c>
      <c r="AB147" s="191">
        <v>5700</v>
      </c>
      <c r="AC147" s="191">
        <v>5750</v>
      </c>
      <c r="AD147" s="191">
        <v>500</v>
      </c>
      <c r="AE147" s="191">
        <v>0</v>
      </c>
      <c r="AF147" s="191">
        <v>0</v>
      </c>
      <c r="AG147" s="191">
        <v>0</v>
      </c>
      <c r="AH147" s="191">
        <v>0</v>
      </c>
      <c r="AL147" s="144" t="s">
        <v>356</v>
      </c>
    </row>
    <row r="148" spans="1:38">
      <c r="A148" s="155" t="s">
        <v>335</v>
      </c>
      <c r="B148" t="s">
        <v>1308</v>
      </c>
      <c r="C148" t="s">
        <v>1311</v>
      </c>
      <c r="D148" t="s">
        <v>347</v>
      </c>
      <c r="E148" t="s">
        <v>208</v>
      </c>
      <c r="F148" t="s">
        <v>979</v>
      </c>
      <c r="G148">
        <v>13</v>
      </c>
      <c r="H148" s="189">
        <v>0</v>
      </c>
      <c r="I148" s="67">
        <v>0</v>
      </c>
      <c r="J148" s="67">
        <v>0</v>
      </c>
      <c r="K148" s="67">
        <v>0</v>
      </c>
      <c r="L148" s="67">
        <v>0</v>
      </c>
      <c r="M148" s="67">
        <v>26.03</v>
      </c>
      <c r="N148" s="67">
        <v>99.75</v>
      </c>
      <c r="O148" s="67">
        <v>3440.71</v>
      </c>
      <c r="P148" s="67">
        <v>254.41</v>
      </c>
      <c r="Q148" s="67">
        <v>0</v>
      </c>
      <c r="R148" s="67">
        <v>0</v>
      </c>
      <c r="S148" s="190">
        <v>0</v>
      </c>
      <c r="T148" s="191"/>
      <c r="U148" s="193" t="s">
        <v>1491</v>
      </c>
      <c r="V148" s="191" t="s">
        <v>264</v>
      </c>
      <c r="W148" s="192">
        <v>40</v>
      </c>
      <c r="X148" s="191">
        <v>0</v>
      </c>
      <c r="Y148" s="191">
        <v>1200</v>
      </c>
      <c r="Z148" s="191">
        <v>1100</v>
      </c>
      <c r="AA148" s="191">
        <v>2700</v>
      </c>
      <c r="AB148" s="191">
        <v>7600</v>
      </c>
      <c r="AC148" s="191">
        <v>6900</v>
      </c>
      <c r="AD148" s="191">
        <v>1000</v>
      </c>
      <c r="AE148" s="191">
        <v>0</v>
      </c>
      <c r="AF148" s="191">
        <v>0</v>
      </c>
      <c r="AG148" s="191">
        <v>0</v>
      </c>
      <c r="AH148" s="191">
        <v>0</v>
      </c>
      <c r="AL148" s="144" t="s">
        <v>250</v>
      </c>
    </row>
    <row r="149" spans="1:38">
      <c r="A149" s="155" t="s">
        <v>355</v>
      </c>
      <c r="B149" t="s">
        <v>1312</v>
      </c>
      <c r="C149" t="s">
        <v>1313</v>
      </c>
      <c r="D149" t="s">
        <v>355</v>
      </c>
      <c r="E149" t="s">
        <v>208</v>
      </c>
      <c r="F149" t="s">
        <v>976</v>
      </c>
      <c r="G149">
        <v>48.2</v>
      </c>
      <c r="H149" s="189">
        <v>0</v>
      </c>
      <c r="I149" s="67">
        <v>0</v>
      </c>
      <c r="J149" s="67">
        <v>0</v>
      </c>
      <c r="K149" s="67">
        <v>0</v>
      </c>
      <c r="L149" s="67">
        <v>500</v>
      </c>
      <c r="M149" s="67">
        <v>3647</v>
      </c>
      <c r="N149" s="67">
        <v>6093</v>
      </c>
      <c r="O149" s="67">
        <v>6093</v>
      </c>
      <c r="P149" s="67">
        <v>6093</v>
      </c>
      <c r="Q149" s="67">
        <v>6093</v>
      </c>
      <c r="R149" s="67">
        <v>2730</v>
      </c>
      <c r="S149" s="190">
        <v>0</v>
      </c>
      <c r="T149" s="191"/>
      <c r="U149" s="193" t="s">
        <v>1490</v>
      </c>
      <c r="V149" s="191" t="s">
        <v>264</v>
      </c>
      <c r="W149" s="192">
        <v>40</v>
      </c>
      <c r="X149" s="191">
        <v>0</v>
      </c>
      <c r="Y149" s="191">
        <v>125.00000000000003</v>
      </c>
      <c r="Z149" s="191">
        <v>250</v>
      </c>
      <c r="AA149" s="191">
        <v>870</v>
      </c>
      <c r="AB149" s="191">
        <v>5120</v>
      </c>
      <c r="AC149" s="191">
        <v>5160</v>
      </c>
      <c r="AD149" s="191">
        <v>500</v>
      </c>
      <c r="AE149" s="191">
        <v>0</v>
      </c>
      <c r="AF149" s="191">
        <v>0</v>
      </c>
      <c r="AG149" s="191">
        <v>0</v>
      </c>
      <c r="AH149" s="191">
        <v>0</v>
      </c>
      <c r="AL149" s="144" t="s">
        <v>357</v>
      </c>
    </row>
    <row r="150" spans="1:38">
      <c r="A150" s="155" t="s">
        <v>355</v>
      </c>
      <c r="B150" t="s">
        <v>1312</v>
      </c>
      <c r="C150" t="s">
        <v>1314</v>
      </c>
      <c r="D150" t="s">
        <v>355</v>
      </c>
      <c r="E150" t="s">
        <v>207</v>
      </c>
      <c r="F150" t="s">
        <v>976</v>
      </c>
      <c r="G150">
        <v>48.2</v>
      </c>
      <c r="H150" s="189">
        <v>0</v>
      </c>
      <c r="I150" s="67">
        <v>0</v>
      </c>
      <c r="J150" s="67">
        <v>0</v>
      </c>
      <c r="K150" s="67">
        <v>0</v>
      </c>
      <c r="L150" s="67">
        <v>120</v>
      </c>
      <c r="M150" s="67">
        <v>1220</v>
      </c>
      <c r="N150" s="67">
        <v>580</v>
      </c>
      <c r="O150" s="67">
        <v>1047</v>
      </c>
      <c r="P150" s="67">
        <v>5580</v>
      </c>
      <c r="Q150" s="67">
        <v>5580</v>
      </c>
      <c r="R150" s="67">
        <v>3000</v>
      </c>
      <c r="S150" s="190">
        <v>0</v>
      </c>
      <c r="T150" s="191"/>
      <c r="U150" s="193" t="s">
        <v>1495</v>
      </c>
      <c r="V150" s="191" t="s">
        <v>271</v>
      </c>
      <c r="W150" s="192">
        <v>25</v>
      </c>
      <c r="X150" s="191">
        <v>0</v>
      </c>
      <c r="Y150" s="191">
        <v>2300</v>
      </c>
      <c r="Z150" s="191">
        <v>850</v>
      </c>
      <c r="AA150" s="191">
        <v>5100</v>
      </c>
      <c r="AB150" s="191">
        <v>7100</v>
      </c>
      <c r="AC150" s="191">
        <v>5850</v>
      </c>
      <c r="AD150" s="191">
        <v>1000</v>
      </c>
      <c r="AE150" s="191">
        <v>0</v>
      </c>
      <c r="AF150" s="191">
        <v>0</v>
      </c>
      <c r="AG150" s="191">
        <v>0</v>
      </c>
      <c r="AH150" s="191">
        <v>0</v>
      </c>
      <c r="AL150" s="144" t="s">
        <v>358</v>
      </c>
    </row>
    <row r="151" spans="1:38">
      <c r="A151" s="196" t="s">
        <v>281</v>
      </c>
      <c r="B151" t="s">
        <v>1315</v>
      </c>
      <c r="C151" t="s">
        <v>1316</v>
      </c>
      <c r="D151" t="s">
        <v>1317</v>
      </c>
      <c r="E151" t="s">
        <v>208</v>
      </c>
      <c r="F151" t="s">
        <v>976</v>
      </c>
      <c r="G151">
        <v>15</v>
      </c>
      <c r="H151" s="189">
        <v>0</v>
      </c>
      <c r="I151" s="67">
        <v>0</v>
      </c>
      <c r="J151" s="67">
        <v>0</v>
      </c>
      <c r="K151" s="67">
        <v>0</v>
      </c>
      <c r="L151" s="67">
        <v>323.34100000000001</v>
      </c>
      <c r="M151" s="67">
        <v>0</v>
      </c>
      <c r="N151" s="67">
        <v>0</v>
      </c>
      <c r="O151" s="67">
        <v>0</v>
      </c>
      <c r="P151" s="67">
        <v>0</v>
      </c>
      <c r="Q151" s="67">
        <v>0</v>
      </c>
      <c r="R151" s="67">
        <v>0</v>
      </c>
      <c r="S151" s="190">
        <v>0</v>
      </c>
      <c r="T151" s="191"/>
      <c r="U151" s="193" t="s">
        <v>1494</v>
      </c>
      <c r="V151" s="191" t="s">
        <v>271</v>
      </c>
      <c r="W151" s="192">
        <v>22</v>
      </c>
      <c r="X151" s="191">
        <v>0</v>
      </c>
      <c r="Y151" s="191">
        <v>120</v>
      </c>
      <c r="Z151" s="191">
        <v>220</v>
      </c>
      <c r="AA151" s="191">
        <v>1580</v>
      </c>
      <c r="AB151" s="191">
        <v>7150</v>
      </c>
      <c r="AC151" s="191">
        <v>3040</v>
      </c>
      <c r="AD151" s="191">
        <v>500</v>
      </c>
      <c r="AE151" s="191">
        <v>0</v>
      </c>
      <c r="AF151" s="191">
        <v>0</v>
      </c>
      <c r="AG151" s="191">
        <v>0</v>
      </c>
      <c r="AH151" s="191">
        <v>0</v>
      </c>
      <c r="AL151" s="144" t="s">
        <v>359</v>
      </c>
    </row>
    <row r="152" spans="1:38">
      <c r="A152" s="196" t="s">
        <v>281</v>
      </c>
      <c r="B152" t="s">
        <v>1315</v>
      </c>
      <c r="C152" t="s">
        <v>1318</v>
      </c>
      <c r="D152" t="s">
        <v>1319</v>
      </c>
      <c r="E152" t="s">
        <v>208</v>
      </c>
      <c r="F152" t="s">
        <v>976</v>
      </c>
      <c r="G152">
        <v>15</v>
      </c>
      <c r="H152" s="189">
        <v>761.77488000000005</v>
      </c>
      <c r="I152" s="67">
        <v>0</v>
      </c>
      <c r="J152" s="67">
        <v>0</v>
      </c>
      <c r="K152" s="67">
        <v>0</v>
      </c>
      <c r="L152" s="67">
        <v>0</v>
      </c>
      <c r="M152" s="67">
        <v>0</v>
      </c>
      <c r="N152" s="67">
        <v>0</v>
      </c>
      <c r="O152" s="67">
        <v>0</v>
      </c>
      <c r="P152" s="67">
        <v>1515.2231400000001</v>
      </c>
      <c r="Q152" s="67">
        <v>0</v>
      </c>
      <c r="R152" s="67">
        <v>0</v>
      </c>
      <c r="S152" s="190">
        <v>0</v>
      </c>
      <c r="T152" s="191"/>
      <c r="U152" s="193" t="s">
        <v>1493</v>
      </c>
      <c r="V152" s="191" t="s">
        <v>236</v>
      </c>
      <c r="W152" s="192">
        <v>25</v>
      </c>
      <c r="X152" s="191">
        <v>0</v>
      </c>
      <c r="Y152" s="191">
        <v>2300</v>
      </c>
      <c r="Z152" s="191">
        <v>850</v>
      </c>
      <c r="AA152" s="191">
        <v>5100</v>
      </c>
      <c r="AB152" s="191">
        <v>8500</v>
      </c>
      <c r="AC152" s="191">
        <v>5300</v>
      </c>
      <c r="AD152" s="191">
        <v>1000</v>
      </c>
      <c r="AE152" s="191">
        <v>0</v>
      </c>
      <c r="AF152" s="191">
        <v>0</v>
      </c>
      <c r="AG152" s="191">
        <v>0</v>
      </c>
      <c r="AH152" s="191">
        <v>0</v>
      </c>
      <c r="AL152" s="144" t="s">
        <v>360</v>
      </c>
    </row>
    <row r="153" spans="1:38">
      <c r="A153" s="197" t="s">
        <v>220</v>
      </c>
      <c r="B153" t="s">
        <v>1320</v>
      </c>
      <c r="C153" t="s">
        <v>1321</v>
      </c>
      <c r="D153" t="s">
        <v>212</v>
      </c>
      <c r="E153" t="s">
        <v>208</v>
      </c>
      <c r="F153" t="s">
        <v>979</v>
      </c>
      <c r="G153">
        <v>40</v>
      </c>
      <c r="H153" s="189">
        <v>0</v>
      </c>
      <c r="I153" s="67">
        <v>80</v>
      </c>
      <c r="J153" s="67">
        <v>240</v>
      </c>
      <c r="K153" s="67">
        <v>680</v>
      </c>
      <c r="L153" s="67">
        <v>690</v>
      </c>
      <c r="M153" s="67">
        <v>5301.7735599999996</v>
      </c>
      <c r="N153" s="67">
        <v>8660.18325</v>
      </c>
      <c r="O153" s="67">
        <v>4912.0931899999996</v>
      </c>
      <c r="P153" s="67">
        <v>0</v>
      </c>
      <c r="Q153" s="67">
        <v>0</v>
      </c>
      <c r="R153" s="67">
        <v>0</v>
      </c>
      <c r="S153" s="190">
        <v>0</v>
      </c>
      <c r="T153" s="191"/>
      <c r="U153" s="193" t="s">
        <v>1492</v>
      </c>
      <c r="V153" s="191" t="s">
        <v>236</v>
      </c>
      <c r="W153" s="192">
        <v>22</v>
      </c>
      <c r="X153" s="191">
        <v>0</v>
      </c>
      <c r="Y153" s="191">
        <v>120</v>
      </c>
      <c r="Z153" s="191">
        <v>220</v>
      </c>
      <c r="AA153" s="191">
        <v>1070</v>
      </c>
      <c r="AB153" s="191">
        <v>7450</v>
      </c>
      <c r="AC153" s="191">
        <v>1990</v>
      </c>
      <c r="AD153" s="191">
        <v>500</v>
      </c>
      <c r="AE153" s="191">
        <v>0</v>
      </c>
      <c r="AF153" s="191">
        <v>0</v>
      </c>
      <c r="AG153" s="191">
        <v>0</v>
      </c>
      <c r="AH153" s="191">
        <v>0</v>
      </c>
      <c r="AL153" s="144" t="s">
        <v>361</v>
      </c>
    </row>
    <row r="154" spans="1:38">
      <c r="A154" s="155" t="s">
        <v>224</v>
      </c>
      <c r="B154" t="s">
        <v>1323</v>
      </c>
      <c r="C154" t="s">
        <v>1324</v>
      </c>
      <c r="D154" t="s">
        <v>224</v>
      </c>
      <c r="E154" t="s">
        <v>207</v>
      </c>
      <c r="F154" t="s">
        <v>979</v>
      </c>
      <c r="G154">
        <v>26.5</v>
      </c>
      <c r="H154" s="189">
        <v>0</v>
      </c>
      <c r="I154" s="67">
        <v>0</v>
      </c>
      <c r="J154" s="67">
        <v>0</v>
      </c>
      <c r="K154" s="67">
        <v>0</v>
      </c>
      <c r="L154" s="67">
        <v>99.999960000000002</v>
      </c>
      <c r="M154" s="67">
        <v>3900</v>
      </c>
      <c r="N154" s="67">
        <v>4439.04</v>
      </c>
      <c r="O154" s="67">
        <v>0</v>
      </c>
      <c r="P154" s="67">
        <v>0</v>
      </c>
      <c r="Q154" s="67">
        <v>0</v>
      </c>
      <c r="R154" s="67">
        <v>0</v>
      </c>
      <c r="S154" s="190">
        <v>0</v>
      </c>
      <c r="T154" s="191"/>
      <c r="U154" s="191" t="s">
        <v>1266</v>
      </c>
      <c r="V154" s="191" t="s">
        <v>327</v>
      </c>
      <c r="W154" s="192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191"/>
      <c r="AL154" s="144" t="s">
        <v>362</v>
      </c>
    </row>
    <row r="155" spans="1:38">
      <c r="A155" s="195" t="s">
        <v>251</v>
      </c>
      <c r="B155" t="s">
        <v>1325</v>
      </c>
      <c r="C155" t="s">
        <v>1326</v>
      </c>
      <c r="D155" t="s">
        <v>321</v>
      </c>
      <c r="E155" t="s">
        <v>207</v>
      </c>
      <c r="F155" t="s">
        <v>1327</v>
      </c>
      <c r="G155">
        <v>19.899999999999999</v>
      </c>
      <c r="H155" s="189">
        <v>0</v>
      </c>
      <c r="I155" s="67">
        <v>0</v>
      </c>
      <c r="J155" s="67">
        <v>0</v>
      </c>
      <c r="K155" s="67">
        <v>55.817999999999998</v>
      </c>
      <c r="L155" s="67">
        <v>741.029</v>
      </c>
      <c r="M155" s="67">
        <v>267.54000000000002</v>
      </c>
      <c r="N155" s="67">
        <v>661.15200000000004</v>
      </c>
      <c r="O155" s="67">
        <v>4389.875</v>
      </c>
      <c r="P155" s="67">
        <v>4389.875</v>
      </c>
      <c r="Q155" s="67">
        <v>2655.1930000000002</v>
      </c>
      <c r="R155" s="67">
        <v>0</v>
      </c>
      <c r="S155" s="190">
        <v>0</v>
      </c>
      <c r="T155" s="191"/>
      <c r="U155" s="193" t="s">
        <v>1267</v>
      </c>
      <c r="V155" s="191" t="s">
        <v>261</v>
      </c>
      <c r="W155" s="192"/>
      <c r="X155" s="191"/>
      <c r="Y155" s="191"/>
      <c r="Z155" s="191"/>
      <c r="AA155" s="191"/>
      <c r="AB155" s="191"/>
      <c r="AC155" s="191"/>
      <c r="AD155" s="191"/>
      <c r="AE155" s="191"/>
      <c r="AF155" s="191"/>
      <c r="AG155" s="191"/>
      <c r="AH155" s="191"/>
      <c r="AL155" s="144" t="s">
        <v>363</v>
      </c>
    </row>
    <row r="156" spans="1:38">
      <c r="A156" s="155" t="s">
        <v>229</v>
      </c>
      <c r="B156" t="s">
        <v>1328</v>
      </c>
      <c r="C156" t="s">
        <v>1329</v>
      </c>
      <c r="D156" t="s">
        <v>229</v>
      </c>
      <c r="E156" t="s">
        <v>207</v>
      </c>
      <c r="F156" t="s">
        <v>979</v>
      </c>
      <c r="G156">
        <v>40</v>
      </c>
      <c r="H156" s="189">
        <v>0</v>
      </c>
      <c r="I156" s="67">
        <v>0</v>
      </c>
      <c r="J156" s="67">
        <v>0</v>
      </c>
      <c r="K156" s="67">
        <v>0</v>
      </c>
      <c r="L156" s="67">
        <v>4</v>
      </c>
      <c r="M156" s="67">
        <v>12</v>
      </c>
      <c r="N156" s="67">
        <v>52</v>
      </c>
      <c r="O156" s="67">
        <v>60</v>
      </c>
      <c r="P156" s="67">
        <v>250</v>
      </c>
      <c r="Q156" s="67">
        <v>0</v>
      </c>
      <c r="R156" s="67">
        <v>0</v>
      </c>
      <c r="S156" s="190">
        <v>0</v>
      </c>
      <c r="T156" s="191"/>
      <c r="U156" s="193" t="s">
        <v>1276</v>
      </c>
      <c r="V156" s="191" t="s">
        <v>232</v>
      </c>
      <c r="W156" s="192">
        <v>24.6</v>
      </c>
      <c r="X156" s="191">
        <v>0</v>
      </c>
      <c r="Y156" s="191">
        <v>0</v>
      </c>
      <c r="Z156" s="191">
        <v>0</v>
      </c>
      <c r="AA156" s="191">
        <v>0</v>
      </c>
      <c r="AB156" s="191">
        <v>320</v>
      </c>
      <c r="AC156" s="191">
        <v>3184</v>
      </c>
      <c r="AD156" s="191">
        <v>1647.25</v>
      </c>
      <c r="AE156" s="191">
        <v>11744.075000000001</v>
      </c>
      <c r="AF156" s="191">
        <v>14553.061000000002</v>
      </c>
      <c r="AG156" s="191">
        <v>7709.8939999999993</v>
      </c>
      <c r="AH156" s="191">
        <v>10995.321</v>
      </c>
    </row>
    <row r="157" spans="1:38">
      <c r="A157" s="155" t="s">
        <v>229</v>
      </c>
      <c r="B157" t="s">
        <v>1328</v>
      </c>
      <c r="C157" t="s">
        <v>1330</v>
      </c>
      <c r="D157" t="s">
        <v>1331</v>
      </c>
      <c r="E157" t="s">
        <v>207</v>
      </c>
      <c r="F157" t="s">
        <v>979</v>
      </c>
      <c r="G157">
        <v>40</v>
      </c>
      <c r="H157" s="189">
        <v>0</v>
      </c>
      <c r="I157" s="67">
        <v>0</v>
      </c>
      <c r="J157" s="67">
        <v>0</v>
      </c>
      <c r="K157" s="67">
        <v>0</v>
      </c>
      <c r="L157" s="67">
        <v>4</v>
      </c>
      <c r="M157" s="67">
        <v>12</v>
      </c>
      <c r="N157" s="67">
        <v>52</v>
      </c>
      <c r="O157" s="67">
        <v>60</v>
      </c>
      <c r="P157" s="67">
        <v>250</v>
      </c>
      <c r="Q157" s="67">
        <v>0</v>
      </c>
      <c r="R157" s="67">
        <v>0</v>
      </c>
      <c r="S157" s="190">
        <v>0</v>
      </c>
      <c r="T157" s="191"/>
      <c r="U157" s="193" t="s">
        <v>1527</v>
      </c>
      <c r="V157" s="191" t="s">
        <v>264</v>
      </c>
      <c r="W157" s="192">
        <v>2</v>
      </c>
      <c r="X157" s="191">
        <v>0</v>
      </c>
      <c r="Y157" s="191">
        <v>6137.0000000000018</v>
      </c>
      <c r="Z157" s="191">
        <v>333</v>
      </c>
      <c r="AA157" s="191">
        <v>333</v>
      </c>
      <c r="AB157" s="191">
        <v>0</v>
      </c>
      <c r="AC157" s="191">
        <v>0</v>
      </c>
      <c r="AD157" s="191">
        <v>0</v>
      </c>
      <c r="AE157" s="191">
        <v>0</v>
      </c>
      <c r="AF157" s="191">
        <v>0</v>
      </c>
      <c r="AG157" s="191">
        <v>0</v>
      </c>
      <c r="AH157" s="191">
        <v>0</v>
      </c>
      <c r="AK157" s="155" t="s">
        <v>208</v>
      </c>
      <c r="AL157" s="155"/>
    </row>
    <row r="158" spans="1:38">
      <c r="A158" s="155" t="s">
        <v>229</v>
      </c>
      <c r="B158" t="s">
        <v>1328</v>
      </c>
      <c r="C158" t="s">
        <v>1332</v>
      </c>
      <c r="D158" t="s">
        <v>1333</v>
      </c>
      <c r="E158" t="s">
        <v>207</v>
      </c>
      <c r="F158" t="s">
        <v>979</v>
      </c>
      <c r="G158">
        <v>40</v>
      </c>
      <c r="H158" s="189">
        <v>0</v>
      </c>
      <c r="I158" s="67">
        <v>0</v>
      </c>
      <c r="J158" s="67">
        <v>180</v>
      </c>
      <c r="K158" s="67">
        <v>360</v>
      </c>
      <c r="L158" s="67">
        <v>720</v>
      </c>
      <c r="M158" s="67">
        <v>6137</v>
      </c>
      <c r="N158" s="67">
        <v>8540</v>
      </c>
      <c r="O158" s="67">
        <v>8532</v>
      </c>
      <c r="P158" s="67">
        <v>4820</v>
      </c>
      <c r="Q158" s="67">
        <v>0</v>
      </c>
      <c r="R158" s="67">
        <v>0</v>
      </c>
      <c r="S158" s="190">
        <v>0</v>
      </c>
      <c r="T158" s="191"/>
      <c r="U158" s="193" t="s">
        <v>1282</v>
      </c>
      <c r="V158" s="191" t="s">
        <v>303</v>
      </c>
      <c r="W158" s="192">
        <v>60</v>
      </c>
      <c r="X158" s="191">
        <v>2179.9445600000004</v>
      </c>
      <c r="Y158" s="191">
        <v>1756.5540000000001</v>
      </c>
      <c r="Z158" s="191">
        <v>4432.8919999999998</v>
      </c>
      <c r="AA158" s="191">
        <v>9115</v>
      </c>
      <c r="AB158" s="191">
        <v>11209.566999999999</v>
      </c>
      <c r="AC158" s="191">
        <v>13158.347239999999</v>
      </c>
      <c r="AD158" s="191">
        <v>12517.60952</v>
      </c>
      <c r="AE158" s="191">
        <v>4350</v>
      </c>
      <c r="AF158" s="191">
        <v>600</v>
      </c>
      <c r="AG158" s="191">
        <v>50</v>
      </c>
      <c r="AH158" s="191">
        <v>0</v>
      </c>
      <c r="AK158" s="155"/>
      <c r="AL158" s="144" t="s">
        <v>210</v>
      </c>
    </row>
    <row r="159" spans="1:38">
      <c r="A159" s="155" t="s">
        <v>229</v>
      </c>
      <c r="B159" t="s">
        <v>1328</v>
      </c>
      <c r="C159" t="s">
        <v>1334</v>
      </c>
      <c r="D159" t="s">
        <v>1333</v>
      </c>
      <c r="E159" t="s">
        <v>208</v>
      </c>
      <c r="F159" t="s">
        <v>979</v>
      </c>
      <c r="G159">
        <v>40</v>
      </c>
      <c r="H159" s="189">
        <v>0</v>
      </c>
      <c r="I159" s="67">
        <v>0</v>
      </c>
      <c r="J159" s="67">
        <v>180</v>
      </c>
      <c r="K159" s="67">
        <v>360</v>
      </c>
      <c r="L159" s="67">
        <v>720</v>
      </c>
      <c r="M159" s="67">
        <v>2562</v>
      </c>
      <c r="N159" s="67">
        <v>3946</v>
      </c>
      <c r="O159" s="67">
        <v>3946</v>
      </c>
      <c r="P159" s="67">
        <v>2535</v>
      </c>
      <c r="Q159" s="67">
        <v>0</v>
      </c>
      <c r="R159" s="67">
        <v>0</v>
      </c>
      <c r="S159" s="190">
        <v>0</v>
      </c>
      <c r="T159" s="191"/>
      <c r="U159" s="193" t="s">
        <v>1286</v>
      </c>
      <c r="V159" s="191" t="s">
        <v>362</v>
      </c>
      <c r="W159" s="192"/>
      <c r="X159" s="191"/>
      <c r="Y159" s="191"/>
      <c r="Z159" s="191"/>
      <c r="AA159" s="191"/>
      <c r="AB159" s="191"/>
      <c r="AC159" s="191"/>
      <c r="AD159" s="191"/>
      <c r="AE159" s="191"/>
      <c r="AF159" s="191"/>
      <c r="AG159" s="191"/>
      <c r="AH159" s="191"/>
      <c r="AK159" s="155"/>
      <c r="AL159" s="144" t="s">
        <v>212</v>
      </c>
    </row>
    <row r="160" spans="1:38">
      <c r="A160" s="155" t="s">
        <v>229</v>
      </c>
      <c r="B160" t="s">
        <v>1328</v>
      </c>
      <c r="C160" t="s">
        <v>1335</v>
      </c>
      <c r="D160" t="s">
        <v>1336</v>
      </c>
      <c r="E160" t="s">
        <v>207</v>
      </c>
      <c r="F160" t="s">
        <v>979</v>
      </c>
      <c r="G160">
        <v>40</v>
      </c>
      <c r="H160" s="189">
        <v>0</v>
      </c>
      <c r="I160" s="67">
        <v>0</v>
      </c>
      <c r="J160" s="67">
        <v>900</v>
      </c>
      <c r="K160" s="67">
        <v>1080</v>
      </c>
      <c r="L160" s="67">
        <v>720</v>
      </c>
      <c r="M160" s="67">
        <v>1530</v>
      </c>
      <c r="N160" s="67">
        <v>1184</v>
      </c>
      <c r="O160" s="67">
        <v>944</v>
      </c>
      <c r="P160" s="67">
        <v>606</v>
      </c>
      <c r="Q160" s="67">
        <v>0</v>
      </c>
      <c r="R160" s="67">
        <v>0</v>
      </c>
      <c r="S160" s="190">
        <v>0</v>
      </c>
      <c r="T160" s="191"/>
      <c r="U160" s="193" t="s">
        <v>1288</v>
      </c>
      <c r="V160" s="191" t="s">
        <v>357</v>
      </c>
      <c r="W160" s="192"/>
      <c r="X160" s="191"/>
      <c r="Y160" s="191"/>
      <c r="Z160" s="191"/>
      <c r="AA160" s="191"/>
      <c r="AB160" s="191"/>
      <c r="AC160" s="191"/>
      <c r="AD160" s="191"/>
      <c r="AE160" s="191"/>
      <c r="AF160" s="191"/>
      <c r="AG160" s="191"/>
      <c r="AH160" s="191"/>
      <c r="AK160" s="155"/>
      <c r="AL160" s="144" t="s">
        <v>214</v>
      </c>
    </row>
    <row r="161" spans="1:38">
      <c r="A161" s="155" t="s">
        <v>252</v>
      </c>
      <c r="B161" t="s">
        <v>1337</v>
      </c>
      <c r="C161" t="s">
        <v>1338</v>
      </c>
      <c r="D161" t="s">
        <v>252</v>
      </c>
      <c r="E161" t="s">
        <v>208</v>
      </c>
      <c r="F161" t="s">
        <v>976</v>
      </c>
      <c r="G161">
        <v>7</v>
      </c>
      <c r="H161" s="189">
        <v>0</v>
      </c>
      <c r="I161" s="67">
        <v>0</v>
      </c>
      <c r="J161" s="67">
        <v>433</v>
      </c>
      <c r="K161" s="67">
        <v>3645</v>
      </c>
      <c r="L161" s="67">
        <v>4653.9999900000003</v>
      </c>
      <c r="M161" s="67">
        <v>1425</v>
      </c>
      <c r="N161" s="67">
        <v>429</v>
      </c>
      <c r="O161" s="67">
        <v>0</v>
      </c>
      <c r="P161" s="67">
        <v>0</v>
      </c>
      <c r="Q161" s="67">
        <v>0</v>
      </c>
      <c r="R161" s="67">
        <v>0</v>
      </c>
      <c r="S161" s="190">
        <v>0</v>
      </c>
      <c r="T161" s="191"/>
      <c r="U161" s="193" t="s">
        <v>1465</v>
      </c>
      <c r="V161" s="191" t="s">
        <v>236</v>
      </c>
      <c r="W161" s="192">
        <v>15</v>
      </c>
      <c r="X161" s="191">
        <v>0</v>
      </c>
      <c r="Y161" s="191">
        <v>0</v>
      </c>
      <c r="Z161" s="191">
        <v>0</v>
      </c>
      <c r="AA161" s="191">
        <v>0</v>
      </c>
      <c r="AB161" s="191">
        <v>0</v>
      </c>
      <c r="AC161" s="191">
        <v>0</v>
      </c>
      <c r="AD161" s="191">
        <v>126.72</v>
      </c>
      <c r="AE161" s="191">
        <v>1048.4100000000001</v>
      </c>
      <c r="AF161" s="191">
        <v>606.86964</v>
      </c>
      <c r="AG161" s="191">
        <v>960.3</v>
      </c>
      <c r="AH161" s="191">
        <v>0</v>
      </c>
      <c r="AK161" s="155"/>
      <c r="AL161" s="144" t="s">
        <v>216</v>
      </c>
    </row>
    <row r="162" spans="1:38">
      <c r="A162" s="155" t="s">
        <v>252</v>
      </c>
      <c r="B162" t="s">
        <v>1337</v>
      </c>
      <c r="C162" t="s">
        <v>1339</v>
      </c>
      <c r="D162" t="s">
        <v>1340</v>
      </c>
      <c r="E162" t="s">
        <v>208</v>
      </c>
      <c r="F162" t="s">
        <v>976</v>
      </c>
      <c r="G162">
        <v>7</v>
      </c>
      <c r="H162" s="189">
        <v>0</v>
      </c>
      <c r="I162" s="67">
        <v>80</v>
      </c>
      <c r="J162" s="67">
        <v>280</v>
      </c>
      <c r="K162" s="67">
        <v>720</v>
      </c>
      <c r="L162" s="67">
        <v>1000</v>
      </c>
      <c r="M162" s="67">
        <v>960</v>
      </c>
      <c r="N162" s="67">
        <v>20</v>
      </c>
      <c r="O162" s="67">
        <v>0</v>
      </c>
      <c r="P162" s="67">
        <v>0</v>
      </c>
      <c r="Q162" s="67">
        <v>0</v>
      </c>
      <c r="R162" s="67">
        <v>0</v>
      </c>
      <c r="S162" s="190">
        <v>0</v>
      </c>
      <c r="T162" s="191"/>
      <c r="U162" s="191" t="s">
        <v>1473</v>
      </c>
      <c r="V162" s="191" t="s">
        <v>257</v>
      </c>
      <c r="W162" s="192"/>
      <c r="X162" s="191"/>
      <c r="Y162" s="191"/>
      <c r="Z162" s="191"/>
      <c r="AA162" s="191"/>
      <c r="AB162" s="191"/>
      <c r="AC162" s="191"/>
      <c r="AD162" s="191"/>
      <c r="AE162" s="191"/>
      <c r="AF162" s="191"/>
      <c r="AG162" s="191"/>
      <c r="AH162" s="191"/>
      <c r="AK162" s="155"/>
      <c r="AL162" s="144" t="s">
        <v>218</v>
      </c>
    </row>
    <row r="163" spans="1:38">
      <c r="A163" s="155" t="s">
        <v>252</v>
      </c>
      <c r="B163" t="s">
        <v>1337</v>
      </c>
      <c r="C163" t="s">
        <v>1341</v>
      </c>
      <c r="D163" t="s">
        <v>1342</v>
      </c>
      <c r="E163" t="s">
        <v>208</v>
      </c>
      <c r="F163" t="s">
        <v>976</v>
      </c>
      <c r="G163">
        <v>7</v>
      </c>
      <c r="H163" s="189">
        <v>0</v>
      </c>
      <c r="I163" s="67">
        <v>80</v>
      </c>
      <c r="J163" s="67">
        <v>280</v>
      </c>
      <c r="K163" s="67">
        <v>720</v>
      </c>
      <c r="L163" s="67">
        <v>720</v>
      </c>
      <c r="M163" s="67">
        <v>520</v>
      </c>
      <c r="N163" s="67">
        <v>20</v>
      </c>
      <c r="O163" s="67">
        <v>0</v>
      </c>
      <c r="P163" s="67">
        <v>0</v>
      </c>
      <c r="Q163" s="67">
        <v>0</v>
      </c>
      <c r="R163" s="67">
        <v>0</v>
      </c>
      <c r="S163" s="190">
        <v>0</v>
      </c>
      <c r="T163" s="191"/>
      <c r="U163" s="191" t="s">
        <v>1290</v>
      </c>
      <c r="V163" s="191" t="s">
        <v>332</v>
      </c>
      <c r="W163" s="192"/>
      <c r="X163" s="191"/>
      <c r="Y163" s="191"/>
      <c r="Z163" s="191"/>
      <c r="AA163" s="191"/>
      <c r="AB163" s="191"/>
      <c r="AC163" s="191"/>
      <c r="AD163" s="191"/>
      <c r="AE163" s="191"/>
      <c r="AF163" s="191"/>
      <c r="AG163" s="191"/>
      <c r="AH163" s="191"/>
      <c r="AK163" s="155"/>
      <c r="AL163" s="144" t="s">
        <v>220</v>
      </c>
    </row>
    <row r="164" spans="1:38">
      <c r="A164" s="155" t="s">
        <v>252</v>
      </c>
      <c r="B164" t="s">
        <v>1337</v>
      </c>
      <c r="C164" t="s">
        <v>1343</v>
      </c>
      <c r="D164" t="s">
        <v>1344</v>
      </c>
      <c r="E164" t="s">
        <v>208</v>
      </c>
      <c r="F164" t="s">
        <v>976</v>
      </c>
      <c r="G164">
        <v>7</v>
      </c>
      <c r="H164" s="189">
        <v>0</v>
      </c>
      <c r="I164" s="67">
        <v>80</v>
      </c>
      <c r="J164" s="67">
        <v>280</v>
      </c>
      <c r="K164" s="67">
        <v>720</v>
      </c>
      <c r="L164" s="67">
        <v>720</v>
      </c>
      <c r="M164" s="67">
        <v>530</v>
      </c>
      <c r="N164" s="67">
        <v>20</v>
      </c>
      <c r="O164" s="67">
        <v>0</v>
      </c>
      <c r="P164" s="67">
        <v>0</v>
      </c>
      <c r="Q164" s="67">
        <v>0</v>
      </c>
      <c r="R164" s="67">
        <v>0</v>
      </c>
      <c r="S164" s="190">
        <v>0</v>
      </c>
      <c r="T164" s="191"/>
      <c r="U164" s="193" t="s">
        <v>1291</v>
      </c>
      <c r="V164" s="191" t="s">
        <v>230</v>
      </c>
      <c r="W164" s="192">
        <v>10</v>
      </c>
      <c r="X164" s="191">
        <v>0</v>
      </c>
      <c r="Y164" s="191">
        <v>0</v>
      </c>
      <c r="Z164" s="191">
        <v>0</v>
      </c>
      <c r="AA164" s="191">
        <v>0</v>
      </c>
      <c r="AB164" s="191">
        <v>0</v>
      </c>
      <c r="AC164" s="191">
        <v>0</v>
      </c>
      <c r="AD164" s="191">
        <v>126.72</v>
      </c>
      <c r="AE164" s="191">
        <v>1048.4100000000001</v>
      </c>
      <c r="AF164" s="191">
        <v>606.87</v>
      </c>
      <c r="AG164" s="191">
        <v>906</v>
      </c>
      <c r="AH164" s="191">
        <v>0</v>
      </c>
      <c r="AK164" s="155"/>
      <c r="AL164" s="144" t="s">
        <v>222</v>
      </c>
    </row>
    <row r="165" spans="1:38">
      <c r="A165" s="155" t="s">
        <v>210</v>
      </c>
      <c r="B165" t="s">
        <v>1345</v>
      </c>
      <c r="C165" t="s">
        <v>1346</v>
      </c>
      <c r="D165" t="s">
        <v>210</v>
      </c>
      <c r="E165" t="s">
        <v>208</v>
      </c>
      <c r="F165" t="s">
        <v>976</v>
      </c>
      <c r="G165">
        <v>1.5</v>
      </c>
      <c r="H165" s="189">
        <v>110.45964000000001</v>
      </c>
      <c r="I165" s="67">
        <v>750.96</v>
      </c>
      <c r="J165" s="67">
        <v>2167.15</v>
      </c>
      <c r="K165" s="67">
        <v>0</v>
      </c>
      <c r="L165" s="67">
        <v>0</v>
      </c>
      <c r="M165" s="67">
        <v>0</v>
      </c>
      <c r="N165" s="67">
        <v>0</v>
      </c>
      <c r="O165" s="67">
        <v>0</v>
      </c>
      <c r="P165" s="67">
        <v>0</v>
      </c>
      <c r="Q165" s="67">
        <v>0</v>
      </c>
      <c r="R165" s="67">
        <v>0</v>
      </c>
      <c r="S165" s="190">
        <v>0</v>
      </c>
      <c r="T165" s="191"/>
      <c r="U165" s="191" t="s">
        <v>1539</v>
      </c>
      <c r="V165" s="191" t="s">
        <v>338</v>
      </c>
      <c r="W165" s="192"/>
      <c r="X165" s="191"/>
      <c r="Y165" s="191"/>
      <c r="Z165" s="191"/>
      <c r="AA165" s="191"/>
      <c r="AB165" s="191"/>
      <c r="AC165" s="191"/>
      <c r="AD165" s="191"/>
      <c r="AE165" s="191"/>
      <c r="AF165" s="191"/>
      <c r="AG165" s="191"/>
      <c r="AH165" s="191"/>
      <c r="AK165" s="155"/>
      <c r="AL165" s="144" t="s">
        <v>224</v>
      </c>
    </row>
    <row r="166" spans="1:38">
      <c r="A166" s="155" t="s">
        <v>212</v>
      </c>
      <c r="B166" t="s">
        <v>1345</v>
      </c>
      <c r="C166" t="s">
        <v>1347</v>
      </c>
      <c r="D166" t="s">
        <v>212</v>
      </c>
      <c r="E166" t="s">
        <v>208</v>
      </c>
      <c r="F166" t="s">
        <v>979</v>
      </c>
      <c r="G166">
        <v>2.2000000000000002</v>
      </c>
      <c r="H166" s="189">
        <v>121.2358</v>
      </c>
      <c r="I166" s="67">
        <v>0</v>
      </c>
      <c r="J166" s="67">
        <v>700</v>
      </c>
      <c r="K166" s="67">
        <v>0</v>
      </c>
      <c r="L166" s="67">
        <v>0</v>
      </c>
      <c r="M166" s="67">
        <v>0</v>
      </c>
      <c r="N166" s="67">
        <v>0</v>
      </c>
      <c r="O166" s="67">
        <v>0</v>
      </c>
      <c r="P166" s="67">
        <v>0</v>
      </c>
      <c r="Q166" s="67">
        <v>0</v>
      </c>
      <c r="R166" s="67">
        <v>0</v>
      </c>
      <c r="S166" s="190">
        <v>0</v>
      </c>
      <c r="T166" s="191"/>
      <c r="U166" s="191" t="s">
        <v>1469</v>
      </c>
      <c r="V166" s="191" t="s">
        <v>242</v>
      </c>
      <c r="W166" s="192"/>
      <c r="X166" s="191"/>
      <c r="Y166" s="191"/>
      <c r="Z166" s="191"/>
      <c r="AA166" s="191"/>
      <c r="AB166" s="191"/>
      <c r="AC166" s="191"/>
      <c r="AD166" s="191"/>
      <c r="AE166" s="191"/>
      <c r="AF166" s="191"/>
      <c r="AG166" s="191"/>
      <c r="AH166" s="191"/>
      <c r="AK166" s="155"/>
      <c r="AL166" s="144" t="s">
        <v>16</v>
      </c>
    </row>
    <row r="167" spans="1:38">
      <c r="A167" s="155" t="s">
        <v>216</v>
      </c>
      <c r="B167" t="s">
        <v>1345</v>
      </c>
      <c r="C167" t="s">
        <v>1348</v>
      </c>
      <c r="D167" t="s">
        <v>216</v>
      </c>
      <c r="E167" t="s">
        <v>208</v>
      </c>
      <c r="F167" t="s">
        <v>976</v>
      </c>
      <c r="G167">
        <v>2.2000000000000002</v>
      </c>
      <c r="H167" s="189">
        <v>41</v>
      </c>
      <c r="I167" s="67">
        <v>0</v>
      </c>
      <c r="J167" s="67">
        <v>270.54000000000002</v>
      </c>
      <c r="K167" s="67">
        <v>0</v>
      </c>
      <c r="L167" s="67">
        <v>0</v>
      </c>
      <c r="M167" s="67">
        <v>0</v>
      </c>
      <c r="N167" s="67">
        <v>0</v>
      </c>
      <c r="O167" s="67">
        <v>0</v>
      </c>
      <c r="P167" s="67">
        <v>0</v>
      </c>
      <c r="Q167" s="67">
        <v>0</v>
      </c>
      <c r="R167" s="67">
        <v>0</v>
      </c>
      <c r="S167" s="190">
        <v>0</v>
      </c>
      <c r="T167" s="191"/>
      <c r="U167" s="191" t="s">
        <v>1561</v>
      </c>
      <c r="V167" s="191" t="s">
        <v>349</v>
      </c>
      <c r="W167" s="192"/>
      <c r="X167" s="191"/>
      <c r="Y167" s="191"/>
      <c r="Z167" s="191"/>
      <c r="AA167" s="191"/>
      <c r="AB167" s="191"/>
      <c r="AC167" s="191"/>
      <c r="AD167" s="191"/>
      <c r="AE167" s="191"/>
      <c r="AF167" s="191"/>
      <c r="AG167" s="191"/>
      <c r="AH167" s="191"/>
      <c r="AK167" s="155"/>
      <c r="AL167" s="144" t="s">
        <v>227</v>
      </c>
    </row>
    <row r="168" spans="1:38">
      <c r="A168" s="155" t="s">
        <v>218</v>
      </c>
      <c r="B168" t="s">
        <v>1345</v>
      </c>
      <c r="C168" t="s">
        <v>1349</v>
      </c>
      <c r="D168" t="s">
        <v>218</v>
      </c>
      <c r="E168" t="s">
        <v>208</v>
      </c>
      <c r="F168" t="s">
        <v>976</v>
      </c>
      <c r="G168">
        <v>2.6</v>
      </c>
      <c r="H168" s="189">
        <v>132.58804000000001</v>
      </c>
      <c r="I168" s="67">
        <v>0</v>
      </c>
      <c r="J168" s="67">
        <v>1071</v>
      </c>
      <c r="K168" s="67">
        <v>0</v>
      </c>
      <c r="L168" s="67">
        <v>0</v>
      </c>
      <c r="M168" s="67">
        <v>0</v>
      </c>
      <c r="N168" s="67">
        <v>0</v>
      </c>
      <c r="O168" s="67">
        <v>0</v>
      </c>
      <c r="P168" s="67">
        <v>0</v>
      </c>
      <c r="Q168" s="67">
        <v>0</v>
      </c>
      <c r="R168" s="67">
        <v>0</v>
      </c>
      <c r="S168" s="190">
        <v>0</v>
      </c>
      <c r="T168" s="191"/>
      <c r="U168" s="191" t="s">
        <v>1293</v>
      </c>
      <c r="V168" s="191" t="s">
        <v>240</v>
      </c>
      <c r="W168" s="192"/>
      <c r="X168" s="191"/>
      <c r="Y168" s="191"/>
      <c r="Z168" s="191"/>
      <c r="AA168" s="191"/>
      <c r="AB168" s="191"/>
      <c r="AC168" s="191"/>
      <c r="AD168" s="191"/>
      <c r="AE168" s="191"/>
      <c r="AF168" s="191"/>
      <c r="AG168" s="191"/>
      <c r="AH168" s="191"/>
      <c r="AK168" s="155"/>
      <c r="AL168" s="144" t="s">
        <v>228</v>
      </c>
    </row>
    <row r="169" spans="1:38">
      <c r="A169" s="155" t="s">
        <v>222</v>
      </c>
      <c r="B169" t="s">
        <v>1345</v>
      </c>
      <c r="C169" t="s">
        <v>1350</v>
      </c>
      <c r="D169" t="s">
        <v>222</v>
      </c>
      <c r="E169" t="s">
        <v>208</v>
      </c>
      <c r="F169" t="s">
        <v>976</v>
      </c>
      <c r="G169">
        <v>0.33</v>
      </c>
      <c r="H169" s="189">
        <v>44.75412</v>
      </c>
      <c r="I169" s="67">
        <v>305.58472</v>
      </c>
      <c r="J169" s="67">
        <v>0</v>
      </c>
      <c r="K169" s="67">
        <v>0</v>
      </c>
      <c r="L169" s="67">
        <v>0</v>
      </c>
      <c r="M169" s="67">
        <v>0</v>
      </c>
      <c r="N169" s="67">
        <v>0</v>
      </c>
      <c r="O169" s="67">
        <v>0</v>
      </c>
      <c r="P169" s="67">
        <v>0</v>
      </c>
      <c r="Q169" s="67">
        <v>0</v>
      </c>
      <c r="R169" s="67">
        <v>0</v>
      </c>
      <c r="S169" s="190">
        <v>0</v>
      </c>
      <c r="T169" s="191"/>
      <c r="U169" s="191" t="s">
        <v>1468</v>
      </c>
      <c r="V169" s="191" t="s">
        <v>241</v>
      </c>
      <c r="W169" s="192"/>
      <c r="X169" s="191"/>
      <c r="Y169" s="191"/>
      <c r="Z169" s="191"/>
      <c r="AA169" s="191"/>
      <c r="AB169" s="191"/>
      <c r="AC169" s="191"/>
      <c r="AD169" s="191"/>
      <c r="AE169" s="191"/>
      <c r="AF169" s="191"/>
      <c r="AG169" s="191"/>
      <c r="AH169" s="191"/>
      <c r="AK169" s="155"/>
      <c r="AL169" s="144" t="s">
        <v>229</v>
      </c>
    </row>
    <row r="170" spans="1:38">
      <c r="A170" s="155" t="s">
        <v>227</v>
      </c>
      <c r="B170" t="s">
        <v>1345</v>
      </c>
      <c r="C170" t="s">
        <v>1351</v>
      </c>
      <c r="D170" t="s">
        <v>227</v>
      </c>
      <c r="E170" t="s">
        <v>208</v>
      </c>
      <c r="F170" t="s">
        <v>976</v>
      </c>
      <c r="G170">
        <v>5</v>
      </c>
      <c r="H170" s="189">
        <v>0</v>
      </c>
      <c r="I170" s="67">
        <v>0</v>
      </c>
      <c r="J170" s="67">
        <v>0</v>
      </c>
      <c r="K170" s="67">
        <v>0</v>
      </c>
      <c r="L170" s="67">
        <v>1890.9</v>
      </c>
      <c r="M170" s="67">
        <v>1217.7</v>
      </c>
      <c r="N170" s="67">
        <v>693</v>
      </c>
      <c r="O170" s="67">
        <v>0</v>
      </c>
      <c r="P170" s="67">
        <v>0</v>
      </c>
      <c r="Q170" s="67">
        <v>0</v>
      </c>
      <c r="R170" s="67">
        <v>0</v>
      </c>
      <c r="S170" s="190">
        <v>0</v>
      </c>
      <c r="T170" s="191"/>
      <c r="U170" s="193" t="s">
        <v>1526</v>
      </c>
      <c r="V170" s="191" t="s">
        <v>300</v>
      </c>
      <c r="W170" s="192">
        <v>5.2</v>
      </c>
      <c r="X170" s="191">
        <v>0</v>
      </c>
      <c r="Y170" s="191">
        <v>0</v>
      </c>
      <c r="Z170" s="191">
        <v>0</v>
      </c>
      <c r="AA170" s="191">
        <v>0</v>
      </c>
      <c r="AB170" s="191">
        <v>0</v>
      </c>
      <c r="AC170" s="191">
        <v>1292.2429999999999</v>
      </c>
      <c r="AD170" s="191">
        <v>3952.1060000000002</v>
      </c>
      <c r="AE170" s="191">
        <v>5946.1229999999996</v>
      </c>
      <c r="AF170" s="191">
        <v>2596.4920000000002</v>
      </c>
      <c r="AG170" s="191">
        <v>1018.059</v>
      </c>
      <c r="AH170" s="191">
        <v>0</v>
      </c>
      <c r="AK170" s="155"/>
      <c r="AL170" s="144" t="s">
        <v>230</v>
      </c>
    </row>
    <row r="171" spans="1:38">
      <c r="A171" s="155" t="s">
        <v>227</v>
      </c>
      <c r="B171" t="s">
        <v>1345</v>
      </c>
      <c r="C171" t="s">
        <v>1352</v>
      </c>
      <c r="D171" t="s">
        <v>227</v>
      </c>
      <c r="E171" t="s">
        <v>208</v>
      </c>
      <c r="F171" t="s">
        <v>976</v>
      </c>
      <c r="G171">
        <v>5</v>
      </c>
      <c r="H171" s="189">
        <v>0</v>
      </c>
      <c r="I171" s="67">
        <v>0</v>
      </c>
      <c r="J171" s="67">
        <v>0</v>
      </c>
      <c r="K171" s="67">
        <v>0</v>
      </c>
      <c r="L171" s="67">
        <v>0</v>
      </c>
      <c r="M171" s="67">
        <v>0</v>
      </c>
      <c r="N171" s="67">
        <v>250</v>
      </c>
      <c r="O171" s="67">
        <v>1300</v>
      </c>
      <c r="P171" s="67">
        <v>2610</v>
      </c>
      <c r="Q171" s="67">
        <v>950</v>
      </c>
      <c r="R171" s="67">
        <v>0</v>
      </c>
      <c r="S171" s="190">
        <v>0</v>
      </c>
      <c r="T171" s="191"/>
      <c r="U171" s="191" t="s">
        <v>1564</v>
      </c>
      <c r="V171" s="191" t="s">
        <v>329</v>
      </c>
      <c r="W171" s="192"/>
      <c r="X171" s="191"/>
      <c r="Y171" s="191"/>
      <c r="Z171" s="191"/>
      <c r="AA171" s="191"/>
      <c r="AB171" s="191"/>
      <c r="AC171" s="191"/>
      <c r="AD171" s="191"/>
      <c r="AE171" s="191"/>
      <c r="AF171" s="191"/>
      <c r="AG171" s="191"/>
      <c r="AH171" s="191"/>
      <c r="AK171" s="155"/>
      <c r="AL171" s="144" t="s">
        <v>231</v>
      </c>
    </row>
    <row r="172" spans="1:38">
      <c r="A172" s="155" t="s">
        <v>231</v>
      </c>
      <c r="B172" t="s">
        <v>1345</v>
      </c>
      <c r="C172" t="s">
        <v>1353</v>
      </c>
      <c r="D172" t="s">
        <v>231</v>
      </c>
      <c r="E172" t="s">
        <v>208</v>
      </c>
      <c r="F172" t="s">
        <v>976</v>
      </c>
      <c r="G172">
        <v>0.5</v>
      </c>
      <c r="H172" s="189">
        <v>114.06476000000001</v>
      </c>
      <c r="I172" s="67">
        <v>397.72</v>
      </c>
      <c r="J172" s="67">
        <v>0</v>
      </c>
      <c r="K172" s="67">
        <v>0</v>
      </c>
      <c r="L172" s="67">
        <v>0</v>
      </c>
      <c r="M172" s="67">
        <v>0</v>
      </c>
      <c r="N172" s="67">
        <v>0</v>
      </c>
      <c r="O172" s="67">
        <v>0</v>
      </c>
      <c r="P172" s="67">
        <v>0</v>
      </c>
      <c r="Q172" s="67">
        <v>0</v>
      </c>
      <c r="R172" s="67">
        <v>0</v>
      </c>
      <c r="S172" s="190">
        <v>0</v>
      </c>
      <c r="T172" s="191"/>
      <c r="U172" s="191" t="s">
        <v>1533</v>
      </c>
      <c r="V172" s="191" t="s">
        <v>329</v>
      </c>
      <c r="W172" s="192"/>
      <c r="X172" s="191"/>
      <c r="Y172" s="191"/>
      <c r="Z172" s="191"/>
      <c r="AA172" s="191"/>
      <c r="AB172" s="191"/>
      <c r="AC172" s="191"/>
      <c r="AD172" s="191"/>
      <c r="AE172" s="191"/>
      <c r="AF172" s="191"/>
      <c r="AG172" s="191"/>
      <c r="AH172" s="191"/>
      <c r="AK172" s="155"/>
      <c r="AL172" s="144" t="s">
        <v>232</v>
      </c>
    </row>
    <row r="173" spans="1:38">
      <c r="A173" s="155" t="s">
        <v>231</v>
      </c>
      <c r="B173" t="s">
        <v>1345</v>
      </c>
      <c r="C173" t="s">
        <v>1354</v>
      </c>
      <c r="D173" t="s">
        <v>231</v>
      </c>
      <c r="E173" t="s">
        <v>208</v>
      </c>
      <c r="F173" t="s">
        <v>979</v>
      </c>
      <c r="G173">
        <v>1</v>
      </c>
      <c r="H173" s="189">
        <v>0</v>
      </c>
      <c r="I173" s="67">
        <v>0</v>
      </c>
      <c r="J173" s="67">
        <v>0</v>
      </c>
      <c r="K173" s="67">
        <v>0</v>
      </c>
      <c r="L173" s="67">
        <v>172</v>
      </c>
      <c r="M173" s="67">
        <v>662</v>
      </c>
      <c r="N173" s="67">
        <v>769</v>
      </c>
      <c r="O173" s="67">
        <v>0</v>
      </c>
      <c r="P173" s="67">
        <v>0</v>
      </c>
      <c r="Q173" s="67">
        <v>0</v>
      </c>
      <c r="R173" s="67">
        <v>0</v>
      </c>
      <c r="S173" s="190">
        <v>0</v>
      </c>
      <c r="T173" s="191"/>
      <c r="U173" s="193" t="s">
        <v>1294</v>
      </c>
      <c r="V173" s="191" t="s">
        <v>254</v>
      </c>
      <c r="W173" s="192"/>
      <c r="X173" s="191"/>
      <c r="Y173" s="191"/>
      <c r="Z173" s="191"/>
      <c r="AA173" s="191"/>
      <c r="AB173" s="191"/>
      <c r="AC173" s="191"/>
      <c r="AD173" s="191"/>
      <c r="AE173" s="191"/>
      <c r="AF173" s="191"/>
      <c r="AG173" s="191"/>
      <c r="AH173" s="191"/>
      <c r="AK173" s="155"/>
      <c r="AL173" s="144" t="s">
        <v>234</v>
      </c>
    </row>
    <row r="174" spans="1:38">
      <c r="A174" s="155" t="s">
        <v>236</v>
      </c>
      <c r="B174" t="s">
        <v>1345</v>
      </c>
      <c r="C174" t="s">
        <v>1355</v>
      </c>
      <c r="D174" t="s">
        <v>236</v>
      </c>
      <c r="E174" t="s">
        <v>207</v>
      </c>
      <c r="F174" t="s">
        <v>979</v>
      </c>
      <c r="G174">
        <v>15</v>
      </c>
      <c r="H174" s="189">
        <v>0</v>
      </c>
      <c r="I174" s="67">
        <v>0</v>
      </c>
      <c r="J174" s="67">
        <v>0</v>
      </c>
      <c r="K174" s="67">
        <v>0</v>
      </c>
      <c r="L174" s="67">
        <v>0</v>
      </c>
      <c r="M174" s="67">
        <v>128</v>
      </c>
      <c r="N174" s="67">
        <v>1059</v>
      </c>
      <c r="O174" s="67">
        <v>1520</v>
      </c>
      <c r="P174" s="67">
        <v>3526</v>
      </c>
      <c r="Q174" s="67">
        <v>3409</v>
      </c>
      <c r="R174" s="67">
        <v>354</v>
      </c>
      <c r="S174" s="190">
        <v>0</v>
      </c>
      <c r="T174" s="191"/>
      <c r="U174" s="191" t="s">
        <v>1503</v>
      </c>
      <c r="V174" s="191" t="s">
        <v>286</v>
      </c>
      <c r="W174" s="192"/>
      <c r="X174" s="191"/>
      <c r="Y174" s="191"/>
      <c r="Z174" s="191"/>
      <c r="AA174" s="191"/>
      <c r="AB174" s="191"/>
      <c r="AC174" s="191"/>
      <c r="AD174" s="191"/>
      <c r="AE174" s="191"/>
      <c r="AF174" s="191"/>
      <c r="AG174" s="191"/>
      <c r="AH174" s="191"/>
      <c r="AK174" s="155"/>
      <c r="AL174" s="144" t="s">
        <v>235</v>
      </c>
    </row>
    <row r="175" spans="1:38">
      <c r="A175" s="155" t="s">
        <v>236</v>
      </c>
      <c r="B175" t="s">
        <v>1345</v>
      </c>
      <c r="C175" t="s">
        <v>1356</v>
      </c>
      <c r="D175" t="s">
        <v>236</v>
      </c>
      <c r="E175" t="s">
        <v>208</v>
      </c>
      <c r="F175" t="s">
        <v>976</v>
      </c>
      <c r="G175">
        <v>15</v>
      </c>
      <c r="H175" s="189">
        <v>0</v>
      </c>
      <c r="I175" s="67">
        <v>0</v>
      </c>
      <c r="J175" s="67">
        <v>0</v>
      </c>
      <c r="K175" s="67">
        <v>0</v>
      </c>
      <c r="L175" s="67">
        <v>0</v>
      </c>
      <c r="M175" s="67">
        <v>0</v>
      </c>
      <c r="N175" s="67">
        <v>126.72</v>
      </c>
      <c r="O175" s="67">
        <v>1048.4100000000001</v>
      </c>
      <c r="P175" s="67">
        <v>606.86964</v>
      </c>
      <c r="Q175" s="67">
        <v>960.3</v>
      </c>
      <c r="R175" s="67">
        <v>0</v>
      </c>
      <c r="S175" s="190">
        <v>0</v>
      </c>
      <c r="T175" s="191"/>
      <c r="U175" s="191" t="s">
        <v>1520</v>
      </c>
      <c r="V175" s="191" t="s">
        <v>307</v>
      </c>
      <c r="W175" s="192"/>
      <c r="X175" s="191"/>
      <c r="Y175" s="191"/>
      <c r="Z175" s="191"/>
      <c r="AA175" s="191"/>
      <c r="AB175" s="191"/>
      <c r="AC175" s="191"/>
      <c r="AD175" s="191"/>
      <c r="AE175" s="191"/>
      <c r="AF175" s="191"/>
      <c r="AG175" s="191"/>
      <c r="AH175" s="191"/>
      <c r="AK175" s="155"/>
      <c r="AL175" s="144" t="s">
        <v>236</v>
      </c>
    </row>
    <row r="176" spans="1:38">
      <c r="A176" s="155" t="s">
        <v>243</v>
      </c>
      <c r="B176" t="s">
        <v>1345</v>
      </c>
      <c r="C176" t="s">
        <v>1357</v>
      </c>
      <c r="D176" t="s">
        <v>243</v>
      </c>
      <c r="E176" t="s">
        <v>207</v>
      </c>
      <c r="F176" t="s">
        <v>979</v>
      </c>
      <c r="G176">
        <v>12.5</v>
      </c>
      <c r="H176" s="189">
        <v>0</v>
      </c>
      <c r="I176" s="67">
        <v>0</v>
      </c>
      <c r="J176" s="67">
        <v>0</v>
      </c>
      <c r="K176" s="67">
        <v>0</v>
      </c>
      <c r="L176" s="67">
        <v>0</v>
      </c>
      <c r="M176" s="67">
        <v>0</v>
      </c>
      <c r="N176" s="67">
        <v>120.78</v>
      </c>
      <c r="O176" s="67">
        <v>1428.059</v>
      </c>
      <c r="P176" s="67">
        <v>6483.3940000000002</v>
      </c>
      <c r="Q176" s="67">
        <v>9483.2100000000009</v>
      </c>
      <c r="R176" s="67">
        <v>8793.862000000001</v>
      </c>
      <c r="S176" s="190">
        <v>0</v>
      </c>
      <c r="T176" s="191"/>
      <c r="U176" s="191" t="s">
        <v>1521</v>
      </c>
      <c r="V176" s="191" t="s">
        <v>309</v>
      </c>
      <c r="W176" s="192"/>
      <c r="X176" s="191"/>
      <c r="Y176" s="191"/>
      <c r="Z176" s="191"/>
      <c r="AA176" s="191"/>
      <c r="AB176" s="191"/>
      <c r="AC176" s="191"/>
      <c r="AD176" s="191"/>
      <c r="AE176" s="191"/>
      <c r="AF176" s="191"/>
      <c r="AG176" s="191"/>
      <c r="AH176" s="191"/>
      <c r="AK176" s="155"/>
      <c r="AL176" s="144" t="s">
        <v>237</v>
      </c>
    </row>
    <row r="177" spans="1:38">
      <c r="A177" s="155" t="s">
        <v>247</v>
      </c>
      <c r="B177" t="s">
        <v>1345</v>
      </c>
      <c r="C177" t="s">
        <v>1358</v>
      </c>
      <c r="D177" t="s">
        <v>247</v>
      </c>
      <c r="E177" t="s">
        <v>208</v>
      </c>
      <c r="F177" t="s">
        <v>976</v>
      </c>
      <c r="G177">
        <v>8.8000000000000007</v>
      </c>
      <c r="H177" s="189">
        <v>41.700200000000009</v>
      </c>
      <c r="I177" s="67">
        <v>15</v>
      </c>
      <c r="J177" s="67">
        <v>616</v>
      </c>
      <c r="K177" s="67">
        <v>0</v>
      </c>
      <c r="L177" s="67">
        <v>0</v>
      </c>
      <c r="M177" s="67">
        <v>0</v>
      </c>
      <c r="N177" s="67">
        <v>0</v>
      </c>
      <c r="O177" s="67">
        <v>0</v>
      </c>
      <c r="P177" s="67">
        <v>0</v>
      </c>
      <c r="Q177" s="67">
        <v>0</v>
      </c>
      <c r="R177" s="67">
        <v>0</v>
      </c>
      <c r="S177" s="190">
        <v>0</v>
      </c>
      <c r="T177" s="191"/>
      <c r="U177" s="191" t="s">
        <v>1504</v>
      </c>
      <c r="V177" s="191" t="s">
        <v>286</v>
      </c>
      <c r="W177" s="192"/>
      <c r="X177" s="191"/>
      <c r="Y177" s="191"/>
      <c r="Z177" s="191"/>
      <c r="AA177" s="191"/>
      <c r="AB177" s="191"/>
      <c r="AC177" s="191"/>
      <c r="AD177" s="191"/>
      <c r="AE177" s="191"/>
      <c r="AF177" s="191"/>
      <c r="AG177" s="191"/>
      <c r="AH177" s="191"/>
      <c r="AK177" s="155"/>
      <c r="AL177" s="144" t="s">
        <v>238</v>
      </c>
    </row>
    <row r="178" spans="1:38">
      <c r="A178" s="155" t="s">
        <v>247</v>
      </c>
      <c r="B178" t="s">
        <v>1345</v>
      </c>
      <c r="C178" t="s">
        <v>1359</v>
      </c>
      <c r="D178" t="s">
        <v>247</v>
      </c>
      <c r="E178" t="s">
        <v>207</v>
      </c>
      <c r="F178" t="s">
        <v>979</v>
      </c>
      <c r="G178">
        <v>17.600000000000001</v>
      </c>
      <c r="H178" s="189">
        <v>0</v>
      </c>
      <c r="I178" s="67">
        <v>0</v>
      </c>
      <c r="J178" s="67">
        <v>0</v>
      </c>
      <c r="K178" s="67">
        <v>0</v>
      </c>
      <c r="L178" s="67">
        <v>110.25</v>
      </c>
      <c r="M178" s="67">
        <v>1466.325</v>
      </c>
      <c r="N178" s="67">
        <v>529.20000000000005</v>
      </c>
      <c r="O178" s="67">
        <v>1479.2629999999999</v>
      </c>
      <c r="P178" s="67">
        <v>10739.254000000001</v>
      </c>
      <c r="Q178" s="67">
        <v>10739.254000000001</v>
      </c>
      <c r="R178" s="67">
        <v>6495.516999999998</v>
      </c>
      <c r="S178" s="190">
        <v>0</v>
      </c>
      <c r="T178" s="191"/>
      <c r="U178" s="193" t="s">
        <v>1547</v>
      </c>
      <c r="V178" s="191" t="s">
        <v>339</v>
      </c>
      <c r="W178" s="192">
        <v>5</v>
      </c>
      <c r="X178" s="191">
        <v>0</v>
      </c>
      <c r="Y178" s="191">
        <v>0</v>
      </c>
      <c r="Z178" s="191">
        <v>0</v>
      </c>
      <c r="AA178" s="191">
        <v>0</v>
      </c>
      <c r="AB178" s="191">
        <v>0</v>
      </c>
      <c r="AC178" s="191">
        <v>0</v>
      </c>
      <c r="AD178" s="191">
        <v>0</v>
      </c>
      <c r="AE178" s="191">
        <v>396</v>
      </c>
      <c r="AF178" s="191">
        <v>1523</v>
      </c>
      <c r="AG178" s="191">
        <v>6066</v>
      </c>
      <c r="AH178" s="191">
        <v>387</v>
      </c>
      <c r="AK178" s="155"/>
      <c r="AL178" s="144" t="s">
        <v>239</v>
      </c>
    </row>
    <row r="179" spans="1:38">
      <c r="A179" s="155" t="s">
        <v>248</v>
      </c>
      <c r="B179" t="s">
        <v>1345</v>
      </c>
      <c r="C179" t="s">
        <v>1360</v>
      </c>
      <c r="D179" t="s">
        <v>248</v>
      </c>
      <c r="E179" t="s">
        <v>207</v>
      </c>
      <c r="F179" t="s">
        <v>979</v>
      </c>
      <c r="G179">
        <v>17.600000000000001</v>
      </c>
      <c r="H179" s="189">
        <v>0</v>
      </c>
      <c r="I179" s="67">
        <v>0</v>
      </c>
      <c r="J179" s="67">
        <v>0</v>
      </c>
      <c r="K179" s="67">
        <v>0</v>
      </c>
      <c r="L179" s="67">
        <v>110.25</v>
      </c>
      <c r="M179" s="67">
        <v>1466.325</v>
      </c>
      <c r="N179" s="67">
        <v>529.20000000000005</v>
      </c>
      <c r="O179" s="67">
        <v>1308.375</v>
      </c>
      <c r="P179" s="67">
        <v>8688.6039999999994</v>
      </c>
      <c r="Q179" s="67">
        <v>8688.6039999999994</v>
      </c>
      <c r="R179" s="67">
        <v>5255.2040000000006</v>
      </c>
      <c r="S179" s="190">
        <v>0</v>
      </c>
      <c r="T179" s="191"/>
      <c r="U179" s="193" t="s">
        <v>1498</v>
      </c>
      <c r="V179" s="191" t="s">
        <v>225</v>
      </c>
      <c r="W179" s="192">
        <v>4.5726141319818359</v>
      </c>
      <c r="X179" s="191">
        <v>212.81384</v>
      </c>
      <c r="Y179" s="191">
        <v>0</v>
      </c>
      <c r="Z179" s="191">
        <v>0</v>
      </c>
      <c r="AA179" s="191">
        <v>0</v>
      </c>
      <c r="AB179" s="191">
        <v>0</v>
      </c>
      <c r="AC179" s="191">
        <v>798</v>
      </c>
      <c r="AD179" s="191">
        <v>0</v>
      </c>
      <c r="AE179" s="191">
        <v>0</v>
      </c>
      <c r="AF179" s="191">
        <v>0</v>
      </c>
      <c r="AG179" s="191">
        <v>0</v>
      </c>
      <c r="AH179" s="191">
        <v>0</v>
      </c>
      <c r="AK179" s="155"/>
      <c r="AL179" s="144" t="s">
        <v>240</v>
      </c>
    </row>
    <row r="180" spans="1:38">
      <c r="A180" s="155" t="s">
        <v>256</v>
      </c>
      <c r="B180" t="s">
        <v>1345</v>
      </c>
      <c r="C180" t="s">
        <v>1361</v>
      </c>
      <c r="D180" t="s">
        <v>256</v>
      </c>
      <c r="E180" t="s">
        <v>208</v>
      </c>
      <c r="F180" t="s">
        <v>976</v>
      </c>
      <c r="G180">
        <v>5</v>
      </c>
      <c r="H180" s="189">
        <v>0</v>
      </c>
      <c r="I180" s="67">
        <v>0</v>
      </c>
      <c r="J180" s="67">
        <v>0</v>
      </c>
      <c r="K180" s="67">
        <v>240</v>
      </c>
      <c r="L180" s="67">
        <v>940</v>
      </c>
      <c r="M180" s="67">
        <v>1090</v>
      </c>
      <c r="N180" s="67">
        <v>0</v>
      </c>
      <c r="O180" s="67">
        <v>0</v>
      </c>
      <c r="P180" s="67">
        <v>0</v>
      </c>
      <c r="Q180" s="67">
        <v>0</v>
      </c>
      <c r="R180" s="67">
        <v>0</v>
      </c>
      <c r="S180" s="190">
        <v>0</v>
      </c>
      <c r="T180" s="191"/>
      <c r="U180" s="193" t="s">
        <v>1556</v>
      </c>
      <c r="V180" s="191" t="s">
        <v>334</v>
      </c>
      <c r="W180" s="192">
        <v>17.600000000000001</v>
      </c>
      <c r="X180" s="191">
        <v>0</v>
      </c>
      <c r="Y180" s="191">
        <v>159.81595999999999</v>
      </c>
      <c r="Z180" s="191">
        <v>877.48706000000004</v>
      </c>
      <c r="AA180" s="191">
        <v>1813.8321900000001</v>
      </c>
      <c r="AB180" s="191">
        <v>3068.4891499999999</v>
      </c>
      <c r="AC180" s="191">
        <v>3355.1104399999999</v>
      </c>
      <c r="AD180" s="191">
        <v>0</v>
      </c>
      <c r="AE180" s="191">
        <v>0</v>
      </c>
      <c r="AF180" s="191">
        <v>0</v>
      </c>
      <c r="AG180" s="191">
        <v>0</v>
      </c>
      <c r="AH180" s="191">
        <v>0</v>
      </c>
      <c r="AK180" s="155"/>
      <c r="AL180" s="144" t="s">
        <v>241</v>
      </c>
    </row>
    <row r="181" spans="1:38">
      <c r="A181" s="155" t="s">
        <v>266</v>
      </c>
      <c r="B181" t="s">
        <v>1345</v>
      </c>
      <c r="C181" t="s">
        <v>1363</v>
      </c>
      <c r="D181" t="s">
        <v>266</v>
      </c>
      <c r="E181" t="s">
        <v>208</v>
      </c>
      <c r="F181" t="s">
        <v>976</v>
      </c>
      <c r="G181">
        <v>1</v>
      </c>
      <c r="H181" s="189">
        <v>192.33851999999999</v>
      </c>
      <c r="I181" s="67">
        <v>190.71915999999999</v>
      </c>
      <c r="J181" s="67">
        <v>190.71915999999999</v>
      </c>
      <c r="K181" s="67">
        <v>143.79170999999999</v>
      </c>
      <c r="L181" s="67">
        <v>3338.6907900000001</v>
      </c>
      <c r="M181" s="67">
        <v>493.82065999999998</v>
      </c>
      <c r="N181" s="67">
        <v>85.389020000000002</v>
      </c>
      <c r="O181" s="67">
        <v>0</v>
      </c>
      <c r="P181" s="67">
        <v>0</v>
      </c>
      <c r="Q181" s="67">
        <v>0</v>
      </c>
      <c r="R181" s="67">
        <v>0</v>
      </c>
      <c r="S181" s="190">
        <v>0</v>
      </c>
      <c r="T181" s="191"/>
      <c r="U181" s="193" t="s">
        <v>1308</v>
      </c>
      <c r="V181" s="191" t="s">
        <v>335</v>
      </c>
      <c r="W181" s="192"/>
      <c r="X181" s="191"/>
      <c r="Y181" s="191"/>
      <c r="Z181" s="191"/>
      <c r="AA181" s="191"/>
      <c r="AB181" s="191"/>
      <c r="AC181" s="191"/>
      <c r="AD181" s="191"/>
      <c r="AE181" s="191"/>
      <c r="AF181" s="191"/>
      <c r="AG181" s="191"/>
      <c r="AH181" s="191"/>
      <c r="AK181" s="155"/>
      <c r="AL181" s="144" t="s">
        <v>242</v>
      </c>
    </row>
    <row r="182" spans="1:38">
      <c r="A182" s="155" t="s">
        <v>258</v>
      </c>
      <c r="B182" t="s">
        <v>1345</v>
      </c>
      <c r="C182" t="s">
        <v>1364</v>
      </c>
      <c r="D182" t="s">
        <v>258</v>
      </c>
      <c r="E182" t="s">
        <v>207</v>
      </c>
      <c r="F182" t="s">
        <v>976</v>
      </c>
      <c r="G182">
        <v>4.4000000000000004</v>
      </c>
      <c r="H182" s="189">
        <v>519.33879999999999</v>
      </c>
      <c r="I182" s="67">
        <v>210.8092</v>
      </c>
      <c r="J182" s="67">
        <v>803.23541999999998</v>
      </c>
      <c r="K182" s="67">
        <v>913.95478000000003</v>
      </c>
      <c r="L182" s="67">
        <v>334.69596000000001</v>
      </c>
      <c r="M182" s="67">
        <v>7189.8461500000003</v>
      </c>
      <c r="N182" s="67">
        <v>493.64819999999997</v>
      </c>
      <c r="O182" s="67">
        <v>0</v>
      </c>
      <c r="P182" s="67">
        <v>0</v>
      </c>
      <c r="Q182" s="67">
        <v>0</v>
      </c>
      <c r="R182" s="67">
        <v>0</v>
      </c>
      <c r="S182" s="190">
        <v>0</v>
      </c>
      <c r="T182" s="191"/>
      <c r="U182" s="193" t="s">
        <v>1312</v>
      </c>
      <c r="V182" s="191" t="s">
        <v>355</v>
      </c>
      <c r="W182" s="192">
        <v>48.2</v>
      </c>
      <c r="X182" s="191">
        <v>0</v>
      </c>
      <c r="Y182" s="191">
        <v>0</v>
      </c>
      <c r="Z182" s="191">
        <v>0</v>
      </c>
      <c r="AA182" s="191">
        <v>0</v>
      </c>
      <c r="AB182" s="191">
        <v>620</v>
      </c>
      <c r="AC182" s="191">
        <v>4867</v>
      </c>
      <c r="AD182" s="191">
        <v>6673</v>
      </c>
      <c r="AE182" s="191">
        <v>7140</v>
      </c>
      <c r="AF182" s="191">
        <v>11673</v>
      </c>
      <c r="AG182" s="191">
        <v>11673</v>
      </c>
      <c r="AH182" s="191">
        <v>5730</v>
      </c>
      <c r="AK182" s="155"/>
      <c r="AL182" s="144" t="s">
        <v>244</v>
      </c>
    </row>
    <row r="183" spans="1:38">
      <c r="A183" s="155" t="s">
        <v>260</v>
      </c>
      <c r="B183" t="s">
        <v>1345</v>
      </c>
      <c r="C183" t="s">
        <v>1365</v>
      </c>
      <c r="D183" t="s">
        <v>260</v>
      </c>
      <c r="E183" t="s">
        <v>207</v>
      </c>
      <c r="F183" t="s">
        <v>979</v>
      </c>
      <c r="G183">
        <v>9.5</v>
      </c>
      <c r="H183" s="189">
        <v>0</v>
      </c>
      <c r="I183" s="67">
        <v>0</v>
      </c>
      <c r="J183" s="67">
        <v>0</v>
      </c>
      <c r="K183" s="67">
        <v>0</v>
      </c>
      <c r="L183" s="67">
        <v>121.551</v>
      </c>
      <c r="M183" s="67">
        <v>1616.623</v>
      </c>
      <c r="N183" s="67">
        <v>583.44299999999998</v>
      </c>
      <c r="O183" s="67">
        <v>1442.4839999999999</v>
      </c>
      <c r="P183" s="67">
        <v>9579.1859999999997</v>
      </c>
      <c r="Q183" s="67">
        <v>9579.1859999999997</v>
      </c>
      <c r="R183" s="67">
        <v>5793.8620000000001</v>
      </c>
      <c r="S183" s="190">
        <v>0</v>
      </c>
      <c r="T183" s="191"/>
      <c r="U183" s="193" t="s">
        <v>1315</v>
      </c>
      <c r="V183" s="191" t="s">
        <v>281</v>
      </c>
      <c r="W183" s="192"/>
      <c r="X183" s="191"/>
      <c r="Y183" s="191"/>
      <c r="Z183" s="191"/>
      <c r="AA183" s="191"/>
      <c r="AB183" s="191"/>
      <c r="AC183" s="191"/>
      <c r="AD183" s="191"/>
      <c r="AE183" s="191"/>
      <c r="AF183" s="191"/>
      <c r="AG183" s="191"/>
      <c r="AH183" s="191"/>
      <c r="AK183" s="155"/>
      <c r="AL183" s="144" t="s">
        <v>245</v>
      </c>
    </row>
    <row r="184" spans="1:38">
      <c r="A184" s="155" t="s">
        <v>269</v>
      </c>
      <c r="B184" t="s">
        <v>1345</v>
      </c>
      <c r="C184" t="s">
        <v>1366</v>
      </c>
      <c r="D184" t="s">
        <v>269</v>
      </c>
      <c r="E184" t="s">
        <v>208</v>
      </c>
      <c r="F184" t="s">
        <v>979</v>
      </c>
      <c r="G184">
        <v>2.5</v>
      </c>
      <c r="H184" s="189">
        <v>13.808440000000001</v>
      </c>
      <c r="I184" s="67">
        <v>0</v>
      </c>
      <c r="J184" s="67">
        <v>191.75</v>
      </c>
      <c r="K184" s="67">
        <v>0</v>
      </c>
      <c r="L184" s="67">
        <v>0</v>
      </c>
      <c r="M184" s="67">
        <v>0</v>
      </c>
      <c r="N184" s="67">
        <v>0</v>
      </c>
      <c r="O184" s="67">
        <v>0</v>
      </c>
      <c r="P184" s="67">
        <v>0</v>
      </c>
      <c r="Q184" s="67">
        <v>0</v>
      </c>
      <c r="R184" s="67">
        <v>0</v>
      </c>
      <c r="S184" s="190">
        <v>0</v>
      </c>
      <c r="T184" s="191"/>
      <c r="U184" s="193" t="s">
        <v>1320</v>
      </c>
      <c r="V184" s="191" t="s">
        <v>220</v>
      </c>
      <c r="W184" s="192"/>
      <c r="X184" s="191"/>
      <c r="Y184" s="191"/>
      <c r="Z184" s="191"/>
      <c r="AA184" s="191"/>
      <c r="AB184" s="191"/>
      <c r="AC184" s="191"/>
      <c r="AD184" s="191"/>
      <c r="AE184" s="191"/>
      <c r="AF184" s="191"/>
      <c r="AG184" s="191"/>
      <c r="AH184" s="191"/>
      <c r="AK184" s="155"/>
      <c r="AL184" s="144" t="s">
        <v>209</v>
      </c>
    </row>
    <row r="185" spans="1:38">
      <c r="A185" s="155" t="s">
        <v>265</v>
      </c>
      <c r="B185" t="s">
        <v>1345</v>
      </c>
      <c r="C185" t="s">
        <v>1367</v>
      </c>
      <c r="D185" t="s">
        <v>265</v>
      </c>
      <c r="E185" t="s">
        <v>208</v>
      </c>
      <c r="F185" t="s">
        <v>976</v>
      </c>
      <c r="G185">
        <v>1.2410000000000001</v>
      </c>
      <c r="H185" s="189">
        <v>23.482839999999999</v>
      </c>
      <c r="I185" s="67">
        <v>164.3</v>
      </c>
      <c r="J185" s="67">
        <v>0</v>
      </c>
      <c r="K185" s="67">
        <v>0</v>
      </c>
      <c r="L185" s="67">
        <v>0</v>
      </c>
      <c r="M185" s="67">
        <v>0</v>
      </c>
      <c r="N185" s="67">
        <v>0</v>
      </c>
      <c r="O185" s="67">
        <v>0</v>
      </c>
      <c r="P185" s="67">
        <v>0</v>
      </c>
      <c r="Q185" s="67">
        <v>0</v>
      </c>
      <c r="R185" s="67">
        <v>0</v>
      </c>
      <c r="S185" s="190">
        <v>0</v>
      </c>
      <c r="T185" s="191"/>
      <c r="U185" s="191" t="s">
        <v>1322</v>
      </c>
      <c r="V185" s="191" t="s">
        <v>297</v>
      </c>
      <c r="W185" s="192"/>
      <c r="X185" s="191"/>
      <c r="Y185" s="191"/>
      <c r="Z185" s="191"/>
      <c r="AA185" s="191"/>
      <c r="AB185" s="191"/>
      <c r="AC185" s="191"/>
      <c r="AD185" s="191"/>
      <c r="AE185" s="191"/>
      <c r="AF185" s="191"/>
      <c r="AG185" s="191"/>
      <c r="AH185" s="191"/>
      <c r="AK185" s="155"/>
      <c r="AL185" s="144" t="s">
        <v>211</v>
      </c>
    </row>
    <row r="186" spans="1:38">
      <c r="A186" s="155" t="s">
        <v>265</v>
      </c>
      <c r="B186" t="s">
        <v>1345</v>
      </c>
      <c r="C186" t="s">
        <v>1368</v>
      </c>
      <c r="D186" t="s">
        <v>265</v>
      </c>
      <c r="E186" t="s">
        <v>208</v>
      </c>
      <c r="F186" t="s">
        <v>976</v>
      </c>
      <c r="G186">
        <v>1.2410000000000001</v>
      </c>
      <c r="H186" s="189">
        <v>38.409039999999997</v>
      </c>
      <c r="I186" s="67">
        <v>206.5</v>
      </c>
      <c r="J186" s="67">
        <v>0</v>
      </c>
      <c r="K186" s="67">
        <v>0</v>
      </c>
      <c r="L186" s="67">
        <v>0</v>
      </c>
      <c r="M186" s="67">
        <v>0</v>
      </c>
      <c r="N186" s="67">
        <v>0</v>
      </c>
      <c r="O186" s="67">
        <v>0</v>
      </c>
      <c r="P186" s="67">
        <v>0</v>
      </c>
      <c r="Q186" s="67">
        <v>0</v>
      </c>
      <c r="R186" s="67">
        <v>0</v>
      </c>
      <c r="S186" s="190">
        <v>0</v>
      </c>
      <c r="T186" s="191"/>
      <c r="U186" s="193" t="s">
        <v>1546</v>
      </c>
      <c r="V186" s="191" t="s">
        <v>266</v>
      </c>
      <c r="W186" s="192">
        <v>2</v>
      </c>
      <c r="X186" s="191">
        <v>0</v>
      </c>
      <c r="Y186" s="191">
        <v>235.80004</v>
      </c>
      <c r="Z186" s="191">
        <v>0</v>
      </c>
      <c r="AA186" s="191">
        <v>0</v>
      </c>
      <c r="AB186" s="191">
        <v>0</v>
      </c>
      <c r="AC186" s="191">
        <v>0</v>
      </c>
      <c r="AD186" s="191">
        <v>0</v>
      </c>
      <c r="AE186" s="191">
        <v>0</v>
      </c>
      <c r="AF186" s="191">
        <v>0</v>
      </c>
      <c r="AG186" s="191">
        <v>0</v>
      </c>
      <c r="AH186" s="191">
        <v>0</v>
      </c>
      <c r="AK186" s="155"/>
      <c r="AL186" s="144" t="s">
        <v>213</v>
      </c>
    </row>
    <row r="187" spans="1:38">
      <c r="A187" s="155" t="s">
        <v>268</v>
      </c>
      <c r="B187" t="s">
        <v>1345</v>
      </c>
      <c r="C187" t="s">
        <v>1369</v>
      </c>
      <c r="D187" t="s">
        <v>268</v>
      </c>
      <c r="E187" t="s">
        <v>208</v>
      </c>
      <c r="F187" t="s">
        <v>979</v>
      </c>
      <c r="G187">
        <v>2</v>
      </c>
      <c r="H187" s="189">
        <v>0</v>
      </c>
      <c r="I187" s="67">
        <v>0</v>
      </c>
      <c r="J187" s="67">
        <v>410</v>
      </c>
      <c r="K187" s="67">
        <v>1575</v>
      </c>
      <c r="L187" s="67">
        <v>6277</v>
      </c>
      <c r="M187" s="67">
        <v>401</v>
      </c>
      <c r="N187" s="67">
        <v>0</v>
      </c>
      <c r="O187" s="67">
        <v>0</v>
      </c>
      <c r="P187" s="67">
        <v>0</v>
      </c>
      <c r="Q187" s="67">
        <v>0</v>
      </c>
      <c r="R187" s="67">
        <v>0</v>
      </c>
      <c r="S187" s="190">
        <v>0</v>
      </c>
      <c r="T187" s="191"/>
      <c r="U187" s="193" t="s">
        <v>1470</v>
      </c>
      <c r="V187" s="191" t="s">
        <v>247</v>
      </c>
      <c r="W187" s="192">
        <v>8.8000000000000007</v>
      </c>
      <c r="X187" s="191">
        <v>41.700200000000009</v>
      </c>
      <c r="Y187" s="191">
        <v>15</v>
      </c>
      <c r="Z187" s="191">
        <v>616</v>
      </c>
      <c r="AA187" s="191">
        <v>0</v>
      </c>
      <c r="AB187" s="191">
        <v>0</v>
      </c>
      <c r="AC187" s="191">
        <v>0</v>
      </c>
      <c r="AD187" s="191">
        <v>0</v>
      </c>
      <c r="AE187" s="191">
        <v>0</v>
      </c>
      <c r="AF187" s="191">
        <v>0</v>
      </c>
      <c r="AG187" s="191">
        <v>0</v>
      </c>
      <c r="AH187" s="191">
        <v>0</v>
      </c>
      <c r="AK187" s="155"/>
      <c r="AL187" s="144" t="s">
        <v>215</v>
      </c>
    </row>
    <row r="188" spans="1:38">
      <c r="A188" s="155" t="s">
        <v>233</v>
      </c>
      <c r="B188" t="s">
        <v>1345</v>
      </c>
      <c r="C188" t="s">
        <v>1370</v>
      </c>
      <c r="D188" t="s">
        <v>233</v>
      </c>
      <c r="E188" t="s">
        <v>208</v>
      </c>
      <c r="F188" t="s">
        <v>976</v>
      </c>
      <c r="G188">
        <v>5</v>
      </c>
      <c r="H188" s="189">
        <v>0</v>
      </c>
      <c r="I188" s="67">
        <v>0</v>
      </c>
      <c r="J188" s="67">
        <v>0</v>
      </c>
      <c r="K188" s="67">
        <v>0</v>
      </c>
      <c r="L188" s="67">
        <v>0</v>
      </c>
      <c r="M188" s="67">
        <v>0</v>
      </c>
      <c r="N188" s="67">
        <v>0</v>
      </c>
      <c r="O188" s="67">
        <v>425.7</v>
      </c>
      <c r="P188" s="67">
        <v>1633.5</v>
      </c>
      <c r="Q188" s="67">
        <v>1900.8</v>
      </c>
      <c r="R188" s="67">
        <v>0</v>
      </c>
      <c r="S188" s="190">
        <v>0</v>
      </c>
      <c r="T188" s="191"/>
      <c r="U188" s="193" t="s">
        <v>1323</v>
      </c>
      <c r="V188" s="191" t="s">
        <v>224</v>
      </c>
      <c r="W188" s="192">
        <v>26.5</v>
      </c>
      <c r="X188" s="191">
        <v>0</v>
      </c>
      <c r="Y188" s="191">
        <v>0</v>
      </c>
      <c r="Z188" s="191">
        <v>0</v>
      </c>
      <c r="AA188" s="191">
        <v>0</v>
      </c>
      <c r="AB188" s="191">
        <v>99.999960000000002</v>
      </c>
      <c r="AC188" s="191">
        <v>3900</v>
      </c>
      <c r="AD188" s="191">
        <v>4439.04</v>
      </c>
      <c r="AE188" s="191">
        <v>0</v>
      </c>
      <c r="AF188" s="191">
        <v>0</v>
      </c>
      <c r="AG188" s="191">
        <v>0</v>
      </c>
      <c r="AH188" s="191">
        <v>0</v>
      </c>
      <c r="AK188" s="155"/>
      <c r="AL188" s="144" t="s">
        <v>217</v>
      </c>
    </row>
    <row r="189" spans="1:38">
      <c r="A189" s="155" t="s">
        <v>270</v>
      </c>
      <c r="B189" t="s">
        <v>1345</v>
      </c>
      <c r="C189" t="s">
        <v>1371</v>
      </c>
      <c r="D189" t="s">
        <v>270</v>
      </c>
      <c r="E189" t="s">
        <v>208</v>
      </c>
      <c r="F189" t="s">
        <v>976</v>
      </c>
      <c r="G189">
        <v>5</v>
      </c>
      <c r="H189" s="189">
        <v>0</v>
      </c>
      <c r="I189" s="67">
        <v>0</v>
      </c>
      <c r="J189" s="67">
        <v>0</v>
      </c>
      <c r="K189" s="67">
        <v>0</v>
      </c>
      <c r="L189" s="67">
        <v>0</v>
      </c>
      <c r="M189" s="67">
        <v>0</v>
      </c>
      <c r="N189" s="67">
        <v>250</v>
      </c>
      <c r="O189" s="67">
        <v>1830</v>
      </c>
      <c r="P189" s="67">
        <v>1850</v>
      </c>
      <c r="Q189" s="67">
        <v>1020</v>
      </c>
      <c r="R189" s="67">
        <v>0</v>
      </c>
      <c r="S189" s="190">
        <v>0</v>
      </c>
      <c r="T189" s="191"/>
      <c r="U189" s="193" t="s">
        <v>1325</v>
      </c>
      <c r="V189" s="191" t="s">
        <v>251</v>
      </c>
      <c r="W189" s="192"/>
      <c r="X189" s="191"/>
      <c r="Y189" s="191"/>
      <c r="Z189" s="191"/>
      <c r="AA189" s="191"/>
      <c r="AB189" s="191"/>
      <c r="AC189" s="191"/>
      <c r="AD189" s="191"/>
      <c r="AE189" s="191"/>
      <c r="AF189" s="191"/>
      <c r="AG189" s="191"/>
      <c r="AH189" s="191"/>
      <c r="AK189" s="155"/>
      <c r="AL189" s="144" t="s">
        <v>219</v>
      </c>
    </row>
    <row r="190" spans="1:38">
      <c r="A190" s="155" t="s">
        <v>270</v>
      </c>
      <c r="B190" t="s">
        <v>1345</v>
      </c>
      <c r="C190" t="s">
        <v>1372</v>
      </c>
      <c r="D190" t="s">
        <v>270</v>
      </c>
      <c r="E190" t="s">
        <v>208</v>
      </c>
      <c r="F190" t="s">
        <v>976</v>
      </c>
      <c r="G190">
        <v>5</v>
      </c>
      <c r="H190" s="189">
        <v>0</v>
      </c>
      <c r="I190" s="67">
        <v>0</v>
      </c>
      <c r="J190" s="67">
        <v>0</v>
      </c>
      <c r="K190" s="67">
        <v>0</v>
      </c>
      <c r="L190" s="67">
        <v>0</v>
      </c>
      <c r="M190" s="67">
        <v>0</v>
      </c>
      <c r="N190" s="67">
        <v>0</v>
      </c>
      <c r="O190" s="67">
        <v>425.7</v>
      </c>
      <c r="P190" s="67">
        <v>1633.5</v>
      </c>
      <c r="Q190" s="67">
        <v>1900.8</v>
      </c>
      <c r="R190" s="67">
        <v>0</v>
      </c>
      <c r="S190" s="190">
        <v>0</v>
      </c>
      <c r="T190" s="191"/>
      <c r="U190" s="193" t="s">
        <v>1328</v>
      </c>
      <c r="V190" s="191" t="s">
        <v>229</v>
      </c>
      <c r="W190" s="192">
        <v>40</v>
      </c>
      <c r="X190" s="191">
        <v>0</v>
      </c>
      <c r="Y190" s="191">
        <v>0</v>
      </c>
      <c r="Z190" s="191">
        <v>1260</v>
      </c>
      <c r="AA190" s="191">
        <v>1800</v>
      </c>
      <c r="AB190" s="191">
        <v>2168</v>
      </c>
      <c r="AC190" s="191">
        <v>10253</v>
      </c>
      <c r="AD190" s="191">
        <v>13774</v>
      </c>
      <c r="AE190" s="191">
        <v>13542</v>
      </c>
      <c r="AF190" s="191">
        <v>8461</v>
      </c>
      <c r="AG190" s="191">
        <v>0</v>
      </c>
      <c r="AH190" s="191">
        <v>0</v>
      </c>
      <c r="AK190" s="155"/>
      <c r="AL190" s="144" t="s">
        <v>221</v>
      </c>
    </row>
    <row r="191" spans="1:38">
      <c r="A191" s="155" t="s">
        <v>272</v>
      </c>
      <c r="B191" t="s">
        <v>1345</v>
      </c>
      <c r="C191" t="s">
        <v>1373</v>
      </c>
      <c r="D191" t="s">
        <v>272</v>
      </c>
      <c r="E191" t="s">
        <v>207</v>
      </c>
      <c r="F191" t="s">
        <v>976</v>
      </c>
      <c r="G191">
        <v>15.6</v>
      </c>
      <c r="H191" s="189">
        <v>5.5566800000000001</v>
      </c>
      <c r="I191" s="67">
        <v>69.999589999999998</v>
      </c>
      <c r="J191" s="67">
        <v>179.99979999999999</v>
      </c>
      <c r="K191" s="67">
        <v>479.99952000000002</v>
      </c>
      <c r="L191" s="67">
        <v>2320</v>
      </c>
      <c r="M191" s="67">
        <v>7250</v>
      </c>
      <c r="N191" s="67">
        <v>360</v>
      </c>
      <c r="O191" s="67">
        <v>0</v>
      </c>
      <c r="P191" s="67">
        <v>0</v>
      </c>
      <c r="Q191" s="67">
        <v>0</v>
      </c>
      <c r="R191" s="67">
        <v>0</v>
      </c>
      <c r="S191" s="190">
        <v>0</v>
      </c>
      <c r="T191" s="191"/>
      <c r="U191" s="193" t="s">
        <v>1337</v>
      </c>
      <c r="V191" s="191" t="s">
        <v>252</v>
      </c>
      <c r="W191" s="192">
        <v>7</v>
      </c>
      <c r="X191" s="191">
        <v>0</v>
      </c>
      <c r="Y191" s="191">
        <v>240</v>
      </c>
      <c r="Z191" s="191">
        <v>1273</v>
      </c>
      <c r="AA191" s="191">
        <v>5805</v>
      </c>
      <c r="AB191" s="191">
        <v>7093.9999900000003</v>
      </c>
      <c r="AC191" s="191">
        <v>3435</v>
      </c>
      <c r="AD191" s="191">
        <v>489</v>
      </c>
      <c r="AE191" s="191">
        <v>0</v>
      </c>
      <c r="AF191" s="191">
        <v>0</v>
      </c>
      <c r="AG191" s="191">
        <v>0</v>
      </c>
      <c r="AH191" s="191">
        <v>0</v>
      </c>
      <c r="AK191" s="155"/>
      <c r="AL191" s="144" t="s">
        <v>246</v>
      </c>
    </row>
    <row r="192" spans="1:38">
      <c r="A192" s="155" t="s">
        <v>214</v>
      </c>
      <c r="B192" t="s">
        <v>1345</v>
      </c>
      <c r="C192" t="s">
        <v>1377</v>
      </c>
      <c r="D192" t="s">
        <v>214</v>
      </c>
      <c r="E192" t="s">
        <v>208</v>
      </c>
      <c r="F192" t="s">
        <v>976</v>
      </c>
      <c r="G192">
        <v>20</v>
      </c>
      <c r="H192" s="189">
        <v>0</v>
      </c>
      <c r="I192" s="67">
        <v>0</v>
      </c>
      <c r="J192" s="67">
        <v>0</v>
      </c>
      <c r="K192" s="67">
        <v>0</v>
      </c>
      <c r="L192" s="67">
        <v>0</v>
      </c>
      <c r="M192" s="67">
        <v>100</v>
      </c>
      <c r="N192" s="67">
        <v>500</v>
      </c>
      <c r="O192" s="67">
        <v>5000</v>
      </c>
      <c r="P192" s="67">
        <v>2000</v>
      </c>
      <c r="Q192" s="67">
        <v>100</v>
      </c>
      <c r="R192" s="67">
        <v>0</v>
      </c>
      <c r="S192" s="190">
        <v>0</v>
      </c>
      <c r="T192" s="191"/>
      <c r="U192" s="193" t="s">
        <v>1502</v>
      </c>
      <c r="V192" s="191" t="s">
        <v>279</v>
      </c>
      <c r="W192" s="192">
        <v>5</v>
      </c>
      <c r="X192" s="191">
        <v>0</v>
      </c>
      <c r="Y192" s="191">
        <v>0</v>
      </c>
      <c r="Z192" s="191">
        <v>350</v>
      </c>
      <c r="AA192" s="191">
        <v>0</v>
      </c>
      <c r="AB192" s="191">
        <v>0</v>
      </c>
      <c r="AC192" s="191">
        <v>0</v>
      </c>
      <c r="AD192" s="191">
        <v>0</v>
      </c>
      <c r="AE192" s="191">
        <v>0</v>
      </c>
      <c r="AF192" s="191">
        <v>0</v>
      </c>
      <c r="AG192" s="191">
        <v>0</v>
      </c>
      <c r="AH192" s="191">
        <v>0</v>
      </c>
      <c r="AK192" s="155"/>
      <c r="AL192" s="144" t="s">
        <v>223</v>
      </c>
    </row>
    <row r="193" spans="1:38">
      <c r="A193" s="155" t="s">
        <v>264</v>
      </c>
      <c r="B193" t="s">
        <v>1345</v>
      </c>
      <c r="C193" t="s">
        <v>1378</v>
      </c>
      <c r="D193" t="s">
        <v>264</v>
      </c>
      <c r="E193" t="s">
        <v>208</v>
      </c>
      <c r="F193" t="s">
        <v>976</v>
      </c>
      <c r="G193">
        <v>40</v>
      </c>
      <c r="H193" s="189">
        <v>0</v>
      </c>
      <c r="I193" s="67">
        <v>125.00000000000003</v>
      </c>
      <c r="J193" s="67">
        <v>250</v>
      </c>
      <c r="K193" s="67">
        <v>870</v>
      </c>
      <c r="L193" s="67">
        <v>5120</v>
      </c>
      <c r="M193" s="67">
        <v>5160</v>
      </c>
      <c r="N193" s="67">
        <v>500</v>
      </c>
      <c r="O193" s="67">
        <v>0</v>
      </c>
      <c r="P193" s="67">
        <v>0</v>
      </c>
      <c r="Q193" s="67">
        <v>0</v>
      </c>
      <c r="R193" s="67">
        <v>0</v>
      </c>
      <c r="S193" s="190">
        <v>0</v>
      </c>
      <c r="T193" s="191"/>
      <c r="U193" s="191"/>
      <c r="V193" s="191"/>
      <c r="W193" s="192"/>
      <c r="X193" s="191"/>
      <c r="Y193" s="191"/>
      <c r="Z193" s="191"/>
      <c r="AA193" s="191"/>
      <c r="AB193" s="191"/>
      <c r="AC193" s="191"/>
      <c r="AD193" s="191"/>
      <c r="AE193" s="191"/>
      <c r="AF193" s="191"/>
      <c r="AG193" s="191"/>
      <c r="AH193" s="191"/>
      <c r="AK193" s="155"/>
      <c r="AL193" s="144" t="s">
        <v>226</v>
      </c>
    </row>
    <row r="194" spans="1:38">
      <c r="A194" s="155" t="s">
        <v>264</v>
      </c>
      <c r="B194" t="s">
        <v>1345</v>
      </c>
      <c r="C194" t="s">
        <v>1379</v>
      </c>
      <c r="D194" t="s">
        <v>264</v>
      </c>
      <c r="E194" t="s">
        <v>207</v>
      </c>
      <c r="F194" t="s">
        <v>976</v>
      </c>
      <c r="G194">
        <v>40</v>
      </c>
      <c r="H194" s="189">
        <v>0</v>
      </c>
      <c r="I194" s="67">
        <v>1200</v>
      </c>
      <c r="J194" s="67">
        <v>1100</v>
      </c>
      <c r="K194" s="67">
        <v>2700</v>
      </c>
      <c r="L194" s="67">
        <v>7600</v>
      </c>
      <c r="M194" s="67">
        <v>6900</v>
      </c>
      <c r="N194" s="67">
        <v>1000</v>
      </c>
      <c r="O194" s="67">
        <v>0</v>
      </c>
      <c r="P194" s="67">
        <v>0</v>
      </c>
      <c r="Q194" s="67">
        <v>0</v>
      </c>
      <c r="R194" s="67">
        <v>0</v>
      </c>
      <c r="S194" s="190">
        <v>0</v>
      </c>
      <c r="T194" s="191"/>
      <c r="U194" s="191"/>
      <c r="V194" s="191"/>
      <c r="W194" s="192"/>
      <c r="X194" s="191"/>
      <c r="Y194" s="191"/>
      <c r="Z194" s="191"/>
      <c r="AA194" s="191"/>
      <c r="AB194" s="191"/>
      <c r="AC194" s="191"/>
      <c r="AD194" s="191"/>
      <c r="AE194" s="191"/>
      <c r="AF194" s="191"/>
      <c r="AG194" s="191"/>
      <c r="AH194" s="191"/>
      <c r="AK194" s="155"/>
      <c r="AL194" s="144" t="s">
        <v>249</v>
      </c>
    </row>
    <row r="195" spans="1:38">
      <c r="A195" s="155" t="s">
        <v>236</v>
      </c>
      <c r="B195" t="s">
        <v>1345</v>
      </c>
      <c r="C195" t="s">
        <v>1381</v>
      </c>
      <c r="D195" t="s">
        <v>236</v>
      </c>
      <c r="E195" t="s">
        <v>208</v>
      </c>
      <c r="F195" t="s">
        <v>976</v>
      </c>
      <c r="G195">
        <v>22</v>
      </c>
      <c r="H195" s="189">
        <v>0</v>
      </c>
      <c r="I195" s="67">
        <v>120</v>
      </c>
      <c r="J195" s="67">
        <v>220</v>
      </c>
      <c r="K195" s="67">
        <v>1070</v>
      </c>
      <c r="L195" s="67">
        <v>7450</v>
      </c>
      <c r="M195" s="67">
        <v>1990</v>
      </c>
      <c r="N195" s="67">
        <v>500</v>
      </c>
      <c r="O195" s="67">
        <v>0</v>
      </c>
      <c r="P195" s="67">
        <v>0</v>
      </c>
      <c r="Q195" s="67">
        <v>0</v>
      </c>
      <c r="R195" s="67">
        <v>0</v>
      </c>
      <c r="S195" s="190">
        <v>0</v>
      </c>
      <c r="T195" s="191"/>
      <c r="U195" s="191"/>
      <c r="V195" s="191"/>
      <c r="W195" s="191"/>
      <c r="X195" s="191"/>
      <c r="Y195" s="191"/>
      <c r="Z195" s="191"/>
      <c r="AA195" s="191"/>
      <c r="AB195" s="191"/>
      <c r="AC195" s="191"/>
      <c r="AD195" s="191"/>
      <c r="AE195" s="191"/>
      <c r="AF195" s="191"/>
      <c r="AG195" s="191"/>
      <c r="AH195" s="191"/>
      <c r="AK195" s="155"/>
      <c r="AL195" s="144" t="s">
        <v>251</v>
      </c>
    </row>
    <row r="196" spans="1:38">
      <c r="A196" s="155" t="s">
        <v>236</v>
      </c>
      <c r="B196" t="s">
        <v>1345</v>
      </c>
      <c r="C196" t="s">
        <v>1382</v>
      </c>
      <c r="D196" t="s">
        <v>236</v>
      </c>
      <c r="E196" t="s">
        <v>207</v>
      </c>
      <c r="F196" t="s">
        <v>976</v>
      </c>
      <c r="G196">
        <v>25</v>
      </c>
      <c r="H196" s="189">
        <v>0</v>
      </c>
      <c r="I196" s="67">
        <v>2300</v>
      </c>
      <c r="J196" s="67">
        <v>850</v>
      </c>
      <c r="K196" s="67">
        <v>5100</v>
      </c>
      <c r="L196" s="67">
        <v>8500</v>
      </c>
      <c r="M196" s="67">
        <v>5300</v>
      </c>
      <c r="N196" s="67">
        <v>1000</v>
      </c>
      <c r="O196" s="67">
        <v>0</v>
      </c>
      <c r="P196" s="67">
        <v>0</v>
      </c>
      <c r="Q196" s="67">
        <v>0</v>
      </c>
      <c r="R196" s="67">
        <v>0</v>
      </c>
      <c r="S196" s="190">
        <v>0</v>
      </c>
      <c r="T196" s="191"/>
      <c r="U196" s="191"/>
      <c r="V196" s="191"/>
      <c r="W196" s="191"/>
      <c r="X196" s="191"/>
      <c r="Y196" s="191"/>
      <c r="Z196" s="191"/>
      <c r="AA196" s="191"/>
      <c r="AB196" s="191"/>
      <c r="AC196" s="191"/>
      <c r="AD196" s="191"/>
      <c r="AE196" s="191"/>
      <c r="AF196" s="191"/>
      <c r="AG196" s="191"/>
      <c r="AH196" s="191"/>
      <c r="AK196" s="155"/>
      <c r="AL196" s="144" t="s">
        <v>247</v>
      </c>
    </row>
    <row r="197" spans="1:38">
      <c r="A197" s="155" t="s">
        <v>271</v>
      </c>
      <c r="B197" t="s">
        <v>1345</v>
      </c>
      <c r="C197" t="s">
        <v>1384</v>
      </c>
      <c r="D197" t="s">
        <v>271</v>
      </c>
      <c r="E197" t="s">
        <v>208</v>
      </c>
      <c r="F197" t="s">
        <v>976</v>
      </c>
      <c r="G197">
        <v>22</v>
      </c>
      <c r="H197" s="189">
        <v>0</v>
      </c>
      <c r="I197" s="67">
        <v>120</v>
      </c>
      <c r="J197" s="67">
        <v>220</v>
      </c>
      <c r="K197" s="67">
        <v>1580</v>
      </c>
      <c r="L197" s="67">
        <v>7150</v>
      </c>
      <c r="M197" s="67">
        <v>3040</v>
      </c>
      <c r="N197" s="67">
        <v>500</v>
      </c>
      <c r="O197" s="67">
        <v>0</v>
      </c>
      <c r="P197" s="67">
        <v>0</v>
      </c>
      <c r="Q197" s="67">
        <v>0</v>
      </c>
      <c r="R197" s="67">
        <v>0</v>
      </c>
      <c r="S197" s="190">
        <v>0</v>
      </c>
      <c r="T197" s="191"/>
      <c r="U197" s="191"/>
      <c r="V197" s="191"/>
      <c r="W197" s="191"/>
      <c r="X197" s="191"/>
      <c r="Y197" s="191"/>
      <c r="Z197" s="191"/>
      <c r="AA197" s="191"/>
      <c r="AB197" s="191"/>
      <c r="AC197" s="191"/>
      <c r="AD197" s="191"/>
      <c r="AE197" s="191"/>
      <c r="AF197" s="191"/>
      <c r="AG197" s="191"/>
      <c r="AH197" s="191"/>
      <c r="AK197" s="155"/>
      <c r="AL197" s="144" t="s">
        <v>254</v>
      </c>
    </row>
    <row r="198" spans="1:38">
      <c r="A198" s="155" t="s">
        <v>271</v>
      </c>
      <c r="B198" t="s">
        <v>1345</v>
      </c>
      <c r="C198" t="s">
        <v>1385</v>
      </c>
      <c r="D198" t="s">
        <v>271</v>
      </c>
      <c r="E198" t="s">
        <v>207</v>
      </c>
      <c r="F198" t="s">
        <v>976</v>
      </c>
      <c r="G198">
        <v>25</v>
      </c>
      <c r="H198" s="189">
        <v>0</v>
      </c>
      <c r="I198" s="67">
        <v>2300</v>
      </c>
      <c r="J198" s="67">
        <v>850</v>
      </c>
      <c r="K198" s="67">
        <v>5100</v>
      </c>
      <c r="L198" s="67">
        <v>7100</v>
      </c>
      <c r="M198" s="67">
        <v>5850</v>
      </c>
      <c r="N198" s="67">
        <v>1000</v>
      </c>
      <c r="O198" s="67">
        <v>0</v>
      </c>
      <c r="P198" s="67">
        <v>0</v>
      </c>
      <c r="Q198" s="67">
        <v>0</v>
      </c>
      <c r="R198" s="67">
        <v>0</v>
      </c>
      <c r="S198" s="190">
        <v>0</v>
      </c>
      <c r="T198" s="191"/>
      <c r="U198" s="191"/>
      <c r="V198" s="191"/>
      <c r="W198" s="191"/>
      <c r="X198" s="191"/>
      <c r="Y198" s="191"/>
      <c r="Z198" s="191"/>
      <c r="AA198" s="191"/>
      <c r="AB198" s="191"/>
      <c r="AC198" s="191"/>
      <c r="AD198" s="191"/>
      <c r="AE198" s="191"/>
      <c r="AF198" s="191"/>
      <c r="AG198" s="191"/>
      <c r="AH198" s="191"/>
      <c r="AK198" s="155"/>
      <c r="AL198" s="144" t="s">
        <v>248</v>
      </c>
    </row>
    <row r="199" spans="1:38">
      <c r="A199" s="155" t="s">
        <v>233</v>
      </c>
      <c r="B199" t="s">
        <v>1345</v>
      </c>
      <c r="C199" t="s">
        <v>1388</v>
      </c>
      <c r="D199" t="s">
        <v>233</v>
      </c>
      <c r="E199" t="s">
        <v>208</v>
      </c>
      <c r="F199" t="s">
        <v>976</v>
      </c>
      <c r="G199">
        <v>40</v>
      </c>
      <c r="H199" s="189">
        <v>0</v>
      </c>
      <c r="I199" s="67">
        <v>120</v>
      </c>
      <c r="J199" s="67">
        <v>275</v>
      </c>
      <c r="K199" s="67">
        <v>1190</v>
      </c>
      <c r="L199" s="67">
        <v>5700</v>
      </c>
      <c r="M199" s="67">
        <v>5750</v>
      </c>
      <c r="N199" s="67">
        <v>500</v>
      </c>
      <c r="O199" s="67">
        <v>0</v>
      </c>
      <c r="P199" s="67">
        <v>0</v>
      </c>
      <c r="Q199" s="67">
        <v>0</v>
      </c>
      <c r="R199" s="67">
        <v>0</v>
      </c>
      <c r="S199" s="190">
        <v>0</v>
      </c>
      <c r="T199" s="191"/>
      <c r="U199" s="191"/>
      <c r="V199" s="191"/>
      <c r="W199" s="191"/>
      <c r="X199" s="191"/>
      <c r="Y199" s="191"/>
      <c r="Z199" s="191"/>
      <c r="AA199" s="191"/>
      <c r="AB199" s="191"/>
      <c r="AC199" s="191"/>
      <c r="AD199" s="191"/>
      <c r="AE199" s="191"/>
      <c r="AF199" s="191"/>
      <c r="AG199" s="191"/>
      <c r="AH199" s="191"/>
      <c r="AK199" s="155"/>
      <c r="AL199" s="144" t="s">
        <v>257</v>
      </c>
    </row>
    <row r="200" spans="1:38">
      <c r="A200" s="155" t="s">
        <v>233</v>
      </c>
      <c r="B200" t="s">
        <v>1345</v>
      </c>
      <c r="C200" t="s">
        <v>1389</v>
      </c>
      <c r="D200" t="s">
        <v>233</v>
      </c>
      <c r="E200" t="s">
        <v>207</v>
      </c>
      <c r="F200" t="s">
        <v>976</v>
      </c>
      <c r="G200">
        <v>40</v>
      </c>
      <c r="H200" s="189">
        <v>0</v>
      </c>
      <c r="I200" s="67">
        <v>2300</v>
      </c>
      <c r="J200" s="67">
        <v>850</v>
      </c>
      <c r="K200" s="67">
        <v>5100</v>
      </c>
      <c r="L200" s="67">
        <v>7670</v>
      </c>
      <c r="M200" s="67">
        <v>5850</v>
      </c>
      <c r="N200" s="67">
        <v>1000</v>
      </c>
      <c r="O200" s="67">
        <v>0</v>
      </c>
      <c r="P200" s="67">
        <v>0</v>
      </c>
      <c r="Q200" s="67">
        <v>0</v>
      </c>
      <c r="R200" s="67">
        <v>0</v>
      </c>
      <c r="S200" s="190">
        <v>0</v>
      </c>
      <c r="T200" s="191"/>
      <c r="U200" s="191"/>
      <c r="V200" s="191"/>
      <c r="W200" s="191"/>
      <c r="X200" s="191"/>
      <c r="Y200" s="191"/>
      <c r="Z200" s="191"/>
      <c r="AA200" s="191"/>
      <c r="AB200" s="191"/>
      <c r="AC200" s="191"/>
      <c r="AD200" s="191"/>
      <c r="AE200" s="191"/>
      <c r="AF200" s="191"/>
      <c r="AG200" s="191"/>
      <c r="AH200" s="191"/>
      <c r="AK200" s="155"/>
      <c r="AL200" s="144" t="s">
        <v>259</v>
      </c>
    </row>
    <row r="201" spans="1:38">
      <c r="A201" s="155" t="s">
        <v>225</v>
      </c>
      <c r="B201" t="s">
        <v>1345</v>
      </c>
      <c r="C201" t="s">
        <v>1391</v>
      </c>
      <c r="D201" t="s">
        <v>225</v>
      </c>
      <c r="E201" t="s">
        <v>208</v>
      </c>
      <c r="F201" t="s">
        <v>976</v>
      </c>
      <c r="G201">
        <v>4.5726141319818359</v>
      </c>
      <c r="H201" s="189">
        <v>212.81384</v>
      </c>
      <c r="I201" s="67">
        <v>0</v>
      </c>
      <c r="J201" s="67">
        <v>0</v>
      </c>
      <c r="K201" s="67">
        <v>0</v>
      </c>
      <c r="L201" s="67">
        <v>0</v>
      </c>
      <c r="M201" s="67">
        <v>798</v>
      </c>
      <c r="N201" s="67">
        <v>0</v>
      </c>
      <c r="O201" s="67">
        <v>0</v>
      </c>
      <c r="P201" s="67">
        <v>0</v>
      </c>
      <c r="Q201" s="67">
        <v>0</v>
      </c>
      <c r="R201" s="67">
        <v>0</v>
      </c>
      <c r="S201" s="190">
        <v>0</v>
      </c>
      <c r="T201" s="191"/>
      <c r="U201" s="191"/>
      <c r="V201" s="191"/>
      <c r="W201" s="191"/>
      <c r="X201" s="191"/>
      <c r="Y201" s="191"/>
      <c r="Z201" s="191"/>
      <c r="AA201" s="191"/>
      <c r="AB201" s="191"/>
      <c r="AC201" s="191"/>
      <c r="AD201" s="191"/>
      <c r="AE201" s="191"/>
      <c r="AF201" s="191"/>
      <c r="AG201" s="191"/>
      <c r="AH201" s="191"/>
      <c r="AK201" s="155"/>
      <c r="AL201" s="144" t="s">
        <v>261</v>
      </c>
    </row>
    <row r="202" spans="1:38">
      <c r="A202" s="155" t="s">
        <v>276</v>
      </c>
      <c r="B202" t="s">
        <v>1345</v>
      </c>
      <c r="C202" t="s">
        <v>1392</v>
      </c>
      <c r="D202" t="s">
        <v>276</v>
      </c>
      <c r="E202" t="s">
        <v>208</v>
      </c>
      <c r="F202" t="s">
        <v>976</v>
      </c>
      <c r="G202">
        <v>10</v>
      </c>
      <c r="H202" s="189">
        <v>158.74160000000001</v>
      </c>
      <c r="I202" s="67">
        <v>0</v>
      </c>
      <c r="J202" s="67">
        <v>0</v>
      </c>
      <c r="K202" s="67">
        <v>24</v>
      </c>
      <c r="L202" s="67">
        <v>1900</v>
      </c>
      <c r="M202" s="67">
        <v>0</v>
      </c>
      <c r="N202" s="67">
        <v>0</v>
      </c>
      <c r="O202" s="67">
        <v>0</v>
      </c>
      <c r="P202" s="67">
        <v>0</v>
      </c>
      <c r="Q202" s="67">
        <v>0</v>
      </c>
      <c r="R202" s="67">
        <v>0</v>
      </c>
      <c r="S202" s="190">
        <v>0</v>
      </c>
      <c r="T202" s="191"/>
      <c r="U202" s="191"/>
      <c r="V202" s="191"/>
      <c r="W202" s="191"/>
      <c r="X202" s="191"/>
      <c r="Y202" s="191"/>
      <c r="Z202" s="191"/>
      <c r="AA202" s="191"/>
      <c r="AB202" s="191"/>
      <c r="AC202" s="191"/>
      <c r="AD202" s="191"/>
      <c r="AE202" s="191"/>
      <c r="AF202" s="191"/>
      <c r="AG202" s="191"/>
      <c r="AH202" s="191"/>
      <c r="AK202" s="155"/>
      <c r="AL202" s="144" t="s">
        <v>263</v>
      </c>
    </row>
    <row r="203" spans="1:38">
      <c r="A203" s="155" t="s">
        <v>277</v>
      </c>
      <c r="B203" t="s">
        <v>1345</v>
      </c>
      <c r="C203" t="s">
        <v>1394</v>
      </c>
      <c r="D203" t="s">
        <v>277</v>
      </c>
      <c r="E203" t="s">
        <v>208</v>
      </c>
      <c r="F203" t="s">
        <v>976</v>
      </c>
      <c r="G203">
        <v>2</v>
      </c>
      <c r="H203" s="189">
        <v>0</v>
      </c>
      <c r="I203" s="67">
        <v>0</v>
      </c>
      <c r="J203" s="67">
        <v>15</v>
      </c>
      <c r="K203" s="67">
        <v>338.46152000000001</v>
      </c>
      <c r="L203" s="67">
        <v>0</v>
      </c>
      <c r="M203" s="67">
        <v>0</v>
      </c>
      <c r="N203" s="67">
        <v>0</v>
      </c>
      <c r="O203" s="67">
        <v>0</v>
      </c>
      <c r="P203" s="67">
        <v>0</v>
      </c>
      <c r="Q203" s="67">
        <v>0</v>
      </c>
      <c r="R203" s="67">
        <v>0</v>
      </c>
      <c r="S203" s="190">
        <v>0</v>
      </c>
      <c r="T203" s="191"/>
      <c r="U203" s="191"/>
      <c r="V203" s="191"/>
      <c r="W203" s="191"/>
      <c r="X203" s="191"/>
      <c r="Y203" s="191"/>
      <c r="Z203" s="191"/>
      <c r="AA203" s="191"/>
      <c r="AB203" s="191"/>
      <c r="AC203" s="191"/>
      <c r="AD203" s="191"/>
      <c r="AE203" s="191"/>
      <c r="AF203" s="191"/>
      <c r="AG203" s="191"/>
      <c r="AH203" s="191"/>
      <c r="AK203" s="155"/>
      <c r="AL203" s="144" t="s">
        <v>252</v>
      </c>
    </row>
    <row r="204" spans="1:38">
      <c r="A204" s="155" t="s">
        <v>279</v>
      </c>
      <c r="B204" t="s">
        <v>1345</v>
      </c>
      <c r="C204" t="s">
        <v>1395</v>
      </c>
      <c r="D204" t="s">
        <v>279</v>
      </c>
      <c r="E204" t="s">
        <v>208</v>
      </c>
      <c r="F204" t="s">
        <v>979</v>
      </c>
      <c r="G204">
        <v>5</v>
      </c>
      <c r="H204" s="189">
        <v>0</v>
      </c>
      <c r="I204" s="67">
        <v>0</v>
      </c>
      <c r="J204" s="67">
        <v>350</v>
      </c>
      <c r="K204" s="67">
        <v>0</v>
      </c>
      <c r="L204" s="67">
        <v>0</v>
      </c>
      <c r="M204" s="67">
        <v>0</v>
      </c>
      <c r="N204" s="67">
        <v>0</v>
      </c>
      <c r="O204" s="67">
        <v>0</v>
      </c>
      <c r="P204" s="67">
        <v>0</v>
      </c>
      <c r="Q204" s="67">
        <v>0</v>
      </c>
      <c r="R204" s="67">
        <v>0</v>
      </c>
      <c r="S204" s="190">
        <v>0</v>
      </c>
      <c r="T204" s="191"/>
      <c r="U204" s="191"/>
      <c r="V204" s="191"/>
      <c r="W204" s="191"/>
      <c r="X204" s="191"/>
      <c r="Y204" s="191"/>
      <c r="Z204" s="191"/>
      <c r="AA204" s="191"/>
      <c r="AB204" s="191"/>
      <c r="AC204" s="191"/>
      <c r="AD204" s="191"/>
      <c r="AE204" s="191"/>
      <c r="AF204" s="191"/>
      <c r="AG204" s="191"/>
      <c r="AH204" s="191"/>
      <c r="AK204" s="155"/>
      <c r="AL204" s="144" t="s">
        <v>255</v>
      </c>
    </row>
    <row r="205" spans="1:38">
      <c r="A205" s="155" t="s">
        <v>280</v>
      </c>
      <c r="B205" t="s">
        <v>1345</v>
      </c>
      <c r="C205" t="s">
        <v>1397</v>
      </c>
      <c r="D205" t="s">
        <v>280</v>
      </c>
      <c r="E205" t="s">
        <v>207</v>
      </c>
      <c r="F205" t="s">
        <v>976</v>
      </c>
      <c r="G205">
        <v>15</v>
      </c>
      <c r="H205" s="189">
        <v>905.82092</v>
      </c>
      <c r="I205" s="67">
        <v>238.01226</v>
      </c>
      <c r="J205" s="67">
        <v>661.80372</v>
      </c>
      <c r="K205" s="67">
        <v>774.36072000000001</v>
      </c>
      <c r="L205" s="67">
        <v>5342.7645000000002</v>
      </c>
      <c r="M205" s="67">
        <v>5745.6471899999997</v>
      </c>
      <c r="N205" s="67">
        <v>0</v>
      </c>
      <c r="O205" s="67">
        <v>0</v>
      </c>
      <c r="P205" s="67">
        <v>0</v>
      </c>
      <c r="Q205" s="67">
        <v>0</v>
      </c>
      <c r="R205" s="67">
        <v>0</v>
      </c>
      <c r="S205" s="190">
        <v>0</v>
      </c>
      <c r="T205" s="191"/>
      <c r="U205" s="191"/>
      <c r="V205" s="191"/>
      <c r="W205" s="191"/>
      <c r="X205" s="191"/>
      <c r="Y205" s="191"/>
      <c r="Z205" s="191"/>
      <c r="AA205" s="191"/>
      <c r="AB205" s="191"/>
      <c r="AC205" s="191"/>
      <c r="AD205" s="191"/>
      <c r="AE205" s="191"/>
      <c r="AF205" s="191"/>
      <c r="AG205" s="191"/>
      <c r="AH205" s="191"/>
      <c r="AK205" s="155"/>
      <c r="AL205" s="144" t="s">
        <v>256</v>
      </c>
    </row>
    <row r="206" spans="1:38">
      <c r="A206" s="155" t="s">
        <v>282</v>
      </c>
      <c r="B206" t="s">
        <v>1345</v>
      </c>
      <c r="C206" t="s">
        <v>1398</v>
      </c>
      <c r="D206" t="s">
        <v>282</v>
      </c>
      <c r="E206" t="s">
        <v>207</v>
      </c>
      <c r="F206" t="s">
        <v>979</v>
      </c>
      <c r="G206">
        <v>10</v>
      </c>
      <c r="H206" s="189">
        <v>0</v>
      </c>
      <c r="I206" s="67">
        <v>0</v>
      </c>
      <c r="J206" s="67">
        <v>0</v>
      </c>
      <c r="K206" s="67">
        <v>136.5</v>
      </c>
      <c r="L206" s="67">
        <v>525</v>
      </c>
      <c r="M206" s="67">
        <v>2382.6080000000002</v>
      </c>
      <c r="N206" s="67">
        <v>2378.8609999999999</v>
      </c>
      <c r="O206" s="67">
        <v>0</v>
      </c>
      <c r="P206" s="67">
        <v>0</v>
      </c>
      <c r="Q206" s="67">
        <v>0</v>
      </c>
      <c r="R206" s="67">
        <v>0</v>
      </c>
      <c r="S206" s="190">
        <v>0</v>
      </c>
      <c r="T206" s="191"/>
      <c r="U206" s="191"/>
      <c r="V206" s="191"/>
      <c r="W206" s="191"/>
      <c r="X206" s="191"/>
      <c r="Y206" s="191"/>
      <c r="Z206" s="191"/>
      <c r="AA206" s="191"/>
      <c r="AB206" s="191"/>
      <c r="AC206" s="191"/>
      <c r="AD206" s="191"/>
      <c r="AE206" s="191"/>
      <c r="AF206" s="191"/>
      <c r="AG206" s="191"/>
      <c r="AH206" s="191"/>
      <c r="AK206" s="155"/>
      <c r="AL206" s="144" t="s">
        <v>266</v>
      </c>
    </row>
    <row r="207" spans="1:38">
      <c r="A207" s="155" t="s">
        <v>283</v>
      </c>
      <c r="B207" t="s">
        <v>1345</v>
      </c>
      <c r="C207" t="s">
        <v>1399</v>
      </c>
      <c r="D207" t="s">
        <v>283</v>
      </c>
      <c r="E207" t="s">
        <v>207</v>
      </c>
      <c r="F207" t="s">
        <v>979</v>
      </c>
      <c r="G207">
        <v>15</v>
      </c>
      <c r="H207" s="189">
        <v>0</v>
      </c>
      <c r="I207" s="67">
        <v>0</v>
      </c>
      <c r="J207" s="67">
        <v>0</v>
      </c>
      <c r="K207" s="67">
        <v>0</v>
      </c>
      <c r="L207" s="67">
        <v>105</v>
      </c>
      <c r="M207" s="67">
        <v>1396.5</v>
      </c>
      <c r="N207" s="67">
        <v>504</v>
      </c>
      <c r="O207" s="67">
        <v>4408.8220000000001</v>
      </c>
      <c r="P207" s="67">
        <v>11227.861000000001</v>
      </c>
      <c r="Q207" s="67">
        <v>11227.861000000001</v>
      </c>
      <c r="R207" s="67">
        <v>1186.2060000000001</v>
      </c>
      <c r="S207" s="190">
        <v>0</v>
      </c>
      <c r="T207" s="191"/>
      <c r="U207" s="191"/>
      <c r="V207" s="191"/>
      <c r="W207" s="191"/>
      <c r="X207" s="191"/>
      <c r="Y207" s="191"/>
      <c r="Z207" s="191"/>
      <c r="AA207" s="191"/>
      <c r="AB207" s="191"/>
      <c r="AC207" s="191"/>
      <c r="AD207" s="191"/>
      <c r="AE207" s="191"/>
      <c r="AF207" s="191"/>
      <c r="AG207" s="191"/>
      <c r="AH207" s="191"/>
      <c r="AK207" s="155"/>
      <c r="AL207" s="144" t="s">
        <v>258</v>
      </c>
    </row>
    <row r="208" spans="1:38">
      <c r="A208" s="155" t="s">
        <v>285</v>
      </c>
      <c r="B208" t="s">
        <v>1345</v>
      </c>
      <c r="C208" t="s">
        <v>1400</v>
      </c>
      <c r="D208" t="s">
        <v>285</v>
      </c>
      <c r="E208" t="s">
        <v>207</v>
      </c>
      <c r="F208" t="s">
        <v>979</v>
      </c>
      <c r="G208">
        <v>15</v>
      </c>
      <c r="H208" s="189">
        <v>3862.6606000000002</v>
      </c>
      <c r="I208" s="67">
        <v>1060.0964300000001</v>
      </c>
      <c r="J208" s="67">
        <v>0</v>
      </c>
      <c r="K208" s="67">
        <v>0</v>
      </c>
      <c r="L208" s="67">
        <v>0</v>
      </c>
      <c r="M208" s="67">
        <v>0</v>
      </c>
      <c r="N208" s="67">
        <v>288.59230000000002</v>
      </c>
      <c r="O208" s="67">
        <v>3519.6129599999999</v>
      </c>
      <c r="P208" s="67">
        <v>1893.6632500000001</v>
      </c>
      <c r="Q208" s="67">
        <v>0</v>
      </c>
      <c r="R208" s="67">
        <v>0</v>
      </c>
      <c r="S208" s="190">
        <v>0</v>
      </c>
      <c r="T208" s="191"/>
      <c r="U208" s="191"/>
      <c r="V208" s="191"/>
      <c r="W208" s="191"/>
      <c r="X208" s="191"/>
      <c r="Y208" s="191"/>
      <c r="Z208" s="191"/>
      <c r="AA208" s="191"/>
      <c r="AB208" s="191"/>
      <c r="AC208" s="191"/>
      <c r="AD208" s="191"/>
      <c r="AE208" s="191"/>
      <c r="AF208" s="191"/>
      <c r="AG208" s="191"/>
      <c r="AH208" s="191"/>
      <c r="AK208" s="155"/>
      <c r="AL208" s="144" t="s">
        <v>260</v>
      </c>
    </row>
    <row r="209" spans="1:38">
      <c r="A209" s="155" t="s">
        <v>212</v>
      </c>
      <c r="B209" t="s">
        <v>1345</v>
      </c>
      <c r="C209" t="s">
        <v>1401</v>
      </c>
      <c r="D209" t="s">
        <v>212</v>
      </c>
      <c r="E209" t="s">
        <v>208</v>
      </c>
      <c r="F209" t="s">
        <v>979</v>
      </c>
      <c r="G209">
        <v>12.5</v>
      </c>
      <c r="H209" s="189">
        <v>0</v>
      </c>
      <c r="I209" s="67">
        <v>15</v>
      </c>
      <c r="J209" s="67">
        <v>0</v>
      </c>
      <c r="K209" s="67">
        <v>2169.9280600000002</v>
      </c>
      <c r="L209" s="67">
        <v>0</v>
      </c>
      <c r="M209" s="67">
        <v>0</v>
      </c>
      <c r="N209" s="67">
        <v>0</v>
      </c>
      <c r="O209" s="67">
        <v>0</v>
      </c>
      <c r="P209" s="67">
        <v>0</v>
      </c>
      <c r="Q209" s="67">
        <v>0</v>
      </c>
      <c r="R209" s="67">
        <v>0</v>
      </c>
      <c r="S209" s="190">
        <v>0</v>
      </c>
      <c r="T209" s="191"/>
      <c r="U209" s="191"/>
      <c r="V209" s="191"/>
      <c r="W209" s="191"/>
      <c r="X209" s="191"/>
      <c r="Y209" s="191"/>
      <c r="Z209" s="191"/>
      <c r="AA209" s="191"/>
      <c r="AB209" s="191"/>
      <c r="AC209" s="191"/>
      <c r="AD209" s="191"/>
      <c r="AE209" s="191"/>
      <c r="AF209" s="191"/>
      <c r="AG209" s="191"/>
      <c r="AH209" s="191"/>
      <c r="AK209" s="155"/>
      <c r="AL209" s="144" t="s">
        <v>269</v>
      </c>
    </row>
    <row r="210" spans="1:38">
      <c r="A210" s="155" t="s">
        <v>210</v>
      </c>
      <c r="B210" t="s">
        <v>1345</v>
      </c>
      <c r="C210" t="s">
        <v>1402</v>
      </c>
      <c r="D210" t="s">
        <v>210</v>
      </c>
      <c r="E210" t="s">
        <v>208</v>
      </c>
      <c r="F210" t="s">
        <v>976</v>
      </c>
      <c r="G210">
        <v>4</v>
      </c>
      <c r="H210" s="189">
        <v>191.95903999999999</v>
      </c>
      <c r="I210" s="67">
        <v>733.96507999999994</v>
      </c>
      <c r="J210" s="67">
        <v>806.88</v>
      </c>
      <c r="K210" s="67">
        <v>0</v>
      </c>
      <c r="L210" s="67">
        <v>0</v>
      </c>
      <c r="M210" s="67">
        <v>0</v>
      </c>
      <c r="N210" s="67">
        <v>0</v>
      </c>
      <c r="O210" s="67">
        <v>0</v>
      </c>
      <c r="P210" s="67">
        <v>0</v>
      </c>
      <c r="Q210" s="67">
        <v>0</v>
      </c>
      <c r="R210" s="67">
        <v>0</v>
      </c>
      <c r="S210" s="190">
        <v>0</v>
      </c>
      <c r="T210" s="191"/>
      <c r="U210" s="191"/>
      <c r="V210" s="191"/>
      <c r="W210" s="191"/>
      <c r="X210" s="191"/>
      <c r="Y210" s="191"/>
      <c r="Z210" s="191"/>
      <c r="AA210" s="191"/>
      <c r="AB210" s="191"/>
      <c r="AC210" s="191"/>
      <c r="AD210" s="191"/>
      <c r="AE210" s="191"/>
      <c r="AF210" s="191"/>
      <c r="AG210" s="191"/>
      <c r="AH210" s="191"/>
      <c r="AK210" s="155"/>
      <c r="AL210" s="144" t="s">
        <v>262</v>
      </c>
    </row>
    <row r="211" spans="1:38">
      <c r="A211" s="155" t="s">
        <v>287</v>
      </c>
      <c r="B211" t="s">
        <v>1345</v>
      </c>
      <c r="C211" t="s">
        <v>1403</v>
      </c>
      <c r="D211" t="s">
        <v>287</v>
      </c>
      <c r="E211" t="s">
        <v>208</v>
      </c>
      <c r="F211" t="s">
        <v>979</v>
      </c>
      <c r="G211">
        <v>14</v>
      </c>
      <c r="H211" s="189">
        <v>0</v>
      </c>
      <c r="I211" s="67">
        <v>0</v>
      </c>
      <c r="J211" s="67">
        <v>0</v>
      </c>
      <c r="K211" s="67">
        <v>0</v>
      </c>
      <c r="L211" s="67">
        <v>0</v>
      </c>
      <c r="M211" s="67">
        <v>1660</v>
      </c>
      <c r="N211" s="67">
        <v>6381</v>
      </c>
      <c r="O211" s="67">
        <v>9605</v>
      </c>
      <c r="P211" s="67">
        <v>0</v>
      </c>
      <c r="Q211" s="67">
        <v>0</v>
      </c>
      <c r="R211" s="67">
        <v>0</v>
      </c>
      <c r="S211" s="190">
        <v>0</v>
      </c>
      <c r="T211" s="191"/>
      <c r="U211" s="191"/>
      <c r="V211" s="191"/>
      <c r="W211" s="191"/>
      <c r="X211" s="191"/>
      <c r="Y211" s="191"/>
      <c r="Z211" s="191"/>
      <c r="AA211" s="191"/>
      <c r="AB211" s="191"/>
      <c r="AC211" s="191"/>
      <c r="AD211" s="191"/>
      <c r="AE211" s="191"/>
      <c r="AF211" s="191"/>
      <c r="AG211" s="191"/>
      <c r="AH211" s="191"/>
      <c r="AK211" s="155"/>
      <c r="AL211" s="144" t="s">
        <v>265</v>
      </c>
    </row>
    <row r="212" spans="1:38">
      <c r="A212" s="155" t="s">
        <v>226</v>
      </c>
      <c r="B212" t="s">
        <v>1345</v>
      </c>
      <c r="C212" t="s">
        <v>1404</v>
      </c>
      <c r="D212" t="s">
        <v>226</v>
      </c>
      <c r="E212" t="s">
        <v>208</v>
      </c>
      <c r="F212" t="s">
        <v>976</v>
      </c>
      <c r="G212">
        <v>2.2000000000000002</v>
      </c>
      <c r="H212" s="189">
        <v>77.757600000000011</v>
      </c>
      <c r="I212" s="67">
        <v>0</v>
      </c>
      <c r="J212" s="67">
        <v>0</v>
      </c>
      <c r="K212" s="67">
        <v>0</v>
      </c>
      <c r="L212" s="67">
        <v>0</v>
      </c>
      <c r="M212" s="67">
        <v>706.0933</v>
      </c>
      <c r="N212" s="67">
        <v>0</v>
      </c>
      <c r="O212" s="67">
        <v>0</v>
      </c>
      <c r="P212" s="67">
        <v>0</v>
      </c>
      <c r="Q212" s="67">
        <v>0</v>
      </c>
      <c r="R212" s="67">
        <v>0</v>
      </c>
      <c r="S212" s="190">
        <v>0</v>
      </c>
      <c r="T212" s="191"/>
      <c r="U212" s="191"/>
      <c r="V212" s="191"/>
      <c r="W212" s="191"/>
      <c r="X212" s="191"/>
      <c r="Y212" s="191"/>
      <c r="Z212" s="191"/>
      <c r="AA212" s="191"/>
      <c r="AB212" s="191"/>
      <c r="AC212" s="191"/>
      <c r="AD212" s="191"/>
      <c r="AE212" s="191"/>
      <c r="AF212" s="191"/>
      <c r="AG212" s="191"/>
      <c r="AH212" s="191"/>
      <c r="AK212" s="155"/>
      <c r="AL212" s="144" t="s">
        <v>267</v>
      </c>
    </row>
    <row r="213" spans="1:38">
      <c r="A213" s="155" t="s">
        <v>289</v>
      </c>
      <c r="B213" t="s">
        <v>1345</v>
      </c>
      <c r="C213" t="s">
        <v>1405</v>
      </c>
      <c r="D213" t="s">
        <v>289</v>
      </c>
      <c r="E213" t="s">
        <v>207</v>
      </c>
      <c r="F213" t="s">
        <v>976</v>
      </c>
      <c r="G213">
        <v>2</v>
      </c>
      <c r="H213" s="189">
        <v>0</v>
      </c>
      <c r="I213" s="67">
        <v>0</v>
      </c>
      <c r="J213" s="67">
        <v>0</v>
      </c>
      <c r="K213" s="67">
        <v>0</v>
      </c>
      <c r="L213" s="67">
        <v>0</v>
      </c>
      <c r="M213" s="67">
        <v>10</v>
      </c>
      <c r="N213" s="67">
        <v>40</v>
      </c>
      <c r="O213" s="67">
        <v>1050</v>
      </c>
      <c r="P213" s="67">
        <v>2300</v>
      </c>
      <c r="Q213" s="67">
        <v>800</v>
      </c>
      <c r="R213" s="67">
        <v>0</v>
      </c>
      <c r="S213" s="190">
        <v>0</v>
      </c>
      <c r="T213" s="191"/>
      <c r="U213" s="191"/>
      <c r="V213" s="191"/>
      <c r="W213" s="191"/>
      <c r="X213" s="191"/>
      <c r="Y213" s="191"/>
      <c r="Z213" s="191"/>
      <c r="AA213" s="191"/>
      <c r="AB213" s="191"/>
      <c r="AC213" s="191"/>
      <c r="AD213" s="191"/>
      <c r="AE213" s="191"/>
      <c r="AF213" s="191"/>
      <c r="AG213" s="191"/>
      <c r="AH213" s="191"/>
      <c r="AK213" s="155"/>
      <c r="AL213" s="144" t="s">
        <v>268</v>
      </c>
    </row>
    <row r="214" spans="1:38">
      <c r="A214" s="155" t="s">
        <v>294</v>
      </c>
      <c r="B214" t="s">
        <v>1345</v>
      </c>
      <c r="C214" t="s">
        <v>1407</v>
      </c>
      <c r="D214" t="s">
        <v>294</v>
      </c>
      <c r="E214" t="s">
        <v>207</v>
      </c>
      <c r="F214" t="s">
        <v>976</v>
      </c>
      <c r="G214">
        <v>5</v>
      </c>
      <c r="H214" s="189">
        <v>0</v>
      </c>
      <c r="I214" s="67">
        <v>0</v>
      </c>
      <c r="J214" s="67">
        <v>0</v>
      </c>
      <c r="K214" s="67">
        <v>0</v>
      </c>
      <c r="L214" s="67">
        <v>0</v>
      </c>
      <c r="M214" s="67">
        <v>0</v>
      </c>
      <c r="N214" s="67">
        <v>34.659599999999998</v>
      </c>
      <c r="O214" s="67">
        <v>346.49997999999999</v>
      </c>
      <c r="P214" s="67">
        <v>1039.5</v>
      </c>
      <c r="Q214" s="67">
        <v>1386.0000399999999</v>
      </c>
      <c r="R214" s="67">
        <v>495.00002000000001</v>
      </c>
      <c r="S214" s="190">
        <v>0</v>
      </c>
      <c r="T214" s="191"/>
      <c r="U214" s="191"/>
      <c r="V214" s="191"/>
      <c r="W214" s="191"/>
      <c r="X214" s="191"/>
      <c r="Y214" s="191"/>
      <c r="Z214" s="191"/>
      <c r="AA214" s="191"/>
      <c r="AB214" s="191"/>
      <c r="AC214" s="191"/>
      <c r="AD214" s="191"/>
      <c r="AE214" s="191"/>
      <c r="AF214" s="191"/>
      <c r="AG214" s="191"/>
      <c r="AH214" s="191"/>
      <c r="AK214" s="155"/>
      <c r="AL214" s="144" t="s">
        <v>273</v>
      </c>
    </row>
    <row r="215" spans="1:38">
      <c r="A215" s="155" t="s">
        <v>298</v>
      </c>
      <c r="B215" t="s">
        <v>1345</v>
      </c>
      <c r="C215" t="s">
        <v>1409</v>
      </c>
      <c r="D215" t="s">
        <v>298</v>
      </c>
      <c r="E215" t="s">
        <v>207</v>
      </c>
      <c r="F215" t="s">
        <v>979</v>
      </c>
      <c r="G215">
        <v>19.399999999999999</v>
      </c>
      <c r="H215" s="189">
        <v>0</v>
      </c>
      <c r="I215" s="67">
        <v>0</v>
      </c>
      <c r="J215" s="67">
        <v>0</v>
      </c>
      <c r="K215" s="67">
        <v>0</v>
      </c>
      <c r="L215" s="67">
        <v>100</v>
      </c>
      <c r="M215" s="67">
        <v>1330</v>
      </c>
      <c r="N215" s="67">
        <v>480</v>
      </c>
      <c r="O215" s="67">
        <v>1187</v>
      </c>
      <c r="P215" s="67">
        <v>7881</v>
      </c>
      <c r="Q215" s="67">
        <v>7881</v>
      </c>
      <c r="R215" s="67">
        <v>4767</v>
      </c>
      <c r="S215" s="190">
        <v>0</v>
      </c>
      <c r="T215" s="191"/>
      <c r="U215" s="191"/>
      <c r="V215" s="191"/>
      <c r="W215" s="191"/>
      <c r="X215" s="191"/>
      <c r="Y215" s="191"/>
      <c r="Z215" s="191"/>
      <c r="AA215" s="191"/>
      <c r="AB215" s="191"/>
      <c r="AC215" s="191"/>
      <c r="AD215" s="191"/>
      <c r="AE215" s="191"/>
      <c r="AF215" s="191"/>
      <c r="AG215" s="191"/>
      <c r="AH215" s="191"/>
      <c r="AK215" s="155"/>
      <c r="AL215" s="144" t="s">
        <v>233</v>
      </c>
    </row>
    <row r="216" spans="1:38">
      <c r="A216" s="155" t="s">
        <v>300</v>
      </c>
      <c r="B216" t="s">
        <v>1345</v>
      </c>
      <c r="C216" t="s">
        <v>1410</v>
      </c>
      <c r="D216" t="s">
        <v>300</v>
      </c>
      <c r="E216" t="s">
        <v>208</v>
      </c>
      <c r="F216" t="s">
        <v>979</v>
      </c>
      <c r="G216">
        <v>5.2</v>
      </c>
      <c r="H216" s="189">
        <v>0</v>
      </c>
      <c r="I216" s="67">
        <v>0</v>
      </c>
      <c r="J216" s="67">
        <v>0</v>
      </c>
      <c r="K216" s="67">
        <v>0</v>
      </c>
      <c r="L216" s="67">
        <v>0</v>
      </c>
      <c r="M216" s="67">
        <v>1292.2429999999999</v>
      </c>
      <c r="N216" s="67">
        <v>3952.1060000000002</v>
      </c>
      <c r="O216" s="67">
        <v>5946.1229999999996</v>
      </c>
      <c r="P216" s="67">
        <v>2596.4920000000002</v>
      </c>
      <c r="Q216" s="67">
        <v>1018.059</v>
      </c>
      <c r="R216" s="67">
        <v>0</v>
      </c>
      <c r="S216" s="190">
        <v>0</v>
      </c>
      <c r="T216" s="191"/>
      <c r="U216" s="191"/>
      <c r="V216" s="191"/>
      <c r="W216" s="191"/>
      <c r="X216" s="191"/>
      <c r="Y216" s="191"/>
      <c r="Z216" s="191"/>
      <c r="AA216" s="191"/>
      <c r="AB216" s="191"/>
      <c r="AC216" s="191"/>
      <c r="AD216" s="191"/>
      <c r="AE216" s="191"/>
      <c r="AF216" s="191"/>
      <c r="AG216" s="191"/>
      <c r="AH216" s="191"/>
      <c r="AK216" s="155"/>
      <c r="AL216" s="144" t="s">
        <v>270</v>
      </c>
    </row>
    <row r="217" spans="1:38">
      <c r="A217" s="155" t="s">
        <v>264</v>
      </c>
      <c r="B217" t="s">
        <v>1345</v>
      </c>
      <c r="C217" t="s">
        <v>1411</v>
      </c>
      <c r="D217" t="s">
        <v>264</v>
      </c>
      <c r="E217" t="s">
        <v>208</v>
      </c>
      <c r="F217" t="s">
        <v>976</v>
      </c>
      <c r="G217">
        <v>2</v>
      </c>
      <c r="H217" s="189">
        <v>0</v>
      </c>
      <c r="I217" s="67">
        <v>6137.0000000000018</v>
      </c>
      <c r="J217" s="67">
        <v>333</v>
      </c>
      <c r="K217" s="67">
        <v>333</v>
      </c>
      <c r="L217" s="67">
        <v>0</v>
      </c>
      <c r="M217" s="67">
        <v>0</v>
      </c>
      <c r="N217" s="67">
        <v>0</v>
      </c>
      <c r="O217" s="67">
        <v>0</v>
      </c>
      <c r="P217" s="67">
        <v>0</v>
      </c>
      <c r="Q217" s="67">
        <v>0</v>
      </c>
      <c r="R217" s="67">
        <v>0</v>
      </c>
      <c r="S217" s="190">
        <v>0</v>
      </c>
      <c r="T217" s="191"/>
      <c r="U217" s="191"/>
      <c r="V217" s="191"/>
      <c r="W217" s="191"/>
      <c r="X217" s="191"/>
      <c r="Y217" s="191"/>
      <c r="Z217" s="191"/>
      <c r="AA217" s="191"/>
      <c r="AB217" s="191"/>
      <c r="AC217" s="191"/>
      <c r="AD217" s="191"/>
      <c r="AE217" s="191"/>
      <c r="AF217" s="191"/>
      <c r="AG217" s="191"/>
      <c r="AH217" s="191"/>
      <c r="AK217" s="155"/>
      <c r="AL217" s="144" t="s">
        <v>272</v>
      </c>
    </row>
    <row r="218" spans="1:38">
      <c r="A218" s="155" t="s">
        <v>301</v>
      </c>
      <c r="B218" t="s">
        <v>1345</v>
      </c>
      <c r="C218" t="s">
        <v>1412</v>
      </c>
      <c r="D218" t="s">
        <v>301</v>
      </c>
      <c r="E218" t="s">
        <v>207</v>
      </c>
      <c r="F218" t="s">
        <v>979</v>
      </c>
      <c r="G218">
        <v>13</v>
      </c>
      <c r="H218" s="189">
        <v>0</v>
      </c>
      <c r="I218" s="67">
        <v>0</v>
      </c>
      <c r="J218" s="67">
        <v>0</v>
      </c>
      <c r="K218" s="67">
        <v>0</v>
      </c>
      <c r="L218" s="67">
        <v>0</v>
      </c>
      <c r="M218" s="67">
        <v>109.14749999999999</v>
      </c>
      <c r="N218" s="67">
        <v>1295.2909999999999</v>
      </c>
      <c r="O218" s="67">
        <v>8601.7180000000008</v>
      </c>
      <c r="P218" s="67">
        <v>8601.7180000000008</v>
      </c>
      <c r="Q218" s="67">
        <v>5255.2040000000006</v>
      </c>
      <c r="R218" s="67">
        <v>1975.5700000000002</v>
      </c>
      <c r="S218" s="190">
        <v>0</v>
      </c>
      <c r="T218" s="191"/>
      <c r="U218" s="191"/>
      <c r="V218" s="191"/>
      <c r="W218" s="191"/>
      <c r="X218" s="191"/>
      <c r="Y218" s="191"/>
      <c r="Z218" s="191"/>
      <c r="AA218" s="191"/>
      <c r="AB218" s="191"/>
      <c r="AC218" s="191"/>
      <c r="AD218" s="191"/>
      <c r="AE218" s="191"/>
      <c r="AF218" s="191"/>
      <c r="AG218" s="191"/>
      <c r="AH218" s="191"/>
      <c r="AK218" s="155"/>
      <c r="AL218" s="144" t="s">
        <v>278</v>
      </c>
    </row>
    <row r="219" spans="1:38">
      <c r="A219" s="155" t="s">
        <v>299</v>
      </c>
      <c r="B219" t="s">
        <v>1345</v>
      </c>
      <c r="C219" t="s">
        <v>1413</v>
      </c>
      <c r="D219" t="s">
        <v>299</v>
      </c>
      <c r="E219" t="s">
        <v>207</v>
      </c>
      <c r="F219" t="s">
        <v>976</v>
      </c>
      <c r="G219">
        <v>7</v>
      </c>
      <c r="H219" s="189">
        <v>0</v>
      </c>
      <c r="I219" s="67">
        <v>0</v>
      </c>
      <c r="J219" s="67">
        <v>0</v>
      </c>
      <c r="K219" s="67">
        <v>0</v>
      </c>
      <c r="L219" s="67">
        <v>30</v>
      </c>
      <c r="M219" s="67">
        <v>644</v>
      </c>
      <c r="N219" s="67">
        <v>2540</v>
      </c>
      <c r="O219" s="67">
        <v>4950</v>
      </c>
      <c r="P219" s="67">
        <v>3465</v>
      </c>
      <c r="Q219" s="67">
        <v>248</v>
      </c>
      <c r="R219" s="67">
        <v>0</v>
      </c>
      <c r="S219" s="190">
        <v>0</v>
      </c>
      <c r="T219" s="191"/>
      <c r="U219" s="191"/>
      <c r="V219" s="191"/>
      <c r="W219" s="191"/>
      <c r="X219" s="191"/>
      <c r="Y219" s="191"/>
      <c r="Z219" s="191"/>
      <c r="AA219" s="191"/>
      <c r="AB219" s="191"/>
      <c r="AC219" s="191"/>
      <c r="AD219" s="191"/>
      <c r="AE219" s="191"/>
      <c r="AF219" s="191"/>
      <c r="AG219" s="191"/>
      <c r="AH219" s="191"/>
      <c r="AK219" s="155"/>
      <c r="AL219" s="144" t="s">
        <v>264</v>
      </c>
    </row>
    <row r="220" spans="1:38">
      <c r="A220" s="155" t="s">
        <v>310</v>
      </c>
      <c r="B220" t="s">
        <v>1345</v>
      </c>
      <c r="C220" t="s">
        <v>1414</v>
      </c>
      <c r="D220" t="s">
        <v>310</v>
      </c>
      <c r="E220" t="s">
        <v>207</v>
      </c>
      <c r="F220" t="s">
        <v>979</v>
      </c>
      <c r="G220">
        <v>12.5</v>
      </c>
      <c r="H220" s="189">
        <v>0</v>
      </c>
      <c r="I220" s="67">
        <v>0</v>
      </c>
      <c r="J220" s="67">
        <v>0</v>
      </c>
      <c r="K220" s="67">
        <v>0</v>
      </c>
      <c r="L220" s="67">
        <v>110.25</v>
      </c>
      <c r="M220" s="67">
        <v>1466.325</v>
      </c>
      <c r="N220" s="67">
        <v>529.20000000000005</v>
      </c>
      <c r="O220" s="67">
        <v>1308.375</v>
      </c>
      <c r="P220" s="67">
        <v>8688.6039999999994</v>
      </c>
      <c r="Q220" s="67">
        <v>8688.6039999999994</v>
      </c>
      <c r="R220" s="67">
        <v>5255.2040000000006</v>
      </c>
      <c r="S220" s="190">
        <v>0</v>
      </c>
      <c r="T220" s="191"/>
      <c r="U220" s="191"/>
      <c r="V220" s="191"/>
      <c r="W220" s="191"/>
      <c r="X220" s="191"/>
      <c r="Y220" s="191"/>
      <c r="Z220" s="191"/>
      <c r="AA220" s="191"/>
      <c r="AB220" s="191"/>
      <c r="AC220" s="191"/>
      <c r="AD220" s="191"/>
      <c r="AE220" s="191"/>
      <c r="AF220" s="191"/>
      <c r="AG220" s="191"/>
      <c r="AH220" s="191"/>
      <c r="AK220" s="155"/>
      <c r="AL220" s="144" t="s">
        <v>271</v>
      </c>
    </row>
    <row r="221" spans="1:38">
      <c r="A221" s="155" t="s">
        <v>312</v>
      </c>
      <c r="B221" t="s">
        <v>1345</v>
      </c>
      <c r="C221" t="s">
        <v>1415</v>
      </c>
      <c r="D221" t="s">
        <v>312</v>
      </c>
      <c r="E221" t="s">
        <v>207</v>
      </c>
      <c r="F221" t="s">
        <v>979</v>
      </c>
      <c r="G221">
        <v>15</v>
      </c>
      <c r="H221" s="189">
        <v>0</v>
      </c>
      <c r="I221" s="67">
        <v>0</v>
      </c>
      <c r="J221" s="67">
        <v>0</v>
      </c>
      <c r="K221" s="67">
        <v>0</v>
      </c>
      <c r="L221" s="67">
        <v>110.25</v>
      </c>
      <c r="M221" s="67">
        <v>1466.325</v>
      </c>
      <c r="N221" s="67">
        <v>529.20000000000005</v>
      </c>
      <c r="O221" s="67">
        <v>1308.375</v>
      </c>
      <c r="P221" s="67">
        <v>8688.6039999999994</v>
      </c>
      <c r="Q221" s="67">
        <v>8688.6039999999994</v>
      </c>
      <c r="R221" s="67">
        <v>5255.2040000000006</v>
      </c>
      <c r="S221" s="190">
        <v>0</v>
      </c>
      <c r="T221" s="191"/>
      <c r="U221" s="191"/>
      <c r="V221" s="191"/>
      <c r="W221" s="191"/>
      <c r="X221" s="191"/>
      <c r="Y221" s="191"/>
      <c r="Z221" s="191"/>
      <c r="AA221" s="191"/>
      <c r="AB221" s="191"/>
      <c r="AC221" s="191"/>
      <c r="AD221" s="191"/>
      <c r="AE221" s="191"/>
      <c r="AF221" s="191"/>
      <c r="AG221" s="191"/>
      <c r="AH221" s="191"/>
      <c r="AK221" s="155"/>
      <c r="AL221" s="144" t="s">
        <v>281</v>
      </c>
    </row>
    <row r="222" spans="1:38">
      <c r="A222" s="155" t="s">
        <v>313</v>
      </c>
      <c r="B222" t="s">
        <v>1345</v>
      </c>
      <c r="C222" t="s">
        <v>1416</v>
      </c>
      <c r="D222" t="s">
        <v>313</v>
      </c>
      <c r="E222" t="s">
        <v>208</v>
      </c>
      <c r="F222" t="s">
        <v>979</v>
      </c>
      <c r="G222">
        <v>0.65</v>
      </c>
      <c r="H222" s="189">
        <v>0</v>
      </c>
      <c r="I222" s="67">
        <v>0</v>
      </c>
      <c r="J222" s="67">
        <v>0</v>
      </c>
      <c r="K222" s="67">
        <v>0</v>
      </c>
      <c r="L222" s="67">
        <v>0</v>
      </c>
      <c r="M222" s="67">
        <v>0</v>
      </c>
      <c r="N222" s="67">
        <v>0</v>
      </c>
      <c r="O222" s="67">
        <v>0</v>
      </c>
      <c r="P222" s="67">
        <v>328</v>
      </c>
      <c r="Q222" s="67">
        <v>1262</v>
      </c>
      <c r="R222" s="67">
        <v>1468</v>
      </c>
      <c r="S222" s="190">
        <v>0</v>
      </c>
      <c r="T222" s="191"/>
      <c r="U222" s="191"/>
      <c r="V222" s="191"/>
      <c r="W222" s="191"/>
      <c r="X222" s="191"/>
      <c r="Y222" s="191"/>
      <c r="Z222" s="191"/>
      <c r="AA222" s="191"/>
      <c r="AB222" s="191"/>
      <c r="AC222" s="191"/>
      <c r="AD222" s="191"/>
      <c r="AE222" s="191"/>
      <c r="AF222" s="191"/>
      <c r="AG222" s="191"/>
      <c r="AH222" s="191"/>
      <c r="AK222" s="155"/>
      <c r="AL222" s="144" t="s">
        <v>225</v>
      </c>
    </row>
    <row r="223" spans="1:38">
      <c r="A223" s="155" t="s">
        <v>315</v>
      </c>
      <c r="B223" t="s">
        <v>1345</v>
      </c>
      <c r="C223" t="s">
        <v>1417</v>
      </c>
      <c r="D223" t="s">
        <v>315</v>
      </c>
      <c r="E223" t="s">
        <v>208</v>
      </c>
      <c r="F223" t="s">
        <v>976</v>
      </c>
      <c r="G223">
        <v>2.5</v>
      </c>
      <c r="H223" s="189">
        <v>53.30536</v>
      </c>
      <c r="I223" s="67">
        <v>0</v>
      </c>
      <c r="J223" s="67">
        <v>686</v>
      </c>
      <c r="K223" s="67">
        <v>0</v>
      </c>
      <c r="L223" s="67">
        <v>0</v>
      </c>
      <c r="M223" s="67">
        <v>0</v>
      </c>
      <c r="N223" s="67">
        <v>0</v>
      </c>
      <c r="O223" s="67">
        <v>0</v>
      </c>
      <c r="P223" s="67">
        <v>0</v>
      </c>
      <c r="Q223" s="67">
        <v>0</v>
      </c>
      <c r="R223" s="67">
        <v>0</v>
      </c>
      <c r="S223" s="190">
        <v>0</v>
      </c>
      <c r="T223" s="191"/>
      <c r="U223" s="191"/>
      <c r="V223" s="191"/>
      <c r="W223" s="191"/>
      <c r="X223" s="191"/>
      <c r="Y223" s="191"/>
      <c r="Z223" s="191"/>
      <c r="AA223" s="191"/>
      <c r="AB223" s="191"/>
      <c r="AC223" s="191"/>
      <c r="AD223" s="191"/>
      <c r="AE223" s="191"/>
      <c r="AF223" s="191"/>
      <c r="AG223" s="191"/>
      <c r="AH223" s="191"/>
      <c r="AK223" s="155"/>
      <c r="AL223" s="144" t="s">
        <v>275</v>
      </c>
    </row>
    <row r="224" spans="1:38">
      <c r="A224" s="155" t="s">
        <v>315</v>
      </c>
      <c r="B224" t="s">
        <v>1345</v>
      </c>
      <c r="C224" t="s">
        <v>1418</v>
      </c>
      <c r="D224" t="s">
        <v>315</v>
      </c>
      <c r="E224" t="s">
        <v>207</v>
      </c>
      <c r="F224" t="s">
        <v>979</v>
      </c>
      <c r="G224">
        <v>14.5</v>
      </c>
      <c r="H224" s="189">
        <v>0</v>
      </c>
      <c r="I224" s="67">
        <v>0</v>
      </c>
      <c r="J224" s="67">
        <v>0</v>
      </c>
      <c r="K224" s="67">
        <v>0</v>
      </c>
      <c r="L224" s="67">
        <v>105</v>
      </c>
      <c r="M224" s="67">
        <v>871.5</v>
      </c>
      <c r="N224" s="67">
        <v>504</v>
      </c>
      <c r="O224" s="67">
        <v>798.22</v>
      </c>
      <c r="P224" s="67">
        <v>2900.6390000000001</v>
      </c>
      <c r="Q224" s="67">
        <v>2804.471</v>
      </c>
      <c r="R224" s="67">
        <v>291.10399999999998</v>
      </c>
      <c r="S224" s="190">
        <v>0</v>
      </c>
      <c r="T224" s="191"/>
      <c r="U224" s="191"/>
      <c r="V224" s="191"/>
      <c r="W224" s="191"/>
      <c r="X224" s="191"/>
      <c r="Y224" s="191"/>
      <c r="Z224" s="191"/>
      <c r="AA224" s="191"/>
      <c r="AB224" s="191"/>
      <c r="AC224" s="191"/>
      <c r="AD224" s="191"/>
      <c r="AE224" s="191"/>
      <c r="AF224" s="191"/>
      <c r="AG224" s="191"/>
      <c r="AH224" s="191"/>
      <c r="AK224" s="155"/>
      <c r="AL224" s="144" t="s">
        <v>276</v>
      </c>
    </row>
    <row r="225" spans="1:38">
      <c r="A225" s="155" t="s">
        <v>318</v>
      </c>
      <c r="B225" t="s">
        <v>1345</v>
      </c>
      <c r="C225" t="s">
        <v>1420</v>
      </c>
      <c r="D225" t="s">
        <v>318</v>
      </c>
      <c r="E225" t="s">
        <v>208</v>
      </c>
      <c r="F225" t="s">
        <v>979</v>
      </c>
      <c r="G225">
        <v>5</v>
      </c>
      <c r="H225" s="189">
        <v>517.56016</v>
      </c>
      <c r="I225" s="67">
        <v>0</v>
      </c>
      <c r="J225" s="67">
        <v>0</v>
      </c>
      <c r="K225" s="67">
        <v>0</v>
      </c>
      <c r="L225" s="67">
        <v>15</v>
      </c>
      <c r="M225" s="67">
        <v>15</v>
      </c>
      <c r="N225" s="67">
        <v>5635</v>
      </c>
      <c r="O225" s="67">
        <v>3600.4100699999999</v>
      </c>
      <c r="P225" s="67">
        <v>3000.4599600000001</v>
      </c>
      <c r="Q225" s="67">
        <v>0</v>
      </c>
      <c r="R225" s="67">
        <v>0</v>
      </c>
      <c r="S225" s="190">
        <v>0</v>
      </c>
      <c r="T225" s="191"/>
      <c r="U225" s="191"/>
      <c r="V225" s="191"/>
      <c r="W225" s="191"/>
      <c r="X225" s="191"/>
      <c r="Y225" s="191"/>
      <c r="Z225" s="191"/>
      <c r="AA225" s="191"/>
      <c r="AB225" s="191"/>
      <c r="AC225" s="191"/>
      <c r="AD225" s="191"/>
      <c r="AE225" s="191"/>
      <c r="AF225" s="191"/>
      <c r="AG225" s="191"/>
      <c r="AH225" s="191"/>
      <c r="AK225" s="155"/>
      <c r="AL225" s="144" t="s">
        <v>277</v>
      </c>
    </row>
    <row r="226" spans="1:38">
      <c r="A226" s="155" t="s">
        <v>319</v>
      </c>
      <c r="B226" t="s">
        <v>1345</v>
      </c>
      <c r="C226" t="s">
        <v>1421</v>
      </c>
      <c r="D226" t="s">
        <v>319</v>
      </c>
      <c r="E226" t="s">
        <v>208</v>
      </c>
      <c r="F226" t="s">
        <v>976</v>
      </c>
      <c r="G226">
        <v>5</v>
      </c>
      <c r="H226" s="189">
        <v>0</v>
      </c>
      <c r="I226" s="67">
        <v>0</v>
      </c>
      <c r="J226" s="67">
        <v>0</v>
      </c>
      <c r="K226" s="67">
        <v>0</v>
      </c>
      <c r="L226" s="67">
        <v>0</v>
      </c>
      <c r="M226" s="67">
        <v>0</v>
      </c>
      <c r="N226" s="67">
        <v>0</v>
      </c>
      <c r="O226" s="67">
        <v>69.3</v>
      </c>
      <c r="P226" s="67">
        <v>267.3</v>
      </c>
      <c r="Q226" s="67">
        <v>306.89999999999998</v>
      </c>
      <c r="R226" s="67">
        <v>0</v>
      </c>
      <c r="S226" s="190">
        <v>0</v>
      </c>
      <c r="T226" s="191"/>
      <c r="U226" s="191"/>
      <c r="V226" s="191"/>
      <c r="W226" s="191"/>
      <c r="X226" s="191"/>
      <c r="Y226" s="191"/>
      <c r="Z226" s="191"/>
      <c r="AA226" s="191"/>
      <c r="AB226" s="191"/>
      <c r="AC226" s="191"/>
      <c r="AD226" s="191"/>
      <c r="AE226" s="191"/>
      <c r="AF226" s="191"/>
      <c r="AG226" s="191"/>
      <c r="AH226" s="191"/>
      <c r="AK226" s="155"/>
      <c r="AL226" s="144" t="s">
        <v>279</v>
      </c>
    </row>
    <row r="227" spans="1:38">
      <c r="A227" s="155" t="s">
        <v>319</v>
      </c>
      <c r="B227" t="s">
        <v>1345</v>
      </c>
      <c r="C227" t="s">
        <v>1422</v>
      </c>
      <c r="D227" t="s">
        <v>319</v>
      </c>
      <c r="E227" t="s">
        <v>208</v>
      </c>
      <c r="F227" t="s">
        <v>976</v>
      </c>
      <c r="G227">
        <v>5</v>
      </c>
      <c r="H227" s="189">
        <v>0</v>
      </c>
      <c r="I227" s="67">
        <v>0</v>
      </c>
      <c r="J227" s="67">
        <v>0</v>
      </c>
      <c r="K227" s="67">
        <v>0</v>
      </c>
      <c r="L227" s="67">
        <v>990</v>
      </c>
      <c r="M227" s="67">
        <v>2623.5</v>
      </c>
      <c r="N227" s="67">
        <v>0.495</v>
      </c>
      <c r="O227" s="67">
        <v>0</v>
      </c>
      <c r="P227" s="67">
        <v>0</v>
      </c>
      <c r="Q227" s="67">
        <v>0</v>
      </c>
      <c r="R227" s="67">
        <v>0</v>
      </c>
      <c r="S227" s="190">
        <v>0</v>
      </c>
      <c r="T227" s="191"/>
      <c r="U227" s="191"/>
      <c r="V227" s="191"/>
      <c r="W227" s="191"/>
      <c r="X227" s="191"/>
      <c r="Y227" s="191"/>
      <c r="Z227" s="191"/>
      <c r="AA227" s="191"/>
      <c r="AB227" s="191"/>
      <c r="AC227" s="191"/>
      <c r="AD227" s="191"/>
      <c r="AE227" s="191"/>
      <c r="AF227" s="191"/>
      <c r="AG227" s="191"/>
      <c r="AH227" s="191"/>
      <c r="AK227" s="155"/>
      <c r="AL227" s="144" t="s">
        <v>286</v>
      </c>
    </row>
    <row r="228" spans="1:38">
      <c r="A228" s="155" t="s">
        <v>319</v>
      </c>
      <c r="B228" t="s">
        <v>1345</v>
      </c>
      <c r="C228" t="s">
        <v>1423</v>
      </c>
      <c r="D228" t="s">
        <v>319</v>
      </c>
      <c r="E228" t="s">
        <v>208</v>
      </c>
      <c r="F228" t="s">
        <v>976</v>
      </c>
      <c r="G228">
        <v>5</v>
      </c>
      <c r="H228" s="189">
        <v>0</v>
      </c>
      <c r="I228" s="67">
        <v>0</v>
      </c>
      <c r="J228" s="67">
        <v>0</v>
      </c>
      <c r="K228" s="67">
        <v>0</v>
      </c>
      <c r="L228" s="67">
        <v>390</v>
      </c>
      <c r="M228" s="67">
        <v>2000</v>
      </c>
      <c r="N228" s="67">
        <v>1250</v>
      </c>
      <c r="O228" s="67">
        <v>0</v>
      </c>
      <c r="P228" s="67">
        <v>0</v>
      </c>
      <c r="Q228" s="67">
        <v>0</v>
      </c>
      <c r="R228" s="67">
        <v>0</v>
      </c>
      <c r="S228" s="190">
        <v>0</v>
      </c>
      <c r="T228" s="191"/>
      <c r="U228" s="191"/>
      <c r="V228" s="191"/>
      <c r="W228" s="191"/>
      <c r="X228" s="191"/>
      <c r="Y228" s="191"/>
      <c r="Z228" s="191"/>
      <c r="AA228" s="191"/>
      <c r="AB228" s="191"/>
      <c r="AC228" s="191"/>
      <c r="AD228" s="191"/>
      <c r="AE228" s="191"/>
      <c r="AF228" s="191"/>
      <c r="AG228" s="191"/>
      <c r="AH228" s="191"/>
      <c r="AK228" s="155"/>
      <c r="AL228" s="144" t="s">
        <v>280</v>
      </c>
    </row>
    <row r="229" spans="1:38">
      <c r="A229" s="155" t="s">
        <v>319</v>
      </c>
      <c r="B229" t="s">
        <v>1345</v>
      </c>
      <c r="C229" t="s">
        <v>1424</v>
      </c>
      <c r="D229" t="s">
        <v>319</v>
      </c>
      <c r="E229" t="s">
        <v>208</v>
      </c>
      <c r="F229" t="s">
        <v>976</v>
      </c>
      <c r="G229">
        <v>5</v>
      </c>
      <c r="H229" s="189">
        <v>0</v>
      </c>
      <c r="I229" s="67">
        <v>0</v>
      </c>
      <c r="J229" s="67">
        <v>0</v>
      </c>
      <c r="K229" s="67">
        <v>0</v>
      </c>
      <c r="L229" s="67">
        <v>0</v>
      </c>
      <c r="M229" s="67">
        <v>0</v>
      </c>
      <c r="N229" s="67">
        <v>0</v>
      </c>
      <c r="O229" s="67">
        <v>69.3</v>
      </c>
      <c r="P229" s="67">
        <v>267.3</v>
      </c>
      <c r="Q229" s="67">
        <v>306.89999999999998</v>
      </c>
      <c r="R229" s="67">
        <v>0</v>
      </c>
      <c r="S229" s="190">
        <v>0</v>
      </c>
      <c r="T229" s="191"/>
      <c r="U229" s="191"/>
      <c r="V229" s="191"/>
      <c r="W229" s="191"/>
      <c r="X229" s="191"/>
      <c r="Y229" s="191"/>
      <c r="Z229" s="191"/>
      <c r="AA229" s="191"/>
      <c r="AB229" s="191"/>
      <c r="AC229" s="191"/>
      <c r="AD229" s="191"/>
      <c r="AE229" s="191"/>
      <c r="AF229" s="191"/>
      <c r="AG229" s="191"/>
      <c r="AH229" s="191"/>
      <c r="AK229" s="155"/>
      <c r="AL229" s="144" t="s">
        <v>282</v>
      </c>
    </row>
    <row r="230" spans="1:38">
      <c r="A230" s="155" t="s">
        <v>321</v>
      </c>
      <c r="B230" t="s">
        <v>1345</v>
      </c>
      <c r="C230" t="s">
        <v>1425</v>
      </c>
      <c r="D230" t="s">
        <v>321</v>
      </c>
      <c r="E230" t="s">
        <v>208</v>
      </c>
      <c r="F230" t="s">
        <v>979</v>
      </c>
      <c r="G230">
        <v>13</v>
      </c>
      <c r="H230" s="189">
        <v>2979.81756</v>
      </c>
      <c r="I230" s="67">
        <v>1238</v>
      </c>
      <c r="J230" s="67">
        <v>510</v>
      </c>
      <c r="K230" s="67">
        <v>0</v>
      </c>
      <c r="L230" s="67">
        <v>0</v>
      </c>
      <c r="M230" s="67">
        <v>0</v>
      </c>
      <c r="N230" s="67">
        <v>0</v>
      </c>
      <c r="O230" s="67">
        <v>0</v>
      </c>
      <c r="P230" s="67">
        <v>0</v>
      </c>
      <c r="Q230" s="67">
        <v>0</v>
      </c>
      <c r="R230" s="67">
        <v>0</v>
      </c>
      <c r="S230" s="190">
        <v>0</v>
      </c>
      <c r="T230" s="191"/>
      <c r="U230" s="191"/>
      <c r="V230" s="191"/>
      <c r="W230" s="191"/>
      <c r="X230" s="191"/>
      <c r="Y230" s="191"/>
      <c r="Z230" s="191"/>
      <c r="AA230" s="191"/>
      <c r="AB230" s="191"/>
      <c r="AC230" s="191"/>
      <c r="AD230" s="191"/>
      <c r="AE230" s="191"/>
      <c r="AF230" s="191"/>
      <c r="AG230" s="191"/>
      <c r="AH230" s="191"/>
      <c r="AK230" s="155"/>
      <c r="AL230" s="144" t="s">
        <v>283</v>
      </c>
    </row>
    <row r="231" spans="1:38">
      <c r="A231" s="155" t="s">
        <v>266</v>
      </c>
      <c r="B231" t="s">
        <v>1345</v>
      </c>
      <c r="C231" t="s">
        <v>1426</v>
      </c>
      <c r="D231" t="s">
        <v>266</v>
      </c>
      <c r="E231" t="s">
        <v>208</v>
      </c>
      <c r="F231" t="s">
        <v>976</v>
      </c>
      <c r="G231">
        <v>2</v>
      </c>
      <c r="H231" s="189">
        <v>0</v>
      </c>
      <c r="I231" s="67">
        <v>235.80004</v>
      </c>
      <c r="J231" s="67">
        <v>0</v>
      </c>
      <c r="K231" s="67">
        <v>0</v>
      </c>
      <c r="L231" s="67">
        <v>0</v>
      </c>
      <c r="M231" s="67">
        <v>0</v>
      </c>
      <c r="N231" s="67">
        <v>0</v>
      </c>
      <c r="O231" s="67">
        <v>0</v>
      </c>
      <c r="P231" s="67">
        <v>0</v>
      </c>
      <c r="Q231" s="67">
        <v>0</v>
      </c>
      <c r="R231" s="67">
        <v>0</v>
      </c>
      <c r="S231" s="190">
        <v>0</v>
      </c>
      <c r="T231" s="191"/>
      <c r="U231" s="191"/>
      <c r="V231" s="191"/>
      <c r="W231" s="191"/>
      <c r="X231" s="191"/>
      <c r="Y231" s="191"/>
      <c r="Z231" s="191"/>
      <c r="AA231" s="191"/>
      <c r="AB231" s="191"/>
      <c r="AC231" s="191"/>
      <c r="AD231" s="191"/>
      <c r="AE231" s="191"/>
      <c r="AF231" s="191"/>
      <c r="AG231" s="191"/>
      <c r="AH231" s="191"/>
      <c r="AK231" s="155"/>
      <c r="AL231" s="144" t="s">
        <v>284</v>
      </c>
    </row>
    <row r="232" spans="1:38">
      <c r="A232" s="155" t="s">
        <v>339</v>
      </c>
      <c r="B232" t="s">
        <v>1345</v>
      </c>
      <c r="C232" t="s">
        <v>1427</v>
      </c>
      <c r="D232" t="s">
        <v>339</v>
      </c>
      <c r="E232" t="s">
        <v>208</v>
      </c>
      <c r="F232" t="s">
        <v>979</v>
      </c>
      <c r="G232">
        <v>5</v>
      </c>
      <c r="H232" s="189">
        <v>0</v>
      </c>
      <c r="I232" s="67">
        <v>0</v>
      </c>
      <c r="J232" s="67">
        <v>0</v>
      </c>
      <c r="K232" s="67">
        <v>0</v>
      </c>
      <c r="L232" s="67">
        <v>0</v>
      </c>
      <c r="M232" s="67">
        <v>0</v>
      </c>
      <c r="N232" s="67">
        <v>0</v>
      </c>
      <c r="O232" s="67">
        <v>396</v>
      </c>
      <c r="P232" s="67">
        <v>1523</v>
      </c>
      <c r="Q232" s="67">
        <v>6066</v>
      </c>
      <c r="R232" s="67">
        <v>387</v>
      </c>
      <c r="S232" s="190">
        <v>0</v>
      </c>
      <c r="T232" s="191"/>
      <c r="U232" s="191"/>
      <c r="V232" s="191"/>
      <c r="W232" s="191"/>
      <c r="X232" s="191"/>
      <c r="Y232" s="191"/>
      <c r="Z232" s="191"/>
      <c r="AA232" s="191"/>
      <c r="AB232" s="191"/>
      <c r="AC232" s="191"/>
      <c r="AD232" s="191"/>
      <c r="AE232" s="191"/>
      <c r="AF232" s="191"/>
      <c r="AG232" s="191"/>
      <c r="AH232" s="191"/>
      <c r="AK232" s="155"/>
      <c r="AL232" s="144" t="s">
        <v>285</v>
      </c>
    </row>
    <row r="233" spans="1:38">
      <c r="A233" s="155" t="s">
        <v>324</v>
      </c>
      <c r="B233" t="s">
        <v>1345</v>
      </c>
      <c r="C233" t="s">
        <v>1428</v>
      </c>
      <c r="D233" t="s">
        <v>324</v>
      </c>
      <c r="E233" t="s">
        <v>207</v>
      </c>
      <c r="F233" t="s">
        <v>979</v>
      </c>
      <c r="G233">
        <v>3</v>
      </c>
      <c r="H233" s="189">
        <v>0</v>
      </c>
      <c r="I233" s="67">
        <v>0</v>
      </c>
      <c r="J233" s="67">
        <v>0</v>
      </c>
      <c r="K233" s="67">
        <v>0</v>
      </c>
      <c r="L233" s="67">
        <v>84</v>
      </c>
      <c r="M233" s="67">
        <v>1506</v>
      </c>
      <c r="N233" s="67">
        <v>828</v>
      </c>
      <c r="O233" s="67">
        <v>82</v>
      </c>
      <c r="P233" s="67">
        <v>0</v>
      </c>
      <c r="Q233" s="67">
        <v>0</v>
      </c>
      <c r="R233" s="67">
        <v>0</v>
      </c>
      <c r="S233" s="190">
        <v>0</v>
      </c>
      <c r="T233" s="191"/>
      <c r="U233" s="191"/>
      <c r="V233" s="191"/>
      <c r="W233" s="191"/>
      <c r="X233" s="191"/>
      <c r="Y233" s="191"/>
      <c r="Z233" s="191"/>
      <c r="AA233" s="191"/>
      <c r="AB233" s="191"/>
      <c r="AC233" s="191"/>
      <c r="AD233" s="191"/>
      <c r="AE233" s="191"/>
      <c r="AF233" s="191"/>
      <c r="AG233" s="191"/>
      <c r="AH233" s="191"/>
      <c r="AK233" s="155"/>
      <c r="AL233" s="144" t="s">
        <v>291</v>
      </c>
    </row>
    <row r="234" spans="1:38">
      <c r="A234" s="155" t="s">
        <v>326</v>
      </c>
      <c r="B234" t="s">
        <v>1345</v>
      </c>
      <c r="C234" t="s">
        <v>1429</v>
      </c>
      <c r="D234" t="s">
        <v>326</v>
      </c>
      <c r="E234" t="s">
        <v>208</v>
      </c>
      <c r="F234" t="s">
        <v>979</v>
      </c>
      <c r="G234">
        <v>4.8</v>
      </c>
      <c r="H234" s="189">
        <v>233.89500000000001</v>
      </c>
      <c r="I234" s="67">
        <v>293.64998000000003</v>
      </c>
      <c r="J234" s="67">
        <v>149.18751</v>
      </c>
      <c r="K234" s="67">
        <v>0</v>
      </c>
      <c r="L234" s="67">
        <v>0</v>
      </c>
      <c r="M234" s="67">
        <v>0</v>
      </c>
      <c r="N234" s="67">
        <v>0</v>
      </c>
      <c r="O234" s="67">
        <v>0</v>
      </c>
      <c r="P234" s="67">
        <v>0</v>
      </c>
      <c r="Q234" s="67">
        <v>0</v>
      </c>
      <c r="R234" s="67">
        <v>0</v>
      </c>
      <c r="S234" s="190">
        <v>0</v>
      </c>
      <c r="T234" s="191"/>
      <c r="U234" s="191"/>
      <c r="V234" s="191"/>
      <c r="W234" s="191"/>
      <c r="X234" s="191"/>
      <c r="Y234" s="191"/>
      <c r="Z234" s="191"/>
      <c r="AA234" s="191"/>
      <c r="AB234" s="191"/>
      <c r="AC234" s="191"/>
      <c r="AD234" s="191"/>
      <c r="AE234" s="191"/>
      <c r="AF234" s="191"/>
      <c r="AG234" s="191"/>
      <c r="AH234" s="191"/>
      <c r="AK234" s="155"/>
      <c r="AL234" s="144" t="s">
        <v>293</v>
      </c>
    </row>
    <row r="235" spans="1:38">
      <c r="A235" s="155" t="s">
        <v>328</v>
      </c>
      <c r="B235" t="s">
        <v>1345</v>
      </c>
      <c r="C235" t="s">
        <v>1430</v>
      </c>
      <c r="D235" t="s">
        <v>328</v>
      </c>
      <c r="E235" t="s">
        <v>207</v>
      </c>
      <c r="F235" t="s">
        <v>979</v>
      </c>
      <c r="G235">
        <v>29.5</v>
      </c>
      <c r="H235" s="189">
        <v>0</v>
      </c>
      <c r="I235" s="67">
        <v>0</v>
      </c>
      <c r="J235" s="67">
        <v>50</v>
      </c>
      <c r="K235" s="67">
        <v>471.64</v>
      </c>
      <c r="L235" s="67">
        <v>0</v>
      </c>
      <c r="M235" s="67">
        <v>0</v>
      </c>
      <c r="N235" s="67">
        <v>0</v>
      </c>
      <c r="O235" s="67">
        <v>0</v>
      </c>
      <c r="P235" s="67">
        <v>0</v>
      </c>
      <c r="Q235" s="67">
        <v>0</v>
      </c>
      <c r="R235" s="67">
        <v>0</v>
      </c>
      <c r="S235" s="190">
        <v>0</v>
      </c>
      <c r="T235" s="191"/>
      <c r="U235" s="191"/>
      <c r="V235" s="191"/>
      <c r="W235" s="191"/>
      <c r="X235" s="191"/>
      <c r="Y235" s="191"/>
      <c r="Z235" s="191"/>
      <c r="AA235" s="191"/>
      <c r="AB235" s="191"/>
      <c r="AC235" s="191"/>
      <c r="AD235" s="191"/>
      <c r="AE235" s="191"/>
      <c r="AF235" s="191"/>
      <c r="AG235" s="191"/>
      <c r="AH235" s="191"/>
      <c r="AK235" s="155"/>
      <c r="AL235" s="144" t="s">
        <v>295</v>
      </c>
    </row>
    <row r="236" spans="1:38">
      <c r="A236" s="155" t="s">
        <v>330</v>
      </c>
      <c r="B236" t="s">
        <v>1345</v>
      </c>
      <c r="C236" t="s">
        <v>1431</v>
      </c>
      <c r="D236" t="s">
        <v>330</v>
      </c>
      <c r="E236" t="s">
        <v>207</v>
      </c>
      <c r="F236" t="s">
        <v>979</v>
      </c>
      <c r="G236">
        <v>9.1</v>
      </c>
      <c r="H236" s="189">
        <v>2.18716</v>
      </c>
      <c r="I236" s="67">
        <v>0</v>
      </c>
      <c r="J236" s="67">
        <v>10.14751</v>
      </c>
      <c r="K236" s="67">
        <v>0</v>
      </c>
      <c r="L236" s="67">
        <v>0</v>
      </c>
      <c r="M236" s="67">
        <v>0</v>
      </c>
      <c r="N236" s="67">
        <v>0</v>
      </c>
      <c r="O236" s="67">
        <v>15.25</v>
      </c>
      <c r="P236" s="67">
        <v>188.13042999999999</v>
      </c>
      <c r="Q236" s="67">
        <v>225.0181</v>
      </c>
      <c r="R236" s="67">
        <v>9.1666699999999999</v>
      </c>
      <c r="S236" s="190">
        <v>0</v>
      </c>
      <c r="T236" s="191"/>
      <c r="U236" s="191"/>
      <c r="V236" s="191"/>
      <c r="W236" s="191"/>
      <c r="X236" s="191"/>
      <c r="Y236" s="191"/>
      <c r="Z236" s="191"/>
      <c r="AA236" s="191"/>
      <c r="AB236" s="191"/>
      <c r="AC236" s="191"/>
      <c r="AD236" s="191"/>
      <c r="AE236" s="191"/>
      <c r="AF236" s="191"/>
      <c r="AG236" s="191"/>
      <c r="AH236" s="191"/>
      <c r="AK236" s="155"/>
      <c r="AL236" s="144" t="s">
        <v>297</v>
      </c>
    </row>
    <row r="237" spans="1:38">
      <c r="A237" s="155" t="s">
        <v>331</v>
      </c>
      <c r="B237" t="s">
        <v>1345</v>
      </c>
      <c r="C237" t="s">
        <v>1432</v>
      </c>
      <c r="D237" t="s">
        <v>331</v>
      </c>
      <c r="E237" t="s">
        <v>208</v>
      </c>
      <c r="F237" t="s">
        <v>976</v>
      </c>
      <c r="G237">
        <v>2.5</v>
      </c>
      <c r="H237" s="189">
        <v>72.806080000000009</v>
      </c>
      <c r="I237" s="67">
        <v>437.76</v>
      </c>
      <c r="J237" s="67">
        <v>0</v>
      </c>
      <c r="K237" s="67">
        <v>0</v>
      </c>
      <c r="L237" s="67">
        <v>0</v>
      </c>
      <c r="M237" s="67">
        <v>0</v>
      </c>
      <c r="N237" s="67">
        <v>0</v>
      </c>
      <c r="O237" s="67">
        <v>0</v>
      </c>
      <c r="P237" s="67">
        <v>0</v>
      </c>
      <c r="Q237" s="67">
        <v>0</v>
      </c>
      <c r="R237" s="67">
        <v>0</v>
      </c>
      <c r="S237" s="190">
        <v>0</v>
      </c>
      <c r="T237" s="191"/>
      <c r="U237" s="191"/>
      <c r="V237" s="191"/>
      <c r="W237" s="191"/>
      <c r="X237" s="191"/>
      <c r="Y237" s="191"/>
      <c r="Z237" s="191"/>
      <c r="AA237" s="191"/>
      <c r="AB237" s="191"/>
      <c r="AC237" s="191"/>
      <c r="AD237" s="191"/>
      <c r="AE237" s="191"/>
      <c r="AF237" s="191"/>
      <c r="AG237" s="191"/>
      <c r="AH237" s="191"/>
      <c r="AK237" s="155"/>
      <c r="AL237" s="144" t="s">
        <v>287</v>
      </c>
    </row>
    <row r="238" spans="1:38">
      <c r="A238" s="155" t="s">
        <v>333</v>
      </c>
      <c r="B238" t="s">
        <v>1345</v>
      </c>
      <c r="C238" t="s">
        <v>1434</v>
      </c>
      <c r="D238" t="s">
        <v>333</v>
      </c>
      <c r="E238" t="s">
        <v>208</v>
      </c>
      <c r="F238" t="s">
        <v>976</v>
      </c>
      <c r="G238">
        <v>2.0609999999999999</v>
      </c>
      <c r="H238" s="189">
        <v>7.4305599999999998</v>
      </c>
      <c r="I238" s="67">
        <v>0</v>
      </c>
      <c r="J238" s="67">
        <v>0</v>
      </c>
      <c r="K238" s="67">
        <v>0</v>
      </c>
      <c r="L238" s="67">
        <v>1390.60989</v>
      </c>
      <c r="M238" s="67">
        <v>0</v>
      </c>
      <c r="N238" s="67">
        <v>0</v>
      </c>
      <c r="O238" s="67">
        <v>0</v>
      </c>
      <c r="P238" s="67">
        <v>0</v>
      </c>
      <c r="Q238" s="67">
        <v>0</v>
      </c>
      <c r="R238" s="67">
        <v>0</v>
      </c>
      <c r="S238" s="190">
        <v>0</v>
      </c>
      <c r="T238" s="191"/>
      <c r="U238" s="191"/>
      <c r="V238" s="191"/>
      <c r="W238" s="191"/>
      <c r="X238" s="191"/>
      <c r="Y238" s="191"/>
      <c r="Z238" s="191"/>
      <c r="AA238" s="191"/>
      <c r="AB238" s="191"/>
      <c r="AC238" s="191"/>
      <c r="AD238" s="191"/>
      <c r="AE238" s="191"/>
      <c r="AF238" s="191"/>
      <c r="AG238" s="191"/>
      <c r="AH238" s="191"/>
      <c r="AK238" s="155"/>
      <c r="AL238" s="144" t="s">
        <v>288</v>
      </c>
    </row>
    <row r="239" spans="1:38">
      <c r="A239" s="155" t="s">
        <v>333</v>
      </c>
      <c r="B239" t="s">
        <v>1345</v>
      </c>
      <c r="C239" t="s">
        <v>1435</v>
      </c>
      <c r="D239" t="s">
        <v>333</v>
      </c>
      <c r="E239" t="s">
        <v>208</v>
      </c>
      <c r="F239" t="s">
        <v>976</v>
      </c>
      <c r="G239">
        <v>1.966</v>
      </c>
      <c r="H239" s="189">
        <v>113.31072</v>
      </c>
      <c r="I239" s="67">
        <v>0</v>
      </c>
      <c r="J239" s="67">
        <v>56</v>
      </c>
      <c r="K239" s="67">
        <v>756</v>
      </c>
      <c r="L239" s="67">
        <v>0</v>
      </c>
      <c r="M239" s="67">
        <v>0</v>
      </c>
      <c r="N239" s="67">
        <v>0</v>
      </c>
      <c r="O239" s="67">
        <v>0</v>
      </c>
      <c r="P239" s="67">
        <v>0</v>
      </c>
      <c r="Q239" s="67">
        <v>0</v>
      </c>
      <c r="R239" s="67">
        <v>0</v>
      </c>
      <c r="S239" s="190">
        <v>0</v>
      </c>
      <c r="T239" s="191"/>
      <c r="U239" s="191"/>
      <c r="V239" s="191"/>
      <c r="W239" s="191"/>
      <c r="X239" s="191"/>
      <c r="Y239" s="191"/>
      <c r="Z239" s="191"/>
      <c r="AA239" s="191"/>
      <c r="AB239" s="191"/>
      <c r="AC239" s="191"/>
      <c r="AD239" s="191"/>
      <c r="AE239" s="191"/>
      <c r="AF239" s="191"/>
      <c r="AG239" s="191"/>
      <c r="AH239" s="191"/>
      <c r="AK239" s="155"/>
      <c r="AL239" s="144" t="s">
        <v>289</v>
      </c>
    </row>
    <row r="240" spans="1:38">
      <c r="A240" s="155" t="s">
        <v>334</v>
      </c>
      <c r="B240" t="s">
        <v>1345</v>
      </c>
      <c r="C240" t="s">
        <v>1436</v>
      </c>
      <c r="D240" t="s">
        <v>334</v>
      </c>
      <c r="E240" t="s">
        <v>207</v>
      </c>
      <c r="F240" t="s">
        <v>1047</v>
      </c>
      <c r="G240">
        <v>17.600000000000001</v>
      </c>
      <c r="H240" s="189">
        <v>0</v>
      </c>
      <c r="I240" s="67">
        <v>159.81595999999999</v>
      </c>
      <c r="J240" s="67">
        <v>877.48706000000004</v>
      </c>
      <c r="K240" s="67">
        <v>1813.8321900000001</v>
      </c>
      <c r="L240" s="67">
        <v>3068.4891499999999</v>
      </c>
      <c r="M240" s="67">
        <v>3355.1104399999999</v>
      </c>
      <c r="N240" s="67">
        <v>0</v>
      </c>
      <c r="O240" s="67">
        <v>0</v>
      </c>
      <c r="P240" s="67">
        <v>0</v>
      </c>
      <c r="Q240" s="67">
        <v>0</v>
      </c>
      <c r="R240" s="67">
        <v>0</v>
      </c>
      <c r="S240" s="190">
        <v>0</v>
      </c>
      <c r="T240" s="191"/>
      <c r="U240" s="191"/>
      <c r="V240" s="191"/>
      <c r="W240" s="191"/>
      <c r="X240" s="191"/>
      <c r="Y240" s="191"/>
      <c r="Z240" s="191"/>
      <c r="AA240" s="191"/>
      <c r="AB240" s="191"/>
      <c r="AC240" s="191"/>
      <c r="AD240" s="191"/>
      <c r="AE240" s="191"/>
      <c r="AF240" s="191"/>
      <c r="AG240" s="191"/>
      <c r="AH240" s="191"/>
      <c r="AK240" s="155"/>
      <c r="AL240" s="144" t="s">
        <v>290</v>
      </c>
    </row>
    <row r="241" spans="1:38">
      <c r="A241" s="155" t="s">
        <v>306</v>
      </c>
      <c r="B241" t="s">
        <v>1345</v>
      </c>
      <c r="C241" t="s">
        <v>1438</v>
      </c>
      <c r="D241" t="s">
        <v>306</v>
      </c>
      <c r="E241" t="s">
        <v>208</v>
      </c>
      <c r="F241" t="s">
        <v>979</v>
      </c>
      <c r="G241">
        <v>5.6</v>
      </c>
      <c r="H241" s="189">
        <v>5713.7430399999994</v>
      </c>
      <c r="I241" s="67">
        <v>664.99995999999999</v>
      </c>
      <c r="J241" s="67">
        <v>0</v>
      </c>
      <c r="K241" s="67">
        <v>0</v>
      </c>
      <c r="L241" s="67">
        <v>0</v>
      </c>
      <c r="M241" s="67">
        <v>0</v>
      </c>
      <c r="N241" s="67">
        <v>0</v>
      </c>
      <c r="O241" s="67">
        <v>0</v>
      </c>
      <c r="P241" s="67">
        <v>0</v>
      </c>
      <c r="Q241" s="67">
        <v>0</v>
      </c>
      <c r="R241" s="67">
        <v>0</v>
      </c>
      <c r="S241" s="190">
        <v>0</v>
      </c>
      <c r="T241" s="191"/>
      <c r="U241" s="191"/>
      <c r="V241" s="191"/>
      <c r="W241" s="191"/>
      <c r="X241" s="191"/>
      <c r="Y241" s="191"/>
      <c r="Z241" s="191"/>
      <c r="AA241" s="191"/>
      <c r="AB241" s="191"/>
      <c r="AC241" s="191"/>
      <c r="AD241" s="191"/>
      <c r="AE241" s="191"/>
      <c r="AF241" s="191"/>
      <c r="AG241" s="191"/>
      <c r="AH241" s="191"/>
      <c r="AK241" s="155"/>
      <c r="AL241" s="144" t="s">
        <v>302</v>
      </c>
    </row>
    <row r="242" spans="1:38">
      <c r="A242" s="155" t="s">
        <v>337</v>
      </c>
      <c r="B242" t="s">
        <v>1345</v>
      </c>
      <c r="C242" t="s">
        <v>1439</v>
      </c>
      <c r="D242" t="s">
        <v>337</v>
      </c>
      <c r="E242" t="s">
        <v>207</v>
      </c>
      <c r="F242" t="s">
        <v>979</v>
      </c>
      <c r="G242">
        <v>7.5</v>
      </c>
      <c r="H242" s="189">
        <v>0</v>
      </c>
      <c r="I242" s="67">
        <v>0</v>
      </c>
      <c r="J242" s="67">
        <v>0</v>
      </c>
      <c r="K242" s="67">
        <v>0</v>
      </c>
      <c r="L242" s="67">
        <v>105</v>
      </c>
      <c r="M242" s="67">
        <v>1396.5</v>
      </c>
      <c r="N242" s="67">
        <v>504</v>
      </c>
      <c r="O242" s="67">
        <v>1246.0719999999999</v>
      </c>
      <c r="P242" s="67">
        <v>8274.8610000000008</v>
      </c>
      <c r="Q242" s="67">
        <v>8274.8610000000008</v>
      </c>
      <c r="R242" s="67">
        <v>5004.9560000000001</v>
      </c>
      <c r="S242" s="190">
        <v>0</v>
      </c>
      <c r="T242" s="191"/>
      <c r="U242" s="191"/>
      <c r="V242" s="191"/>
      <c r="W242" s="191"/>
      <c r="X242" s="191"/>
      <c r="Y242" s="191"/>
      <c r="Z242" s="191"/>
      <c r="AA242" s="191"/>
      <c r="AB242" s="191"/>
      <c r="AC242" s="191"/>
      <c r="AD242" s="191"/>
      <c r="AE242" s="191"/>
      <c r="AF242" s="191"/>
      <c r="AG242" s="191"/>
      <c r="AH242" s="191"/>
      <c r="AK242" s="155"/>
      <c r="AL242" s="144" t="s">
        <v>304</v>
      </c>
    </row>
    <row r="243" spans="1:38">
      <c r="A243" s="155" t="s">
        <v>343</v>
      </c>
      <c r="B243" t="s">
        <v>1345</v>
      </c>
      <c r="C243" t="s">
        <v>1440</v>
      </c>
      <c r="D243" t="s">
        <v>343</v>
      </c>
      <c r="E243" t="s">
        <v>207</v>
      </c>
      <c r="F243" t="s">
        <v>979</v>
      </c>
      <c r="G243">
        <v>2.38</v>
      </c>
      <c r="H243" s="189">
        <v>0</v>
      </c>
      <c r="I243" s="67">
        <v>0</v>
      </c>
      <c r="J243" s="67">
        <v>0</v>
      </c>
      <c r="K243" s="67">
        <v>0</v>
      </c>
      <c r="L243" s="67">
        <v>95</v>
      </c>
      <c r="M243" s="67">
        <v>1258</v>
      </c>
      <c r="N243" s="67">
        <v>366</v>
      </c>
      <c r="O243" s="67">
        <v>1096</v>
      </c>
      <c r="P243" s="67">
        <v>7390</v>
      </c>
      <c r="Q243" s="67">
        <v>7390</v>
      </c>
      <c r="R243" s="67">
        <v>4795.0000000000009</v>
      </c>
      <c r="S243" s="190">
        <v>0</v>
      </c>
      <c r="T243" s="191"/>
      <c r="U243" s="191"/>
      <c r="V243" s="191"/>
      <c r="W243" s="191"/>
      <c r="X243" s="191"/>
      <c r="Y243" s="191"/>
      <c r="Z243" s="191"/>
      <c r="AA243" s="191"/>
      <c r="AB243" s="191"/>
      <c r="AC243" s="191"/>
      <c r="AD243" s="191"/>
      <c r="AE243" s="191"/>
      <c r="AF243" s="191"/>
      <c r="AG243" s="191"/>
      <c r="AH243" s="191"/>
      <c r="AK243" s="155"/>
      <c r="AL243" s="144" t="s">
        <v>292</v>
      </c>
    </row>
    <row r="244" spans="1:38">
      <c r="A244" s="155" t="s">
        <v>346</v>
      </c>
      <c r="B244" t="s">
        <v>1345</v>
      </c>
      <c r="C244" t="s">
        <v>1441</v>
      </c>
      <c r="D244" t="s">
        <v>346</v>
      </c>
      <c r="E244" t="s">
        <v>208</v>
      </c>
      <c r="F244" t="s">
        <v>976</v>
      </c>
      <c r="G244">
        <v>5</v>
      </c>
      <c r="H244" s="189">
        <v>0</v>
      </c>
      <c r="I244" s="67">
        <v>0</v>
      </c>
      <c r="J244" s="67">
        <v>0</v>
      </c>
      <c r="K244" s="67">
        <v>0</v>
      </c>
      <c r="L244" s="67">
        <v>0</v>
      </c>
      <c r="M244" s="67">
        <v>0</v>
      </c>
      <c r="N244" s="67">
        <v>0</v>
      </c>
      <c r="O244" s="67">
        <v>0</v>
      </c>
      <c r="P244" s="67">
        <v>742.5</v>
      </c>
      <c r="Q244" s="67">
        <v>1584</v>
      </c>
      <c r="R244" s="67">
        <v>742.5</v>
      </c>
      <c r="S244" s="190">
        <v>0</v>
      </c>
      <c r="T244" s="191"/>
      <c r="U244" s="191"/>
      <c r="V244" s="191"/>
      <c r="W244" s="191"/>
      <c r="X244" s="191"/>
      <c r="Y244" s="191"/>
      <c r="Z244" s="191"/>
      <c r="AA244" s="191"/>
      <c r="AB244" s="191"/>
      <c r="AC244" s="191"/>
      <c r="AD244" s="191"/>
      <c r="AE244" s="191"/>
      <c r="AF244" s="191"/>
      <c r="AG244" s="191"/>
      <c r="AH244" s="191"/>
      <c r="AK244" s="155"/>
      <c r="AL244" s="144" t="s">
        <v>307</v>
      </c>
    </row>
    <row r="245" spans="1:38">
      <c r="A245" s="155" t="s">
        <v>352</v>
      </c>
      <c r="B245" t="s">
        <v>1345</v>
      </c>
      <c r="C245" t="s">
        <v>1444</v>
      </c>
      <c r="D245" t="s">
        <v>352</v>
      </c>
      <c r="E245" t="s">
        <v>208</v>
      </c>
      <c r="F245" t="s">
        <v>979</v>
      </c>
      <c r="G245">
        <v>2</v>
      </c>
      <c r="H245" s="189">
        <v>0</v>
      </c>
      <c r="I245" s="67">
        <v>0</v>
      </c>
      <c r="J245" s="67">
        <v>135</v>
      </c>
      <c r="K245" s="67">
        <v>487</v>
      </c>
      <c r="L245" s="67">
        <v>520</v>
      </c>
      <c r="M245" s="67">
        <v>500</v>
      </c>
      <c r="N245" s="67">
        <v>7420</v>
      </c>
      <c r="O245" s="67">
        <v>621</v>
      </c>
      <c r="P245" s="67">
        <v>487</v>
      </c>
      <c r="Q245" s="67">
        <v>0</v>
      </c>
      <c r="R245" s="67">
        <v>0</v>
      </c>
      <c r="S245" s="190">
        <v>0</v>
      </c>
      <c r="T245" s="191"/>
      <c r="U245" s="191"/>
      <c r="V245" s="191"/>
      <c r="W245" s="191"/>
      <c r="X245" s="191"/>
      <c r="Y245" s="191"/>
      <c r="Z245" s="191"/>
      <c r="AA245" s="191"/>
      <c r="AB245" s="191"/>
      <c r="AC245" s="191"/>
      <c r="AD245" s="191"/>
      <c r="AE245" s="191"/>
      <c r="AF245" s="191"/>
      <c r="AG245" s="191"/>
      <c r="AH245" s="191"/>
      <c r="AK245" s="155"/>
      <c r="AL245" s="144" t="s">
        <v>309</v>
      </c>
    </row>
    <row r="246" spans="1:38">
      <c r="A246" s="155" t="s">
        <v>364</v>
      </c>
      <c r="B246" t="s">
        <v>1345</v>
      </c>
      <c r="C246" t="s">
        <v>1445</v>
      </c>
      <c r="D246" t="s">
        <v>364</v>
      </c>
      <c r="E246" t="s">
        <v>208</v>
      </c>
      <c r="F246" t="s">
        <v>976</v>
      </c>
      <c r="G246">
        <v>4</v>
      </c>
      <c r="H246" s="189">
        <v>1603.3198400000001</v>
      </c>
      <c r="I246" s="67">
        <v>495.8</v>
      </c>
      <c r="J246" s="67">
        <v>0</v>
      </c>
      <c r="K246" s="67">
        <v>0</v>
      </c>
      <c r="L246" s="67">
        <v>0</v>
      </c>
      <c r="M246" s="67">
        <v>0</v>
      </c>
      <c r="N246" s="67">
        <v>0</v>
      </c>
      <c r="O246" s="67">
        <v>0</v>
      </c>
      <c r="P246" s="67">
        <v>0</v>
      </c>
      <c r="Q246" s="67">
        <v>0</v>
      </c>
      <c r="R246" s="67">
        <v>0</v>
      </c>
      <c r="S246" s="190">
        <v>0</v>
      </c>
      <c r="T246" s="191"/>
      <c r="U246" s="191"/>
      <c r="V246" s="191"/>
      <c r="W246" s="191"/>
      <c r="X246" s="191"/>
      <c r="Y246" s="191"/>
      <c r="Z246" s="191"/>
      <c r="AA246" s="191"/>
      <c r="AB246" s="191"/>
      <c r="AC246" s="191"/>
      <c r="AD246" s="191"/>
      <c r="AE246" s="191"/>
      <c r="AF246" s="191"/>
      <c r="AG246" s="191"/>
      <c r="AH246" s="191"/>
      <c r="AK246" s="155"/>
      <c r="AL246" s="144" t="s">
        <v>311</v>
      </c>
    </row>
    <row r="247" spans="1:38">
      <c r="A247" s="155" t="s">
        <v>364</v>
      </c>
      <c r="B247" t="s">
        <v>1345</v>
      </c>
      <c r="C247" t="s">
        <v>1446</v>
      </c>
      <c r="D247" t="s">
        <v>364</v>
      </c>
      <c r="E247" t="s">
        <v>208</v>
      </c>
      <c r="F247" t="s">
        <v>976</v>
      </c>
      <c r="G247">
        <v>16</v>
      </c>
      <c r="H247" s="189">
        <v>0</v>
      </c>
      <c r="I247" s="67">
        <v>0</v>
      </c>
      <c r="J247" s="67">
        <v>25</v>
      </c>
      <c r="K247" s="67">
        <v>250</v>
      </c>
      <c r="L247" s="67">
        <v>0</v>
      </c>
      <c r="M247" s="67">
        <v>0</v>
      </c>
      <c r="N247" s="67">
        <v>0</v>
      </c>
      <c r="O247" s="67">
        <v>0</v>
      </c>
      <c r="P247" s="67">
        <v>0</v>
      </c>
      <c r="Q247" s="67">
        <v>0</v>
      </c>
      <c r="R247" s="67">
        <v>0</v>
      </c>
      <c r="S247" s="190">
        <v>0</v>
      </c>
      <c r="T247" s="191"/>
      <c r="U247" s="191"/>
      <c r="V247" s="191"/>
      <c r="W247" s="191"/>
      <c r="X247" s="191"/>
      <c r="Y247" s="191"/>
      <c r="Z247" s="191"/>
      <c r="AA247" s="191"/>
      <c r="AB247" s="191"/>
      <c r="AC247" s="191"/>
      <c r="AD247" s="191"/>
      <c r="AE247" s="191"/>
      <c r="AF247" s="191"/>
      <c r="AG247" s="191"/>
      <c r="AH247" s="191"/>
      <c r="AK247" s="155"/>
      <c r="AL247" s="144" t="s">
        <v>294</v>
      </c>
    </row>
    <row r="248" spans="1:38">
      <c r="A248" s="155" t="s">
        <v>356</v>
      </c>
      <c r="B248" t="s">
        <v>1345</v>
      </c>
      <c r="C248" t="s">
        <v>1447</v>
      </c>
      <c r="D248" t="s">
        <v>356</v>
      </c>
      <c r="E248" t="s">
        <v>207</v>
      </c>
      <c r="F248" t="s">
        <v>979</v>
      </c>
      <c r="G248">
        <v>15</v>
      </c>
      <c r="H248" s="189">
        <v>0</v>
      </c>
      <c r="I248" s="67">
        <v>0</v>
      </c>
      <c r="J248" s="67">
        <v>0</v>
      </c>
      <c r="K248" s="67">
        <v>0</v>
      </c>
      <c r="L248" s="67">
        <v>110.25</v>
      </c>
      <c r="M248" s="67">
        <v>1466.325</v>
      </c>
      <c r="N248" s="67">
        <v>529.20000000000005</v>
      </c>
      <c r="O248" s="67">
        <v>1479.2629999999999</v>
      </c>
      <c r="P248" s="67">
        <v>10739.254000000001</v>
      </c>
      <c r="Q248" s="67">
        <v>10739.254000000001</v>
      </c>
      <c r="R248" s="67">
        <v>6495.516999999998</v>
      </c>
      <c r="S248" s="190">
        <v>0</v>
      </c>
      <c r="T248" s="191"/>
      <c r="U248" s="191"/>
      <c r="V248" s="191"/>
      <c r="W248" s="191"/>
      <c r="X248" s="191"/>
      <c r="Y248" s="191"/>
      <c r="Z248" s="191"/>
      <c r="AA248" s="191"/>
      <c r="AB248" s="191"/>
      <c r="AC248" s="191"/>
      <c r="AD248" s="191"/>
      <c r="AE248" s="191"/>
      <c r="AF248" s="191"/>
      <c r="AG248" s="191"/>
      <c r="AH248" s="191"/>
      <c r="AK248" s="155"/>
      <c r="AL248" s="144" t="s">
        <v>314</v>
      </c>
    </row>
    <row r="249" spans="1:38">
      <c r="A249" s="155" t="s">
        <v>250</v>
      </c>
      <c r="B249" t="s">
        <v>1345</v>
      </c>
      <c r="C249" t="s">
        <v>1448</v>
      </c>
      <c r="D249" t="s">
        <v>250</v>
      </c>
      <c r="E249" t="s">
        <v>208</v>
      </c>
      <c r="F249" t="s">
        <v>976</v>
      </c>
      <c r="G249">
        <v>4</v>
      </c>
      <c r="H249" s="189">
        <v>0</v>
      </c>
      <c r="I249" s="67">
        <v>0</v>
      </c>
      <c r="J249" s="67">
        <v>50</v>
      </c>
      <c r="K249" s="67">
        <v>525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67">
        <v>0</v>
      </c>
      <c r="S249" s="190">
        <v>0</v>
      </c>
      <c r="T249" s="191"/>
      <c r="U249" s="191"/>
      <c r="V249" s="191"/>
      <c r="W249" s="191"/>
      <c r="X249" s="191"/>
      <c r="Y249" s="191"/>
      <c r="Z249" s="191"/>
      <c r="AA249" s="191"/>
      <c r="AB249" s="191"/>
      <c r="AC249" s="191"/>
      <c r="AD249" s="191"/>
      <c r="AE249" s="191"/>
      <c r="AF249" s="191"/>
      <c r="AG249" s="191"/>
      <c r="AH249" s="191"/>
      <c r="AK249" s="155"/>
      <c r="AL249" s="144" t="s">
        <v>296</v>
      </c>
    </row>
    <row r="250" spans="1:38">
      <c r="A250" s="155" t="s">
        <v>358</v>
      </c>
      <c r="B250" t="s">
        <v>1345</v>
      </c>
      <c r="C250" t="s">
        <v>1449</v>
      </c>
      <c r="D250" t="s">
        <v>358</v>
      </c>
      <c r="E250" t="s">
        <v>208</v>
      </c>
      <c r="F250" t="s">
        <v>976</v>
      </c>
      <c r="G250">
        <v>0.5</v>
      </c>
      <c r="H250" s="189">
        <v>0</v>
      </c>
      <c r="I250" s="67">
        <v>15</v>
      </c>
      <c r="J250" s="67">
        <v>1184.4559999999999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67">
        <v>0</v>
      </c>
      <c r="S250" s="190">
        <v>0</v>
      </c>
      <c r="T250" s="191"/>
      <c r="U250" s="191"/>
      <c r="V250" s="191"/>
      <c r="W250" s="191"/>
      <c r="X250" s="191"/>
      <c r="Y250" s="191"/>
      <c r="Z250" s="191"/>
      <c r="AA250" s="191"/>
      <c r="AB250" s="191"/>
      <c r="AC250" s="191"/>
      <c r="AD250" s="191"/>
      <c r="AE250" s="191"/>
      <c r="AF250" s="191"/>
      <c r="AG250" s="191"/>
      <c r="AH250" s="191"/>
      <c r="AK250" s="155"/>
      <c r="AL250" s="144" t="s">
        <v>316</v>
      </c>
    </row>
    <row r="251" spans="1:38">
      <c r="A251" s="155" t="s">
        <v>361</v>
      </c>
      <c r="B251" t="s">
        <v>1345</v>
      </c>
      <c r="C251" t="s">
        <v>1450</v>
      </c>
      <c r="D251" t="s">
        <v>361</v>
      </c>
      <c r="E251" t="s">
        <v>207</v>
      </c>
      <c r="F251" t="s">
        <v>979</v>
      </c>
      <c r="G251">
        <v>3.44</v>
      </c>
      <c r="H251" s="189">
        <v>0</v>
      </c>
      <c r="I251" s="67">
        <v>0</v>
      </c>
      <c r="J251" s="67">
        <v>0</v>
      </c>
      <c r="K251" s="67">
        <v>0</v>
      </c>
      <c r="L251" s="67">
        <v>105</v>
      </c>
      <c r="M251" s="67">
        <v>1396.5</v>
      </c>
      <c r="N251" s="67">
        <v>504</v>
      </c>
      <c r="O251" s="67">
        <v>1246.0719999999999</v>
      </c>
      <c r="P251" s="67">
        <v>8274.8610000000008</v>
      </c>
      <c r="Q251" s="67">
        <v>8274.8610000000008</v>
      </c>
      <c r="R251" s="67">
        <v>5004.9560000000001</v>
      </c>
      <c r="S251" s="190">
        <v>0</v>
      </c>
      <c r="T251" s="191"/>
      <c r="U251" s="191"/>
      <c r="V251" s="191"/>
      <c r="W251" s="191"/>
      <c r="X251" s="191"/>
      <c r="Y251" s="191"/>
      <c r="Z251" s="191"/>
      <c r="AA251" s="191"/>
      <c r="AB251" s="191"/>
      <c r="AC251" s="191"/>
      <c r="AD251" s="191"/>
      <c r="AE251" s="191"/>
      <c r="AF251" s="191"/>
      <c r="AG251" s="191"/>
      <c r="AH251" s="191"/>
      <c r="AK251" s="155"/>
      <c r="AL251" s="144" t="s">
        <v>298</v>
      </c>
    </row>
    <row r="252" spans="1:38">
      <c r="A252" s="155" t="s">
        <v>363</v>
      </c>
      <c r="B252" t="s">
        <v>1345</v>
      </c>
      <c r="C252" t="s">
        <v>1451</v>
      </c>
      <c r="D252" t="s">
        <v>363</v>
      </c>
      <c r="E252" t="s">
        <v>208</v>
      </c>
      <c r="F252" t="s">
        <v>979</v>
      </c>
      <c r="G252">
        <v>3</v>
      </c>
      <c r="H252" s="189">
        <v>0</v>
      </c>
      <c r="I252" s="67">
        <v>0</v>
      </c>
      <c r="J252" s="67">
        <v>0</v>
      </c>
      <c r="K252" s="67">
        <v>136.5</v>
      </c>
      <c r="L252" s="67">
        <v>525</v>
      </c>
      <c r="M252" s="67">
        <v>4100</v>
      </c>
      <c r="N252" s="67">
        <v>1754.645</v>
      </c>
      <c r="O252" s="67">
        <v>0</v>
      </c>
      <c r="P252" s="67">
        <v>0</v>
      </c>
      <c r="Q252" s="67">
        <v>0</v>
      </c>
      <c r="R252" s="67">
        <v>0</v>
      </c>
      <c r="S252" s="190">
        <v>0</v>
      </c>
      <c r="T252" s="191"/>
      <c r="U252" s="191"/>
      <c r="V252" s="191"/>
      <c r="W252" s="191"/>
      <c r="X252" s="191"/>
      <c r="Y252" s="191"/>
      <c r="Z252" s="191"/>
      <c r="AA252" s="191"/>
      <c r="AB252" s="191"/>
      <c r="AC252" s="191"/>
      <c r="AD252" s="191"/>
      <c r="AE252" s="191"/>
      <c r="AF252" s="191"/>
      <c r="AG252" s="191"/>
      <c r="AH252" s="191"/>
      <c r="AK252" s="155"/>
      <c r="AL252" s="144" t="s">
        <v>300</v>
      </c>
    </row>
    <row r="253" spans="1:38">
      <c r="AK253" s="155"/>
      <c r="AL253" s="144" t="s">
        <v>253</v>
      </c>
    </row>
    <row r="254" spans="1:38">
      <c r="AK254" s="155"/>
      <c r="AL254" s="144" t="s">
        <v>308</v>
      </c>
    </row>
    <row r="255" spans="1:38">
      <c r="AK255" s="155"/>
      <c r="AL255" s="144" t="s">
        <v>301</v>
      </c>
    </row>
    <row r="256" spans="1:38">
      <c r="AK256" s="155"/>
      <c r="AL256" s="144" t="s">
        <v>320</v>
      </c>
    </row>
    <row r="257" spans="1:38">
      <c r="A257" s="73" t="s">
        <v>1454</v>
      </c>
      <c r="AK257" s="155"/>
      <c r="AL257" s="144" t="s">
        <v>303</v>
      </c>
    </row>
    <row r="258" spans="1:38">
      <c r="AK258" s="155"/>
      <c r="AL258" s="144" t="s">
        <v>322</v>
      </c>
    </row>
    <row r="259" spans="1:38">
      <c r="A259" s="155" t="s">
        <v>1453</v>
      </c>
      <c r="B259" t="s">
        <v>1042</v>
      </c>
      <c r="C259" t="s">
        <v>1044</v>
      </c>
      <c r="D259" t="s">
        <v>347</v>
      </c>
      <c r="E259" t="s">
        <v>205</v>
      </c>
      <c r="F259" t="s">
        <v>1045</v>
      </c>
      <c r="G259">
        <v>1650</v>
      </c>
      <c r="H259" s="189">
        <v>1781.8290000000002</v>
      </c>
      <c r="I259" s="67">
        <v>3596.76001</v>
      </c>
      <c r="J259" s="67">
        <v>4818.1360999999997</v>
      </c>
      <c r="K259" s="67">
        <v>25</v>
      </c>
      <c r="L259" s="67">
        <v>26.447679999999998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67">
        <v>0</v>
      </c>
      <c r="S259" s="190">
        <v>0</v>
      </c>
      <c r="T259" s="191"/>
      <c r="U259" s="191"/>
      <c r="V259" s="191"/>
      <c r="W259" s="191"/>
      <c r="X259" s="191"/>
      <c r="Y259" s="191"/>
      <c r="Z259" s="191"/>
      <c r="AA259" s="191"/>
      <c r="AB259" s="191"/>
      <c r="AC259" s="191"/>
      <c r="AD259" s="191"/>
      <c r="AE259" s="191"/>
      <c r="AF259" s="191"/>
      <c r="AG259" s="191"/>
      <c r="AH259" s="191"/>
      <c r="AK259" s="155"/>
      <c r="AL259" s="144" t="s">
        <v>299</v>
      </c>
    </row>
    <row r="260" spans="1:38">
      <c r="A260" s="155" t="s">
        <v>1453</v>
      </c>
      <c r="B260" t="s">
        <v>1042</v>
      </c>
      <c r="C260" t="s">
        <v>1046</v>
      </c>
      <c r="D260" t="s">
        <v>347</v>
      </c>
      <c r="E260" t="s">
        <v>206</v>
      </c>
      <c r="F260" t="s">
        <v>1047</v>
      </c>
      <c r="G260">
        <v>1650</v>
      </c>
      <c r="H260" s="189">
        <v>1305.0347999999999</v>
      </c>
      <c r="I260" s="67">
        <v>3256.4366500000001</v>
      </c>
      <c r="J260" s="67">
        <v>8577.2770099999998</v>
      </c>
      <c r="K260" s="67">
        <v>629.45583999999997</v>
      </c>
      <c r="L260" s="67">
        <v>25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67">
        <v>0</v>
      </c>
      <c r="S260" s="190">
        <v>0</v>
      </c>
      <c r="T260" s="191"/>
      <c r="U260" s="191"/>
      <c r="V260" s="191"/>
      <c r="W260" s="191"/>
      <c r="X260" s="191"/>
      <c r="Y260" s="191"/>
      <c r="Z260" s="191"/>
      <c r="AA260" s="191"/>
      <c r="AB260" s="191"/>
      <c r="AC260" s="191"/>
      <c r="AD260" s="191"/>
      <c r="AE260" s="191"/>
      <c r="AF260" s="191"/>
      <c r="AG260" s="191"/>
      <c r="AH260" s="191"/>
      <c r="AK260" s="155"/>
      <c r="AL260" s="144" t="s">
        <v>305</v>
      </c>
    </row>
    <row r="261" spans="1:38">
      <c r="A261" s="155" t="s">
        <v>1453</v>
      </c>
      <c r="B261" t="s">
        <v>1042</v>
      </c>
      <c r="C261" t="s">
        <v>1048</v>
      </c>
      <c r="D261" t="s">
        <v>347</v>
      </c>
      <c r="E261" t="s">
        <v>205</v>
      </c>
      <c r="F261" t="s">
        <v>1045</v>
      </c>
      <c r="G261">
        <v>1650</v>
      </c>
      <c r="H261" s="189">
        <v>31088.247559999996</v>
      </c>
      <c r="I261" s="67">
        <v>24584.334999999999</v>
      </c>
      <c r="J261" s="67">
        <v>19142.543000000001</v>
      </c>
      <c r="K261" s="67">
        <v>6501.90283</v>
      </c>
      <c r="L261" s="67">
        <v>105.79088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67">
        <v>0</v>
      </c>
      <c r="S261" s="190">
        <v>0</v>
      </c>
      <c r="T261" s="191"/>
      <c r="U261" s="191"/>
      <c r="V261" s="191"/>
      <c r="W261" s="191"/>
      <c r="X261" s="191"/>
      <c r="Y261" s="191"/>
      <c r="Z261" s="191"/>
      <c r="AA261" s="191"/>
      <c r="AB261" s="191"/>
      <c r="AC261" s="191"/>
      <c r="AD261" s="191"/>
      <c r="AE261" s="191"/>
      <c r="AF261" s="191"/>
      <c r="AG261" s="191"/>
      <c r="AH261" s="191"/>
      <c r="AK261" s="155"/>
      <c r="AL261" s="144" t="s">
        <v>310</v>
      </c>
    </row>
    <row r="262" spans="1:38">
      <c r="A262" s="155" t="s">
        <v>1453</v>
      </c>
      <c r="B262" t="s">
        <v>1042</v>
      </c>
      <c r="C262" t="s">
        <v>1049</v>
      </c>
      <c r="D262" t="s">
        <v>347</v>
      </c>
      <c r="E262" t="s">
        <v>206</v>
      </c>
      <c r="F262" t="s">
        <v>1050</v>
      </c>
      <c r="G262">
        <v>1650</v>
      </c>
      <c r="H262" s="189">
        <v>981.36724000000004</v>
      </c>
      <c r="I262" s="67">
        <v>215.21187</v>
      </c>
      <c r="J262" s="67">
        <v>2486.2248599999998</v>
      </c>
      <c r="K262" s="67">
        <v>4192.1436400000002</v>
      </c>
      <c r="L262" s="67">
        <v>2367.4029999999998</v>
      </c>
      <c r="M262" s="67">
        <v>21.158200000000001</v>
      </c>
      <c r="N262" s="67">
        <v>0</v>
      </c>
      <c r="O262" s="67">
        <v>0</v>
      </c>
      <c r="P262" s="67">
        <v>0</v>
      </c>
      <c r="Q262" s="67">
        <v>0</v>
      </c>
      <c r="R262" s="67">
        <v>0</v>
      </c>
      <c r="S262" s="190">
        <v>0</v>
      </c>
      <c r="T262" s="191"/>
      <c r="U262" s="191"/>
      <c r="V262" s="191"/>
      <c r="W262" s="191"/>
      <c r="X262" s="191"/>
      <c r="Y262" s="191"/>
      <c r="Z262" s="191"/>
      <c r="AA262" s="191"/>
      <c r="AB262" s="191"/>
      <c r="AC262" s="191"/>
      <c r="AD262" s="191"/>
      <c r="AE262" s="191"/>
      <c r="AF262" s="191"/>
      <c r="AG262" s="191"/>
      <c r="AH262" s="191"/>
      <c r="AK262" s="155"/>
      <c r="AL262" s="144" t="s">
        <v>325</v>
      </c>
    </row>
    <row r="263" spans="1:38">
      <c r="A263" s="155" t="s">
        <v>1453</v>
      </c>
      <c r="B263" t="s">
        <v>1042</v>
      </c>
      <c r="C263" t="s">
        <v>1051</v>
      </c>
      <c r="D263" t="s">
        <v>347</v>
      </c>
      <c r="E263" t="s">
        <v>205</v>
      </c>
      <c r="F263" t="s">
        <v>1045</v>
      </c>
      <c r="G263">
        <v>1650</v>
      </c>
      <c r="H263" s="189">
        <v>0.40960000000000008</v>
      </c>
      <c r="I263" s="67">
        <v>2112.9275400000001</v>
      </c>
      <c r="J263" s="67">
        <v>4225.8550800000003</v>
      </c>
      <c r="K263" s="67">
        <v>704.30898999999999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67">
        <v>0</v>
      </c>
      <c r="S263" s="190">
        <v>0</v>
      </c>
      <c r="T263" s="191"/>
      <c r="U263" s="191"/>
      <c r="V263" s="191"/>
      <c r="W263" s="191"/>
      <c r="X263" s="191"/>
      <c r="Y263" s="191"/>
      <c r="Z263" s="191"/>
      <c r="AA263" s="191"/>
      <c r="AB263" s="191"/>
      <c r="AC263" s="191"/>
      <c r="AD263" s="191"/>
      <c r="AE263" s="191"/>
      <c r="AF263" s="191"/>
      <c r="AG263" s="191"/>
      <c r="AH263" s="191"/>
      <c r="AK263" s="155"/>
      <c r="AL263" s="144" t="s">
        <v>327</v>
      </c>
    </row>
    <row r="264" spans="1:38">
      <c r="A264" s="155" t="s">
        <v>1453</v>
      </c>
      <c r="B264" t="s">
        <v>1042</v>
      </c>
      <c r="C264" t="s">
        <v>1052</v>
      </c>
      <c r="D264" t="s">
        <v>347</v>
      </c>
      <c r="E264" t="s">
        <v>205</v>
      </c>
      <c r="F264" t="s">
        <v>1043</v>
      </c>
      <c r="G264">
        <v>1650</v>
      </c>
      <c r="H264" s="189">
        <v>32.797959999999996</v>
      </c>
      <c r="I264" s="67">
        <v>19.88</v>
      </c>
      <c r="J264" s="67">
        <v>238.19962000000001</v>
      </c>
      <c r="K264" s="67">
        <v>19.82</v>
      </c>
      <c r="L264" s="67">
        <v>19.820150000000002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67">
        <v>0</v>
      </c>
      <c r="S264" s="190">
        <v>0</v>
      </c>
      <c r="T264" s="191"/>
      <c r="U264" s="191"/>
      <c r="V264" s="191"/>
      <c r="W264" s="191"/>
      <c r="X264" s="191"/>
      <c r="Y264" s="191"/>
      <c r="Z264" s="191"/>
      <c r="AA264" s="191"/>
      <c r="AB264" s="191"/>
      <c r="AC264" s="191"/>
      <c r="AD264" s="191"/>
      <c r="AE264" s="191"/>
      <c r="AF264" s="191"/>
      <c r="AG264" s="191"/>
      <c r="AH264" s="191"/>
      <c r="AK264" s="155"/>
      <c r="AL264" s="144" t="s">
        <v>329</v>
      </c>
    </row>
    <row r="265" spans="1:38">
      <c r="A265" s="155" t="s">
        <v>1453</v>
      </c>
      <c r="B265" t="s">
        <v>1042</v>
      </c>
      <c r="C265" t="s">
        <v>1053</v>
      </c>
      <c r="D265" t="s">
        <v>347</v>
      </c>
      <c r="E265" t="s">
        <v>205</v>
      </c>
      <c r="F265" t="s">
        <v>1047</v>
      </c>
      <c r="G265">
        <v>1650</v>
      </c>
      <c r="H265" s="189">
        <v>11185.77104</v>
      </c>
      <c r="I265" s="67">
        <v>3803.04925</v>
      </c>
      <c r="J265" s="67">
        <v>16590.060160000001</v>
      </c>
      <c r="K265" s="67">
        <v>26338.96688</v>
      </c>
      <c r="L265" s="67">
        <v>21506.710200000001</v>
      </c>
      <c r="M265" s="67">
        <v>510.57907999999998</v>
      </c>
      <c r="N265" s="67">
        <v>0</v>
      </c>
      <c r="O265" s="67">
        <v>0</v>
      </c>
      <c r="P265" s="67">
        <v>0</v>
      </c>
      <c r="Q265" s="67">
        <v>0</v>
      </c>
      <c r="R265" s="67">
        <v>0</v>
      </c>
      <c r="S265" s="190">
        <v>0</v>
      </c>
      <c r="T265" s="191"/>
      <c r="U265" s="191"/>
      <c r="V265" s="191"/>
      <c r="W265" s="191"/>
      <c r="X265" s="191"/>
      <c r="Y265" s="191"/>
      <c r="Z265" s="191"/>
      <c r="AA265" s="191"/>
      <c r="AB265" s="191"/>
      <c r="AC265" s="191"/>
      <c r="AD265" s="191"/>
      <c r="AE265" s="191"/>
      <c r="AF265" s="191"/>
      <c r="AG265" s="191"/>
      <c r="AH265" s="191"/>
      <c r="AK265" s="155"/>
      <c r="AL265" s="144" t="s">
        <v>312</v>
      </c>
    </row>
    <row r="266" spans="1:38">
      <c r="A266" s="155" t="s">
        <v>1453</v>
      </c>
      <c r="B266" t="s">
        <v>1042</v>
      </c>
      <c r="C266" t="s">
        <v>1054</v>
      </c>
      <c r="D266" t="s">
        <v>347</v>
      </c>
      <c r="E266" t="s">
        <v>205</v>
      </c>
      <c r="F266" t="s">
        <v>1043</v>
      </c>
      <c r="G266">
        <v>1650</v>
      </c>
      <c r="H266" s="189">
        <v>0</v>
      </c>
      <c r="I266" s="67">
        <v>50</v>
      </c>
      <c r="J266" s="67">
        <v>450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67">
        <v>0</v>
      </c>
      <c r="S266" s="190">
        <v>0</v>
      </c>
      <c r="T266" s="191"/>
      <c r="U266" s="191"/>
      <c r="V266" s="191"/>
      <c r="W266" s="191"/>
      <c r="X266" s="191"/>
      <c r="Y266" s="191"/>
      <c r="Z266" s="191"/>
      <c r="AA266" s="191"/>
      <c r="AB266" s="191"/>
      <c r="AC266" s="191"/>
      <c r="AD266" s="191"/>
      <c r="AE266" s="191"/>
      <c r="AF266" s="191"/>
      <c r="AG266" s="191"/>
      <c r="AH266" s="191"/>
      <c r="AK266" s="155"/>
      <c r="AL266" s="144" t="s">
        <v>332</v>
      </c>
    </row>
    <row r="267" spans="1:38">
      <c r="A267" s="155" t="s">
        <v>1453</v>
      </c>
      <c r="B267" t="s">
        <v>1042</v>
      </c>
      <c r="C267" t="s">
        <v>1055</v>
      </c>
      <c r="D267" t="s">
        <v>347</v>
      </c>
      <c r="E267" t="s">
        <v>205</v>
      </c>
      <c r="F267" t="s">
        <v>8</v>
      </c>
      <c r="G267">
        <v>1650</v>
      </c>
      <c r="H267" s="189">
        <v>14803.970079999999</v>
      </c>
      <c r="I267" s="67">
        <v>2701.1514400000001</v>
      </c>
      <c r="J267" s="67">
        <v>766.98401999999999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67">
        <v>0</v>
      </c>
      <c r="S267" s="190">
        <v>0</v>
      </c>
      <c r="T267" s="191"/>
      <c r="U267" s="191"/>
      <c r="V267" s="191"/>
      <c r="W267" s="191"/>
      <c r="X267" s="191"/>
      <c r="Y267" s="191"/>
      <c r="Z267" s="191"/>
      <c r="AA267" s="191"/>
      <c r="AB267" s="191"/>
      <c r="AC267" s="191"/>
      <c r="AD267" s="191"/>
      <c r="AE267" s="191"/>
      <c r="AF267" s="191"/>
      <c r="AG267" s="191"/>
      <c r="AH267" s="191"/>
      <c r="AK267" s="155"/>
      <c r="AL267" s="144" t="s">
        <v>313</v>
      </c>
    </row>
    <row r="268" spans="1:38">
      <c r="A268" s="155" t="s">
        <v>1453</v>
      </c>
      <c r="B268" t="s">
        <v>1042</v>
      </c>
      <c r="C268" t="s">
        <v>1056</v>
      </c>
      <c r="D268" t="s">
        <v>347</v>
      </c>
      <c r="E268" t="s">
        <v>205</v>
      </c>
      <c r="F268" t="s">
        <v>8</v>
      </c>
      <c r="G268">
        <v>1650</v>
      </c>
      <c r="H268" s="189">
        <v>33298.519440000004</v>
      </c>
      <c r="I268" s="67">
        <v>10043.070519999999</v>
      </c>
      <c r="J268" s="67">
        <v>6401.70633</v>
      </c>
      <c r="K268" s="67">
        <v>5.5197900000000004</v>
      </c>
      <c r="L268" s="67">
        <v>0</v>
      </c>
      <c r="M268" s="67">
        <v>0</v>
      </c>
      <c r="N268" s="67">
        <v>0</v>
      </c>
      <c r="O268" s="67">
        <v>0</v>
      </c>
      <c r="P268" s="67">
        <v>0</v>
      </c>
      <c r="Q268" s="67">
        <v>0</v>
      </c>
      <c r="R268" s="67">
        <v>0</v>
      </c>
      <c r="S268" s="190">
        <v>0</v>
      </c>
      <c r="T268" s="191"/>
      <c r="U268" s="191"/>
      <c r="V268" s="191"/>
      <c r="W268" s="191"/>
      <c r="X268" s="191"/>
      <c r="Y268" s="191"/>
      <c r="Z268" s="191"/>
      <c r="AA268" s="191"/>
      <c r="AB268" s="191"/>
      <c r="AC268" s="191"/>
      <c r="AD268" s="191"/>
      <c r="AE268" s="191"/>
      <c r="AF268" s="191"/>
      <c r="AG268" s="191"/>
      <c r="AH268" s="191"/>
      <c r="AK268" s="155"/>
      <c r="AL268" s="144" t="s">
        <v>315</v>
      </c>
    </row>
    <row r="269" spans="1:38">
      <c r="A269" s="155" t="s">
        <v>1453</v>
      </c>
      <c r="B269" t="s">
        <v>1042</v>
      </c>
      <c r="C269" t="s">
        <v>1057</v>
      </c>
      <c r="D269" t="s">
        <v>347</v>
      </c>
      <c r="E269" t="s">
        <v>206</v>
      </c>
      <c r="F269" t="s">
        <v>8</v>
      </c>
      <c r="G269">
        <v>1650</v>
      </c>
      <c r="H269" s="189">
        <v>822.40899999999999</v>
      </c>
      <c r="I269" s="67">
        <v>221.61109999999999</v>
      </c>
      <c r="J269" s="67">
        <v>21405.38724</v>
      </c>
      <c r="K269" s="67">
        <v>0</v>
      </c>
      <c r="L269" s="67">
        <v>0</v>
      </c>
      <c r="M269" s="67">
        <v>0</v>
      </c>
      <c r="N269" s="67">
        <v>0</v>
      </c>
      <c r="O269" s="67">
        <v>0</v>
      </c>
      <c r="P269" s="67">
        <v>0</v>
      </c>
      <c r="Q269" s="67">
        <v>0</v>
      </c>
      <c r="R269" s="67">
        <v>0</v>
      </c>
      <c r="S269" s="190">
        <v>0</v>
      </c>
      <c r="T269" s="191"/>
      <c r="U269" s="191"/>
      <c r="V269" s="191"/>
      <c r="W269" s="191"/>
      <c r="X269" s="191"/>
      <c r="Y269" s="191"/>
      <c r="Z269" s="191"/>
      <c r="AA269" s="191"/>
      <c r="AB269" s="191"/>
      <c r="AC269" s="191"/>
      <c r="AD269" s="191"/>
      <c r="AE269" s="191"/>
      <c r="AF269" s="191"/>
      <c r="AG269" s="191"/>
      <c r="AH269" s="191"/>
      <c r="AK269" s="155"/>
      <c r="AL269" s="144" t="s">
        <v>335</v>
      </c>
    </row>
    <row r="270" spans="1:38">
      <c r="A270" s="155" t="s">
        <v>1453</v>
      </c>
      <c r="B270" t="s">
        <v>1042</v>
      </c>
      <c r="C270" t="s">
        <v>1058</v>
      </c>
      <c r="D270" t="s">
        <v>347</v>
      </c>
      <c r="E270" t="s">
        <v>206</v>
      </c>
      <c r="F270" t="s">
        <v>1043</v>
      </c>
      <c r="G270">
        <v>1650</v>
      </c>
      <c r="H270" s="189">
        <v>22002.499800000001</v>
      </c>
      <c r="I270" s="67">
        <v>29106.81568</v>
      </c>
      <c r="J270" s="67">
        <v>6185.7456399999992</v>
      </c>
      <c r="K270" s="67">
        <v>10644.44118</v>
      </c>
      <c r="L270" s="67">
        <v>143925.95762999999</v>
      </c>
      <c r="M270" s="67">
        <v>100835.61703999998</v>
      </c>
      <c r="N270" s="67">
        <v>299.48545999999999</v>
      </c>
      <c r="O270" s="67">
        <v>0</v>
      </c>
      <c r="P270" s="67">
        <v>0</v>
      </c>
      <c r="Q270" s="67">
        <v>0</v>
      </c>
      <c r="R270" s="67">
        <v>0</v>
      </c>
      <c r="S270" s="190">
        <v>0</v>
      </c>
      <c r="T270" s="191"/>
      <c r="U270" s="191"/>
      <c r="V270" s="191"/>
      <c r="W270" s="191"/>
      <c r="X270" s="191"/>
      <c r="Y270" s="191"/>
      <c r="Z270" s="191"/>
      <c r="AA270" s="191"/>
      <c r="AB270" s="191"/>
      <c r="AC270" s="191"/>
      <c r="AD270" s="191"/>
      <c r="AE270" s="191"/>
      <c r="AF270" s="191"/>
      <c r="AG270" s="191"/>
      <c r="AH270" s="191"/>
      <c r="AK270" s="155"/>
      <c r="AL270" s="144" t="s">
        <v>317</v>
      </c>
    </row>
    <row r="271" spans="1:38">
      <c r="A271" s="155" t="s">
        <v>1453</v>
      </c>
      <c r="B271" t="s">
        <v>1042</v>
      </c>
      <c r="C271" t="s">
        <v>1059</v>
      </c>
      <c r="D271" t="s">
        <v>347</v>
      </c>
      <c r="E271" t="s">
        <v>206</v>
      </c>
      <c r="F271" t="s">
        <v>1043</v>
      </c>
      <c r="G271">
        <v>1650</v>
      </c>
      <c r="H271" s="189">
        <v>11613.36004</v>
      </c>
      <c r="I271" s="67">
        <v>20044.786229999998</v>
      </c>
      <c r="J271" s="67">
        <v>12107.261250000001</v>
      </c>
      <c r="K271" s="67">
        <v>34577.024630000007</v>
      </c>
      <c r="L271" s="67">
        <v>80718.655979999996</v>
      </c>
      <c r="M271" s="67">
        <v>45675.089240000008</v>
      </c>
      <c r="N271" s="67">
        <v>87.097600000000014</v>
      </c>
      <c r="O271" s="67">
        <v>0</v>
      </c>
      <c r="P271" s="67">
        <v>0</v>
      </c>
      <c r="Q271" s="67">
        <v>0</v>
      </c>
      <c r="R271" s="67">
        <v>0</v>
      </c>
      <c r="S271" s="190">
        <v>0</v>
      </c>
      <c r="T271" s="191"/>
      <c r="U271" s="191"/>
      <c r="V271" s="191"/>
      <c r="W271" s="191"/>
      <c r="X271" s="191"/>
      <c r="Y271" s="191"/>
      <c r="Z271" s="191"/>
      <c r="AA271" s="191"/>
      <c r="AB271" s="191"/>
      <c r="AC271" s="191"/>
      <c r="AD271" s="191"/>
      <c r="AE271" s="191"/>
      <c r="AF271" s="191"/>
      <c r="AG271" s="191"/>
      <c r="AH271" s="191"/>
      <c r="AK271" s="155"/>
      <c r="AL271" s="144" t="s">
        <v>338</v>
      </c>
    </row>
    <row r="272" spans="1:38">
      <c r="A272" s="155" t="s">
        <v>1453</v>
      </c>
      <c r="B272" t="s">
        <v>1042</v>
      </c>
      <c r="C272" t="s">
        <v>1060</v>
      </c>
      <c r="D272" t="s">
        <v>347</v>
      </c>
      <c r="E272" t="s">
        <v>205</v>
      </c>
      <c r="F272" t="s">
        <v>1043</v>
      </c>
      <c r="G272">
        <v>1650</v>
      </c>
      <c r="H272" s="189">
        <v>1763.2900800000002</v>
      </c>
      <c r="I272" s="67">
        <v>2749.8417100000001</v>
      </c>
      <c r="J272" s="67">
        <v>4345.7337899999993</v>
      </c>
      <c r="K272" s="67">
        <v>879.88064999999995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67">
        <v>0</v>
      </c>
      <c r="S272" s="190">
        <v>0</v>
      </c>
      <c r="T272" s="191"/>
      <c r="U272" s="191"/>
      <c r="V272" s="191"/>
      <c r="W272" s="191"/>
      <c r="X272" s="191"/>
      <c r="Y272" s="191"/>
      <c r="Z272" s="191"/>
      <c r="AA272" s="191"/>
      <c r="AB272" s="191"/>
      <c r="AC272" s="191"/>
      <c r="AD272" s="191"/>
      <c r="AE272" s="191"/>
      <c r="AF272" s="191"/>
      <c r="AG272" s="191"/>
      <c r="AH272" s="191"/>
      <c r="AK272" s="155"/>
      <c r="AL272" s="144" t="s">
        <v>318</v>
      </c>
    </row>
    <row r="273" spans="1:38">
      <c r="A273" s="155" t="s">
        <v>1453</v>
      </c>
      <c r="B273" t="s">
        <v>1042</v>
      </c>
      <c r="C273" t="s">
        <v>1061</v>
      </c>
      <c r="D273" t="s">
        <v>347</v>
      </c>
      <c r="E273" t="s">
        <v>206</v>
      </c>
      <c r="F273" t="s">
        <v>1043</v>
      </c>
      <c r="G273">
        <v>1650</v>
      </c>
      <c r="H273" s="189">
        <v>23946.810440000001</v>
      </c>
      <c r="I273" s="67">
        <v>24762.460419999996</v>
      </c>
      <c r="J273" s="67">
        <v>98188.090599999996</v>
      </c>
      <c r="K273" s="67">
        <v>105600.42797999999</v>
      </c>
      <c r="L273" s="67">
        <v>1187.3059599999999</v>
      </c>
      <c r="M273" s="67">
        <v>0</v>
      </c>
      <c r="N273" s="67">
        <v>0</v>
      </c>
      <c r="O273" s="67">
        <v>0</v>
      </c>
      <c r="P273" s="67">
        <v>0</v>
      </c>
      <c r="Q273" s="67">
        <v>0</v>
      </c>
      <c r="R273" s="67">
        <v>0</v>
      </c>
      <c r="S273" s="190">
        <v>0</v>
      </c>
      <c r="T273" s="191"/>
      <c r="U273" s="191"/>
      <c r="V273" s="191"/>
      <c r="W273" s="191"/>
      <c r="X273" s="191"/>
      <c r="Y273" s="191"/>
      <c r="Z273" s="191"/>
      <c r="AA273" s="191"/>
      <c r="AB273" s="191"/>
      <c r="AC273" s="191"/>
      <c r="AD273" s="191"/>
      <c r="AE273" s="191"/>
      <c r="AF273" s="191"/>
      <c r="AG273" s="191"/>
      <c r="AH273" s="191"/>
      <c r="AK273" s="155"/>
      <c r="AL273" s="144" t="s">
        <v>319</v>
      </c>
    </row>
    <row r="274" spans="1:38">
      <c r="A274" s="155" t="s">
        <v>1453</v>
      </c>
      <c r="B274" t="s">
        <v>1042</v>
      </c>
      <c r="C274" t="s">
        <v>1062</v>
      </c>
      <c r="D274" t="s">
        <v>347</v>
      </c>
      <c r="E274" t="s">
        <v>206</v>
      </c>
      <c r="F274" t="s">
        <v>1043</v>
      </c>
      <c r="G274">
        <v>1650</v>
      </c>
      <c r="H274" s="189">
        <v>232.13708</v>
      </c>
      <c r="I274" s="67">
        <v>1907.05294</v>
      </c>
      <c r="J274" s="67">
        <v>77.288259999999994</v>
      </c>
      <c r="K274" s="67">
        <v>0.94788000000000006</v>
      </c>
      <c r="L274" s="67">
        <v>0</v>
      </c>
      <c r="M274" s="67">
        <v>0</v>
      </c>
      <c r="N274" s="67">
        <v>0</v>
      </c>
      <c r="O274" s="67">
        <v>0</v>
      </c>
      <c r="P274" s="67">
        <v>0</v>
      </c>
      <c r="Q274" s="67">
        <v>0</v>
      </c>
      <c r="R274" s="67">
        <v>0</v>
      </c>
      <c r="S274" s="190">
        <v>0</v>
      </c>
      <c r="T274" s="191"/>
      <c r="U274" s="191"/>
      <c r="V274" s="191"/>
      <c r="W274" s="191"/>
      <c r="X274" s="191"/>
      <c r="Y274" s="191"/>
      <c r="Z274" s="191"/>
      <c r="AA274" s="191"/>
      <c r="AB274" s="191"/>
      <c r="AC274" s="191"/>
      <c r="AD274" s="191"/>
      <c r="AE274" s="191"/>
      <c r="AF274" s="191"/>
      <c r="AG274" s="191"/>
      <c r="AH274" s="191"/>
      <c r="AK274" s="155"/>
      <c r="AL274" s="144" t="s">
        <v>321</v>
      </c>
    </row>
    <row r="275" spans="1:38">
      <c r="A275" s="155" t="s">
        <v>1453</v>
      </c>
      <c r="B275" t="s">
        <v>1042</v>
      </c>
      <c r="C275" t="s">
        <v>1063</v>
      </c>
      <c r="D275" t="s">
        <v>347</v>
      </c>
      <c r="E275" t="s">
        <v>205</v>
      </c>
      <c r="F275" t="s">
        <v>1043</v>
      </c>
      <c r="G275">
        <v>1650</v>
      </c>
      <c r="H275" s="189">
        <v>1488.8271599999998</v>
      </c>
      <c r="I275" s="67">
        <v>2041.0136899999998</v>
      </c>
      <c r="J275" s="67">
        <v>716.14997999999991</v>
      </c>
      <c r="K275" s="67">
        <v>1.8957799999999998</v>
      </c>
      <c r="L275" s="67">
        <v>0</v>
      </c>
      <c r="M275" s="67">
        <v>0</v>
      </c>
      <c r="N275" s="67">
        <v>0</v>
      </c>
      <c r="O275" s="67">
        <v>0</v>
      </c>
      <c r="P275" s="67">
        <v>0</v>
      </c>
      <c r="Q275" s="67">
        <v>0</v>
      </c>
      <c r="R275" s="67">
        <v>0</v>
      </c>
      <c r="S275" s="190">
        <v>0</v>
      </c>
      <c r="T275" s="191"/>
      <c r="U275" s="191"/>
      <c r="V275" s="191"/>
      <c r="W275" s="191"/>
      <c r="X275" s="191"/>
      <c r="Y275" s="191"/>
      <c r="Z275" s="191"/>
      <c r="AA275" s="191"/>
      <c r="AB275" s="191"/>
      <c r="AC275" s="191"/>
      <c r="AD275" s="191"/>
      <c r="AE275" s="191"/>
      <c r="AF275" s="191"/>
      <c r="AG275" s="191"/>
      <c r="AH275" s="191"/>
      <c r="AK275" s="155"/>
      <c r="AL275" s="144" t="s">
        <v>339</v>
      </c>
    </row>
    <row r="276" spans="1:38">
      <c r="A276" s="155" t="s">
        <v>1453</v>
      </c>
      <c r="B276" t="s">
        <v>1042</v>
      </c>
      <c r="C276" t="s">
        <v>1064</v>
      </c>
      <c r="D276" t="s">
        <v>347</v>
      </c>
      <c r="E276" t="s">
        <v>206</v>
      </c>
      <c r="F276" t="s">
        <v>1043</v>
      </c>
      <c r="G276">
        <v>1650</v>
      </c>
      <c r="H276" s="189">
        <v>4204.0401999999995</v>
      </c>
      <c r="I276" s="67">
        <v>4277.4000399999995</v>
      </c>
      <c r="J276" s="67">
        <v>8637.4196800000009</v>
      </c>
      <c r="K276" s="67">
        <v>27773.079370000003</v>
      </c>
      <c r="L276" s="67">
        <v>2964.6120999999998</v>
      </c>
      <c r="M276" s="67">
        <v>0</v>
      </c>
      <c r="N276" s="67">
        <v>0</v>
      </c>
      <c r="O276" s="67">
        <v>0</v>
      </c>
      <c r="P276" s="67">
        <v>0</v>
      </c>
      <c r="Q276" s="67">
        <v>0</v>
      </c>
      <c r="R276" s="67">
        <v>0</v>
      </c>
      <c r="S276" s="190">
        <v>0</v>
      </c>
      <c r="T276" s="191"/>
      <c r="U276" s="191"/>
      <c r="V276" s="191"/>
      <c r="W276" s="191"/>
      <c r="X276" s="191"/>
      <c r="Y276" s="191"/>
      <c r="Z276" s="191"/>
      <c r="AA276" s="191"/>
      <c r="AB276" s="191"/>
      <c r="AC276" s="191"/>
      <c r="AD276" s="191"/>
      <c r="AE276" s="191"/>
      <c r="AF276" s="191"/>
      <c r="AG276" s="191"/>
      <c r="AH276" s="191"/>
      <c r="AK276" s="155"/>
      <c r="AL276" s="144" t="s">
        <v>324</v>
      </c>
    </row>
    <row r="277" spans="1:38">
      <c r="A277" s="155" t="s">
        <v>1453</v>
      </c>
      <c r="B277" t="s">
        <v>1042</v>
      </c>
      <c r="C277" t="s">
        <v>1065</v>
      </c>
      <c r="D277" t="s">
        <v>347</v>
      </c>
      <c r="E277" t="s">
        <v>206</v>
      </c>
      <c r="F277" t="s">
        <v>1043</v>
      </c>
      <c r="G277">
        <v>1650</v>
      </c>
      <c r="H277" s="189">
        <v>3422.7519200000002</v>
      </c>
      <c r="I277" s="67">
        <v>6823.4846299999999</v>
      </c>
      <c r="J277" s="67">
        <v>2945.01901</v>
      </c>
      <c r="K277" s="67">
        <v>6959.1910900000003</v>
      </c>
      <c r="L277" s="67">
        <v>31453.63913</v>
      </c>
      <c r="M277" s="67">
        <v>17052.391699999996</v>
      </c>
      <c r="N277" s="67">
        <v>0</v>
      </c>
      <c r="O277" s="67">
        <v>0</v>
      </c>
      <c r="P277" s="67">
        <v>0</v>
      </c>
      <c r="Q277" s="67">
        <v>0</v>
      </c>
      <c r="R277" s="67">
        <v>0</v>
      </c>
      <c r="S277" s="190">
        <v>0</v>
      </c>
      <c r="T277" s="191"/>
      <c r="U277" s="191"/>
      <c r="V277" s="191"/>
      <c r="W277" s="191"/>
      <c r="X277" s="191"/>
      <c r="Y277" s="191"/>
      <c r="Z277" s="191"/>
      <c r="AA277" s="191"/>
      <c r="AB277" s="191"/>
      <c r="AC277" s="191"/>
      <c r="AD277" s="191"/>
      <c r="AE277" s="191"/>
      <c r="AF277" s="191"/>
      <c r="AG277" s="191"/>
      <c r="AH277" s="191"/>
      <c r="AK277" s="155"/>
      <c r="AL277" s="144" t="s">
        <v>344</v>
      </c>
    </row>
    <row r="278" spans="1:38">
      <c r="A278" s="155" t="s">
        <v>1453</v>
      </c>
      <c r="B278" t="s">
        <v>1042</v>
      </c>
      <c r="C278" t="s">
        <v>1066</v>
      </c>
      <c r="D278" t="s">
        <v>347</v>
      </c>
      <c r="E278" t="s">
        <v>206</v>
      </c>
      <c r="F278" t="s">
        <v>1043</v>
      </c>
      <c r="G278">
        <v>1650</v>
      </c>
      <c r="H278" s="189">
        <v>2957.8980000000001</v>
      </c>
      <c r="I278" s="67">
        <v>7351.0328300000001</v>
      </c>
      <c r="J278" s="67">
        <v>30046.976060000001</v>
      </c>
      <c r="K278" s="67">
        <v>596.08848</v>
      </c>
      <c r="L278" s="67">
        <v>283.72206999999992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67">
        <v>0</v>
      </c>
      <c r="S278" s="190">
        <v>0</v>
      </c>
      <c r="T278" s="191"/>
      <c r="U278" s="191"/>
      <c r="V278" s="191"/>
      <c r="W278" s="191"/>
      <c r="X278" s="191"/>
      <c r="Y278" s="191"/>
      <c r="Z278" s="191"/>
      <c r="AA278" s="191"/>
      <c r="AB278" s="191"/>
      <c r="AC278" s="191"/>
      <c r="AD278" s="191"/>
      <c r="AE278" s="191"/>
      <c r="AF278" s="191"/>
      <c r="AG278" s="191"/>
      <c r="AH278" s="191"/>
      <c r="AK278" s="155"/>
      <c r="AL278" s="144" t="s">
        <v>326</v>
      </c>
    </row>
    <row r="279" spans="1:38">
      <c r="A279" s="155" t="s">
        <v>1453</v>
      </c>
      <c r="B279" t="s">
        <v>1042</v>
      </c>
      <c r="C279" t="s">
        <v>1067</v>
      </c>
      <c r="D279" t="s">
        <v>347</v>
      </c>
      <c r="E279" t="s">
        <v>205</v>
      </c>
      <c r="F279" t="s">
        <v>1043</v>
      </c>
      <c r="G279">
        <v>1650</v>
      </c>
      <c r="H279" s="189">
        <v>178993.36655999999</v>
      </c>
      <c r="I279" s="67">
        <v>23935.18723</v>
      </c>
      <c r="J279" s="67">
        <v>21427.661329999999</v>
      </c>
      <c r="K279" s="67">
        <v>10544.73668</v>
      </c>
      <c r="L279" s="67">
        <v>16193.257199999998</v>
      </c>
      <c r="M279" s="67">
        <v>150.71499999999997</v>
      </c>
      <c r="N279" s="67">
        <v>0</v>
      </c>
      <c r="O279" s="67">
        <v>0</v>
      </c>
      <c r="P279" s="67">
        <v>0</v>
      </c>
      <c r="Q279" s="67">
        <v>0</v>
      </c>
      <c r="R279" s="67">
        <v>0</v>
      </c>
      <c r="S279" s="190">
        <v>0</v>
      </c>
      <c r="T279" s="191"/>
      <c r="U279" s="191"/>
      <c r="V279" s="191"/>
      <c r="W279" s="191"/>
      <c r="X279" s="191"/>
      <c r="Y279" s="191"/>
      <c r="Z279" s="191"/>
      <c r="AA279" s="191"/>
      <c r="AB279" s="191"/>
      <c r="AC279" s="191"/>
      <c r="AD279" s="191"/>
      <c r="AE279" s="191"/>
      <c r="AF279" s="191"/>
      <c r="AG279" s="191"/>
      <c r="AH279" s="191"/>
      <c r="AK279" s="155"/>
      <c r="AL279" s="144" t="s">
        <v>328</v>
      </c>
    </row>
    <row r="280" spans="1:38">
      <c r="A280" s="155" t="s">
        <v>1453</v>
      </c>
      <c r="B280" t="s">
        <v>1042</v>
      </c>
      <c r="C280" t="s">
        <v>1068</v>
      </c>
      <c r="D280" t="s">
        <v>347</v>
      </c>
      <c r="E280" t="s">
        <v>206</v>
      </c>
      <c r="F280" t="s">
        <v>1043</v>
      </c>
      <c r="G280">
        <v>1650</v>
      </c>
      <c r="H280" s="189">
        <v>19267.755079999995</v>
      </c>
      <c r="I280" s="67">
        <v>8161.6828100000002</v>
      </c>
      <c r="J280" s="67">
        <v>41182.23057</v>
      </c>
      <c r="K280" s="67">
        <v>36457.437290000002</v>
      </c>
      <c r="L280" s="67">
        <v>6921.8044099999997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67">
        <v>0</v>
      </c>
      <c r="S280" s="190">
        <v>0</v>
      </c>
      <c r="T280" s="191"/>
      <c r="U280" s="191"/>
      <c r="V280" s="191"/>
      <c r="W280" s="191"/>
      <c r="X280" s="191"/>
      <c r="Y280" s="191"/>
      <c r="Z280" s="191"/>
      <c r="AA280" s="191"/>
      <c r="AB280" s="191"/>
      <c r="AC280" s="191"/>
      <c r="AD280" s="191"/>
      <c r="AE280" s="191"/>
      <c r="AF280" s="191"/>
      <c r="AG280" s="191"/>
      <c r="AH280" s="191"/>
      <c r="AK280" s="155"/>
      <c r="AL280" s="144" t="s">
        <v>330</v>
      </c>
    </row>
    <row r="281" spans="1:38">
      <c r="A281" s="155" t="s">
        <v>1453</v>
      </c>
      <c r="B281" t="s">
        <v>1042</v>
      </c>
      <c r="C281" t="s">
        <v>1069</v>
      </c>
      <c r="D281" t="s">
        <v>347</v>
      </c>
      <c r="E281" t="s">
        <v>205</v>
      </c>
      <c r="F281" t="s">
        <v>1043</v>
      </c>
      <c r="G281">
        <v>1650</v>
      </c>
      <c r="H281" s="189">
        <v>0</v>
      </c>
      <c r="I281" s="67">
        <v>0</v>
      </c>
      <c r="J281" s="67">
        <v>0</v>
      </c>
      <c r="K281" s="67">
        <v>75</v>
      </c>
      <c r="L281" s="67">
        <v>600.00004000000001</v>
      </c>
      <c r="M281" s="67">
        <v>3800</v>
      </c>
      <c r="N281" s="67">
        <v>1950</v>
      </c>
      <c r="O281" s="67">
        <v>120</v>
      </c>
      <c r="P281" s="67">
        <v>0</v>
      </c>
      <c r="Q281" s="67">
        <v>0</v>
      </c>
      <c r="R281" s="67">
        <v>0</v>
      </c>
      <c r="S281" s="190">
        <v>0</v>
      </c>
      <c r="T281" s="191"/>
      <c r="U281" s="191"/>
      <c r="V281" s="191"/>
      <c r="W281" s="191"/>
      <c r="X281" s="191"/>
      <c r="Y281" s="191"/>
      <c r="Z281" s="191"/>
      <c r="AA281" s="191"/>
      <c r="AB281" s="191"/>
      <c r="AC281" s="191"/>
      <c r="AD281" s="191"/>
      <c r="AE281" s="191"/>
      <c r="AF281" s="191"/>
      <c r="AG281" s="191"/>
      <c r="AH281" s="191"/>
      <c r="AK281" s="155"/>
      <c r="AL281" s="144" t="s">
        <v>331</v>
      </c>
    </row>
    <row r="282" spans="1:38">
      <c r="A282" s="155" t="s">
        <v>1453</v>
      </c>
      <c r="B282" t="s">
        <v>1042</v>
      </c>
      <c r="C282" t="s">
        <v>1070</v>
      </c>
      <c r="D282" t="s">
        <v>347</v>
      </c>
      <c r="E282" t="s">
        <v>205</v>
      </c>
      <c r="F282" t="s">
        <v>1043</v>
      </c>
      <c r="G282">
        <v>1650</v>
      </c>
      <c r="H282" s="189">
        <v>17184.526680000003</v>
      </c>
      <c r="I282" s="67">
        <v>4613.1258399999997</v>
      </c>
      <c r="J282" s="67">
        <v>5919.7420000000002</v>
      </c>
      <c r="K282" s="67">
        <v>17747.735079999999</v>
      </c>
      <c r="L282" s="67">
        <v>2781.6402800000005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67">
        <v>0</v>
      </c>
      <c r="S282" s="190">
        <v>0</v>
      </c>
      <c r="T282" s="191"/>
      <c r="U282" s="191"/>
      <c r="V282" s="191"/>
      <c r="W282" s="191"/>
      <c r="X282" s="191"/>
      <c r="Y282" s="191"/>
      <c r="Z282" s="191"/>
      <c r="AA282" s="191"/>
      <c r="AB282" s="191"/>
      <c r="AC282" s="191"/>
      <c r="AD282" s="191"/>
      <c r="AE282" s="191"/>
      <c r="AF282" s="191"/>
      <c r="AG282" s="191"/>
      <c r="AH282" s="191"/>
      <c r="AK282" s="155"/>
      <c r="AL282" s="144" t="s">
        <v>333</v>
      </c>
    </row>
    <row r="283" spans="1:38">
      <c r="A283" s="155" t="s">
        <v>1453</v>
      </c>
      <c r="B283" t="s">
        <v>1042</v>
      </c>
      <c r="C283" t="s">
        <v>1071</v>
      </c>
      <c r="D283" t="s">
        <v>347</v>
      </c>
      <c r="E283" t="s">
        <v>205</v>
      </c>
      <c r="F283" t="s">
        <v>1043</v>
      </c>
      <c r="G283">
        <v>1650</v>
      </c>
      <c r="H283" s="189">
        <v>26714.414599999996</v>
      </c>
      <c r="I283" s="67">
        <v>443.23710999999997</v>
      </c>
      <c r="J283" s="67">
        <v>4712.6893</v>
      </c>
      <c r="K283" s="67">
        <v>15118.328960000001</v>
      </c>
      <c r="L283" s="67">
        <v>4274.5235199999997</v>
      </c>
      <c r="M283" s="67">
        <v>205</v>
      </c>
      <c r="N283" s="67">
        <v>0</v>
      </c>
      <c r="O283" s="67">
        <v>0</v>
      </c>
      <c r="P283" s="67">
        <v>0</v>
      </c>
      <c r="Q283" s="67">
        <v>0</v>
      </c>
      <c r="R283" s="67">
        <v>0</v>
      </c>
      <c r="S283" s="190">
        <v>0</v>
      </c>
      <c r="T283" s="191"/>
      <c r="U283" s="191"/>
      <c r="V283" s="191"/>
      <c r="W283" s="191"/>
      <c r="X283" s="191"/>
      <c r="Y283" s="191"/>
      <c r="Z283" s="191"/>
      <c r="AA283" s="191"/>
      <c r="AB283" s="191"/>
      <c r="AC283" s="191"/>
      <c r="AD283" s="191"/>
      <c r="AE283" s="191"/>
      <c r="AF283" s="191"/>
      <c r="AG283" s="191"/>
      <c r="AH283" s="191"/>
      <c r="AK283" s="155"/>
      <c r="AL283" s="144" t="s">
        <v>334</v>
      </c>
    </row>
    <row r="284" spans="1:38">
      <c r="A284" s="155" t="s">
        <v>1453</v>
      </c>
      <c r="B284" t="s">
        <v>1042</v>
      </c>
      <c r="C284" t="s">
        <v>1072</v>
      </c>
      <c r="D284" t="s">
        <v>347</v>
      </c>
      <c r="E284" t="s">
        <v>205</v>
      </c>
      <c r="F284" t="s">
        <v>1043</v>
      </c>
      <c r="G284">
        <v>1650</v>
      </c>
      <c r="H284" s="189">
        <v>4745.9253599999993</v>
      </c>
      <c r="I284" s="67">
        <v>1856.0889400000003</v>
      </c>
      <c r="J284" s="67">
        <v>3221.73137</v>
      </c>
      <c r="K284" s="67">
        <v>333.98741000000007</v>
      </c>
      <c r="L284" s="67">
        <v>351.77465000000001</v>
      </c>
      <c r="M284" s="67">
        <v>370.50984000000005</v>
      </c>
      <c r="N284" s="67">
        <v>0</v>
      </c>
      <c r="O284" s="67">
        <v>0</v>
      </c>
      <c r="P284" s="67">
        <v>0</v>
      </c>
      <c r="Q284" s="67">
        <v>0</v>
      </c>
      <c r="R284" s="67">
        <v>0</v>
      </c>
      <c r="S284" s="190">
        <v>0</v>
      </c>
      <c r="T284" s="191"/>
      <c r="U284" s="191"/>
      <c r="V284" s="191"/>
      <c r="W284" s="191"/>
      <c r="X284" s="191"/>
      <c r="Y284" s="191"/>
      <c r="Z284" s="191"/>
      <c r="AA284" s="191"/>
      <c r="AB284" s="191"/>
      <c r="AC284" s="191"/>
      <c r="AD284" s="191"/>
      <c r="AE284" s="191"/>
      <c r="AF284" s="191"/>
      <c r="AG284" s="191"/>
      <c r="AH284" s="191"/>
      <c r="AK284" s="155"/>
      <c r="AL284" s="144" t="s">
        <v>336</v>
      </c>
    </row>
    <row r="285" spans="1:38">
      <c r="A285" s="155" t="s">
        <v>1453</v>
      </c>
      <c r="B285" t="s">
        <v>1042</v>
      </c>
      <c r="C285" t="s">
        <v>1073</v>
      </c>
      <c r="D285" t="s">
        <v>347</v>
      </c>
      <c r="E285" t="s">
        <v>205</v>
      </c>
      <c r="F285" t="s">
        <v>1043</v>
      </c>
      <c r="G285">
        <v>1650</v>
      </c>
      <c r="H285" s="189">
        <v>6142.0639200000005</v>
      </c>
      <c r="I285" s="67">
        <v>3337.9544900000005</v>
      </c>
      <c r="J285" s="67">
        <v>1464.6547599999999</v>
      </c>
      <c r="K285" s="67">
        <v>573.53718000000003</v>
      </c>
      <c r="L285" s="67">
        <v>386.11038000000002</v>
      </c>
      <c r="M285" s="67">
        <v>0</v>
      </c>
      <c r="N285" s="67">
        <v>0</v>
      </c>
      <c r="O285" s="67">
        <v>0</v>
      </c>
      <c r="P285" s="67">
        <v>0</v>
      </c>
      <c r="Q285" s="67">
        <v>0</v>
      </c>
      <c r="R285" s="67">
        <v>0</v>
      </c>
      <c r="S285" s="190">
        <v>0</v>
      </c>
      <c r="T285" s="191"/>
      <c r="U285" s="191"/>
      <c r="V285" s="191"/>
      <c r="W285" s="191"/>
      <c r="X285" s="191"/>
      <c r="Y285" s="191"/>
      <c r="Z285" s="191"/>
      <c r="AA285" s="191"/>
      <c r="AB285" s="191"/>
      <c r="AC285" s="191"/>
      <c r="AD285" s="191"/>
      <c r="AE285" s="191"/>
      <c r="AF285" s="191"/>
      <c r="AG285" s="191"/>
      <c r="AH285" s="191"/>
      <c r="AK285" s="155"/>
      <c r="AL285" s="144" t="s">
        <v>274</v>
      </c>
    </row>
    <row r="286" spans="1:38">
      <c r="A286" s="155" t="s">
        <v>1453</v>
      </c>
      <c r="B286" t="s">
        <v>1042</v>
      </c>
      <c r="C286" t="s">
        <v>1074</v>
      </c>
      <c r="D286" t="s">
        <v>347</v>
      </c>
      <c r="E286" t="s">
        <v>205</v>
      </c>
      <c r="F286" t="s">
        <v>1043</v>
      </c>
      <c r="G286">
        <v>1650</v>
      </c>
      <c r="H286" s="189">
        <v>4727.0226399999992</v>
      </c>
      <c r="I286" s="67">
        <v>4372.5883299999996</v>
      </c>
      <c r="J286" s="67">
        <v>7460.5466100000003</v>
      </c>
      <c r="K286" s="67">
        <v>823.65533000000016</v>
      </c>
      <c r="L286" s="67">
        <v>867.52103</v>
      </c>
      <c r="M286" s="67">
        <v>913.72502999999995</v>
      </c>
      <c r="N286" s="67">
        <v>0</v>
      </c>
      <c r="O286" s="67">
        <v>0</v>
      </c>
      <c r="P286" s="67">
        <v>0</v>
      </c>
      <c r="Q286" s="67">
        <v>0</v>
      </c>
      <c r="R286" s="67">
        <v>0</v>
      </c>
      <c r="S286" s="190">
        <v>0</v>
      </c>
      <c r="T286" s="191"/>
      <c r="U286" s="191"/>
      <c r="V286" s="191"/>
      <c r="W286" s="191"/>
      <c r="X286" s="191"/>
      <c r="Y286" s="191"/>
      <c r="Z286" s="191"/>
      <c r="AA286" s="191"/>
      <c r="AB286" s="191"/>
      <c r="AC286" s="191"/>
      <c r="AD286" s="191"/>
      <c r="AE286" s="191"/>
      <c r="AF286" s="191"/>
      <c r="AG286" s="191"/>
      <c r="AH286" s="191"/>
      <c r="AK286" s="155"/>
      <c r="AL286" s="144" t="s">
        <v>306</v>
      </c>
    </row>
    <row r="287" spans="1:38">
      <c r="A287" s="155" t="s">
        <v>1453</v>
      </c>
      <c r="B287" t="s">
        <v>1042</v>
      </c>
      <c r="C287" t="s">
        <v>1075</v>
      </c>
      <c r="D287" t="s">
        <v>347</v>
      </c>
      <c r="E287" t="s">
        <v>205</v>
      </c>
      <c r="F287" t="s">
        <v>1043</v>
      </c>
      <c r="G287">
        <v>1650</v>
      </c>
      <c r="H287" s="189">
        <v>12962.15972</v>
      </c>
      <c r="I287" s="67">
        <v>19387.581160000002</v>
      </c>
      <c r="J287" s="67">
        <v>16386.916679999998</v>
      </c>
      <c r="K287" s="67">
        <v>3132.1230799999998</v>
      </c>
      <c r="L287" s="67">
        <v>3328.7654900000002</v>
      </c>
      <c r="M287" s="67">
        <v>3472.4805099999994</v>
      </c>
      <c r="N287" s="67">
        <v>116.91079999999999</v>
      </c>
      <c r="O287" s="67">
        <v>0</v>
      </c>
      <c r="P287" s="67">
        <v>0</v>
      </c>
      <c r="Q287" s="67">
        <v>0</v>
      </c>
      <c r="R287" s="67">
        <v>0</v>
      </c>
      <c r="S287" s="190">
        <v>0</v>
      </c>
      <c r="T287" s="191"/>
      <c r="U287" s="191"/>
      <c r="V287" s="191"/>
      <c r="W287" s="191"/>
      <c r="X287" s="191"/>
      <c r="Y287" s="191"/>
      <c r="Z287" s="191"/>
      <c r="AA287" s="191"/>
      <c r="AB287" s="191"/>
      <c r="AC287" s="191"/>
      <c r="AD287" s="191"/>
      <c r="AE287" s="191"/>
      <c r="AF287" s="191"/>
      <c r="AG287" s="191"/>
      <c r="AH287" s="191"/>
      <c r="AK287" s="155"/>
      <c r="AL287" s="144" t="s">
        <v>337</v>
      </c>
    </row>
    <row r="288" spans="1:38">
      <c r="A288" s="155" t="s">
        <v>1453</v>
      </c>
      <c r="B288" t="s">
        <v>1042</v>
      </c>
      <c r="C288" t="s">
        <v>1076</v>
      </c>
      <c r="D288" t="s">
        <v>347</v>
      </c>
      <c r="E288" t="s">
        <v>206</v>
      </c>
      <c r="F288" t="s">
        <v>1043</v>
      </c>
      <c r="G288">
        <v>1650</v>
      </c>
      <c r="H288" s="189">
        <v>17144.940999999999</v>
      </c>
      <c r="I288" s="67">
        <v>23750.105370000001</v>
      </c>
      <c r="J288" s="67">
        <v>58946.93275</v>
      </c>
      <c r="K288" s="67">
        <v>111396.70245000001</v>
      </c>
      <c r="L288" s="67">
        <v>17993.13897</v>
      </c>
      <c r="M288" s="67">
        <v>8.3526699999999998</v>
      </c>
      <c r="N288" s="67">
        <v>0</v>
      </c>
      <c r="O288" s="67">
        <v>0</v>
      </c>
      <c r="P288" s="67">
        <v>0</v>
      </c>
      <c r="Q288" s="67">
        <v>0</v>
      </c>
      <c r="R288" s="67">
        <v>0</v>
      </c>
      <c r="S288" s="190">
        <v>0</v>
      </c>
      <c r="T288" s="191"/>
      <c r="U288" s="191"/>
      <c r="V288" s="191"/>
      <c r="W288" s="191"/>
      <c r="X288" s="191"/>
      <c r="Y288" s="191"/>
      <c r="Z288" s="191"/>
      <c r="AA288" s="191"/>
      <c r="AB288" s="191"/>
      <c r="AC288" s="191"/>
      <c r="AD288" s="191"/>
      <c r="AE288" s="191"/>
      <c r="AF288" s="191"/>
      <c r="AG288" s="191"/>
      <c r="AH288" s="191"/>
      <c r="AK288" s="155"/>
      <c r="AL288" s="144" t="s">
        <v>340</v>
      </c>
    </row>
    <row r="289" spans="1:38">
      <c r="A289" s="155" t="s">
        <v>1453</v>
      </c>
      <c r="B289" t="s">
        <v>1042</v>
      </c>
      <c r="C289" t="s">
        <v>1077</v>
      </c>
      <c r="D289" t="s">
        <v>347</v>
      </c>
      <c r="E289" t="s">
        <v>206</v>
      </c>
      <c r="F289" t="s">
        <v>1043</v>
      </c>
      <c r="G289">
        <v>1650</v>
      </c>
      <c r="H289" s="189">
        <v>32229.26496</v>
      </c>
      <c r="I289" s="67">
        <v>24542.451809999999</v>
      </c>
      <c r="J289" s="67">
        <v>30472.187079999996</v>
      </c>
      <c r="K289" s="67">
        <v>69854.128760000007</v>
      </c>
      <c r="L289" s="67">
        <v>71766.462759999995</v>
      </c>
      <c r="M289" s="67">
        <v>17103.655889999998</v>
      </c>
      <c r="N289" s="67">
        <v>0</v>
      </c>
      <c r="O289" s="67">
        <v>0</v>
      </c>
      <c r="P289" s="67">
        <v>0</v>
      </c>
      <c r="Q289" s="67">
        <v>0</v>
      </c>
      <c r="R289" s="67">
        <v>0</v>
      </c>
      <c r="S289" s="190">
        <v>0</v>
      </c>
      <c r="T289" s="191"/>
      <c r="U289" s="191"/>
      <c r="V289" s="191"/>
      <c r="W289" s="191"/>
      <c r="X289" s="191"/>
      <c r="Y289" s="191"/>
      <c r="Z289" s="191"/>
      <c r="AA289" s="191"/>
      <c r="AB289" s="191"/>
      <c r="AC289" s="191"/>
      <c r="AD289" s="191"/>
      <c r="AE289" s="191"/>
      <c r="AF289" s="191"/>
      <c r="AG289" s="191"/>
      <c r="AH289" s="191"/>
      <c r="AK289" s="155"/>
      <c r="AL289" s="144" t="s">
        <v>341</v>
      </c>
    </row>
    <row r="290" spans="1:38">
      <c r="A290" s="155" t="s">
        <v>1453</v>
      </c>
      <c r="B290" t="s">
        <v>1042</v>
      </c>
      <c r="C290" t="s">
        <v>1078</v>
      </c>
      <c r="D290" t="s">
        <v>347</v>
      </c>
      <c r="E290" t="s">
        <v>205</v>
      </c>
      <c r="F290" t="s">
        <v>1043</v>
      </c>
      <c r="G290">
        <v>1650</v>
      </c>
      <c r="H290" s="189">
        <v>20657.70436</v>
      </c>
      <c r="I290" s="67">
        <v>8359.6273799999999</v>
      </c>
      <c r="J290" s="67">
        <v>34175.52691</v>
      </c>
      <c r="K290" s="67">
        <v>828.04611999999997</v>
      </c>
      <c r="L290" s="67">
        <v>0</v>
      </c>
      <c r="M290" s="67">
        <v>0</v>
      </c>
      <c r="N290" s="67">
        <v>0</v>
      </c>
      <c r="O290" s="67">
        <v>0</v>
      </c>
      <c r="P290" s="67">
        <v>0</v>
      </c>
      <c r="Q290" s="67">
        <v>0</v>
      </c>
      <c r="R290" s="67">
        <v>0</v>
      </c>
      <c r="S290" s="190">
        <v>0</v>
      </c>
      <c r="T290" s="191"/>
      <c r="U290" s="191"/>
      <c r="V290" s="191"/>
      <c r="W290" s="191"/>
      <c r="X290" s="191"/>
      <c r="Y290" s="191"/>
      <c r="Z290" s="191"/>
      <c r="AA290" s="191"/>
      <c r="AB290" s="191"/>
      <c r="AC290" s="191"/>
      <c r="AD290" s="191"/>
      <c r="AE290" s="191"/>
      <c r="AF290" s="191"/>
      <c r="AG290" s="191"/>
      <c r="AH290" s="191"/>
      <c r="AK290" s="155"/>
      <c r="AL290" s="144" t="s">
        <v>342</v>
      </c>
    </row>
    <row r="291" spans="1:38">
      <c r="A291" s="155" t="s">
        <v>1453</v>
      </c>
      <c r="B291" t="s">
        <v>1042</v>
      </c>
      <c r="C291" t="s">
        <v>1079</v>
      </c>
      <c r="D291" t="s">
        <v>347</v>
      </c>
      <c r="E291" t="s">
        <v>205</v>
      </c>
      <c r="F291" t="s">
        <v>1043</v>
      </c>
      <c r="G291">
        <v>1650</v>
      </c>
      <c r="H291" s="189">
        <v>9265.02556</v>
      </c>
      <c r="I291" s="67">
        <v>146.76</v>
      </c>
      <c r="J291" s="67">
        <v>588.93517999999995</v>
      </c>
      <c r="K291" s="67">
        <v>2369.2830800000002</v>
      </c>
      <c r="L291" s="67">
        <v>0</v>
      </c>
      <c r="M291" s="67">
        <v>0</v>
      </c>
      <c r="N291" s="67">
        <v>0</v>
      </c>
      <c r="O291" s="67">
        <v>0</v>
      </c>
      <c r="P291" s="67">
        <v>0</v>
      </c>
      <c r="Q291" s="67">
        <v>0</v>
      </c>
      <c r="R291" s="67">
        <v>0</v>
      </c>
      <c r="S291" s="190">
        <v>0</v>
      </c>
      <c r="T291" s="191"/>
      <c r="U291" s="191"/>
      <c r="V291" s="191"/>
      <c r="W291" s="191"/>
      <c r="X291" s="191"/>
      <c r="Y291" s="191"/>
      <c r="Z291" s="191"/>
      <c r="AA291" s="191"/>
      <c r="AB291" s="191"/>
      <c r="AC291" s="191"/>
      <c r="AD291" s="191"/>
      <c r="AE291" s="191"/>
      <c r="AF291" s="191"/>
      <c r="AG291" s="191"/>
      <c r="AH291" s="191"/>
      <c r="AK291" s="155"/>
      <c r="AL291" s="144" t="s">
        <v>343</v>
      </c>
    </row>
    <row r="292" spans="1:38">
      <c r="A292" s="155" t="s">
        <v>1453</v>
      </c>
      <c r="B292" t="s">
        <v>1042</v>
      </c>
      <c r="C292" t="s">
        <v>1080</v>
      </c>
      <c r="D292" t="s">
        <v>347</v>
      </c>
      <c r="E292" t="s">
        <v>206</v>
      </c>
      <c r="F292" t="s">
        <v>1047</v>
      </c>
      <c r="G292">
        <v>1650</v>
      </c>
      <c r="H292" s="189">
        <v>6.4819599999999991</v>
      </c>
      <c r="I292" s="67">
        <v>57.346960000000003</v>
      </c>
      <c r="J292" s="67">
        <v>51.399340000000002</v>
      </c>
      <c r="K292" s="67">
        <v>574.68425000000002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67">
        <v>0</v>
      </c>
      <c r="S292" s="190">
        <v>0</v>
      </c>
      <c r="T292" s="191"/>
      <c r="U292" s="191"/>
      <c r="V292" s="191"/>
      <c r="W292" s="191"/>
      <c r="X292" s="191"/>
      <c r="Y292" s="191"/>
      <c r="Z292" s="191"/>
      <c r="AA292" s="191"/>
      <c r="AB292" s="191"/>
      <c r="AC292" s="191"/>
      <c r="AD292" s="191"/>
      <c r="AE292" s="191"/>
      <c r="AF292" s="191"/>
      <c r="AG292" s="191"/>
      <c r="AH292" s="191"/>
      <c r="AK292" s="155"/>
      <c r="AL292" s="144" t="s">
        <v>345</v>
      </c>
    </row>
    <row r="293" spans="1:38">
      <c r="A293" s="155" t="s">
        <v>1453</v>
      </c>
      <c r="B293" t="s">
        <v>1042</v>
      </c>
      <c r="C293" t="s">
        <v>1081</v>
      </c>
      <c r="D293" t="s">
        <v>347</v>
      </c>
      <c r="E293" t="s">
        <v>205</v>
      </c>
      <c r="F293" t="s">
        <v>1082</v>
      </c>
      <c r="G293">
        <v>1650</v>
      </c>
      <c r="H293" s="189">
        <v>7361.9883600000003</v>
      </c>
      <c r="I293" s="67">
        <v>4898.50558</v>
      </c>
      <c r="J293" s="67">
        <v>9422.0947099999994</v>
      </c>
      <c r="K293" s="67">
        <v>7358.7788799999998</v>
      </c>
      <c r="L293" s="67">
        <v>350.90694000000002</v>
      </c>
      <c r="M293" s="67">
        <v>0</v>
      </c>
      <c r="N293" s="67">
        <v>0</v>
      </c>
      <c r="O293" s="67">
        <v>0</v>
      </c>
      <c r="P293" s="67">
        <v>0</v>
      </c>
      <c r="Q293" s="67">
        <v>0</v>
      </c>
      <c r="R293" s="67">
        <v>0</v>
      </c>
      <c r="S293" s="190">
        <v>0</v>
      </c>
      <c r="T293" s="191"/>
      <c r="U293" s="191"/>
      <c r="V293" s="191"/>
      <c r="W293" s="191"/>
      <c r="X293" s="191"/>
      <c r="Y293" s="191"/>
      <c r="Z293" s="191"/>
      <c r="AA293" s="191"/>
      <c r="AB293" s="191"/>
      <c r="AC293" s="191"/>
      <c r="AD293" s="191"/>
      <c r="AE293" s="191"/>
      <c r="AF293" s="191"/>
      <c r="AG293" s="191"/>
      <c r="AH293" s="191"/>
      <c r="AK293" s="155"/>
      <c r="AL293" s="144" t="s">
        <v>346</v>
      </c>
    </row>
    <row r="294" spans="1:38">
      <c r="A294" s="155" t="s">
        <v>1453</v>
      </c>
      <c r="B294" t="s">
        <v>1042</v>
      </c>
      <c r="C294" t="s">
        <v>1083</v>
      </c>
      <c r="D294" t="s">
        <v>347</v>
      </c>
      <c r="E294" t="s">
        <v>206</v>
      </c>
      <c r="F294" t="s">
        <v>1043</v>
      </c>
      <c r="G294">
        <v>1650</v>
      </c>
      <c r="H294" s="189">
        <v>0</v>
      </c>
      <c r="I294" s="67">
        <v>1692.6544200000003</v>
      </c>
      <c r="J294" s="67">
        <v>0</v>
      </c>
      <c r="K294" s="67">
        <v>0</v>
      </c>
      <c r="L294" s="67">
        <v>0</v>
      </c>
      <c r="M294" s="67">
        <v>0</v>
      </c>
      <c r="N294" s="67">
        <v>0</v>
      </c>
      <c r="O294" s="67">
        <v>0</v>
      </c>
      <c r="P294" s="67">
        <v>0</v>
      </c>
      <c r="Q294" s="67">
        <v>0</v>
      </c>
      <c r="R294" s="67">
        <v>0</v>
      </c>
      <c r="S294" s="190">
        <v>0</v>
      </c>
      <c r="T294" s="191"/>
      <c r="U294" s="191"/>
      <c r="V294" s="191"/>
      <c r="W294" s="191"/>
      <c r="X294" s="191"/>
      <c r="Y294" s="191"/>
      <c r="Z294" s="191"/>
      <c r="AA294" s="191"/>
      <c r="AB294" s="191"/>
      <c r="AC294" s="191"/>
      <c r="AD294" s="191"/>
      <c r="AE294" s="191"/>
      <c r="AF294" s="191"/>
      <c r="AG294" s="191"/>
      <c r="AH294" s="191"/>
      <c r="AK294" s="155"/>
      <c r="AL294" s="144" t="s">
        <v>349</v>
      </c>
    </row>
    <row r="295" spans="1:38">
      <c r="A295" s="155" t="s">
        <v>1453</v>
      </c>
      <c r="B295" t="s">
        <v>1042</v>
      </c>
      <c r="C295" t="s">
        <v>1084</v>
      </c>
      <c r="D295" t="s">
        <v>347</v>
      </c>
      <c r="E295" t="s">
        <v>205</v>
      </c>
      <c r="F295" t="s">
        <v>1043</v>
      </c>
      <c r="G295">
        <v>1650</v>
      </c>
      <c r="H295" s="189">
        <v>19479.127359999999</v>
      </c>
      <c r="I295" s="67">
        <v>10077.46515</v>
      </c>
      <c r="J295" s="67">
        <v>31616.903539999999</v>
      </c>
      <c r="K295" s="67">
        <v>4181.1432800000002</v>
      </c>
      <c r="L295" s="67">
        <v>22.752490000000002</v>
      </c>
      <c r="M295" s="67">
        <v>1.8984399999999997</v>
      </c>
      <c r="N295" s="67">
        <v>0</v>
      </c>
      <c r="O295" s="67">
        <v>0</v>
      </c>
      <c r="P295" s="67">
        <v>0</v>
      </c>
      <c r="Q295" s="67">
        <v>0</v>
      </c>
      <c r="R295" s="67">
        <v>0</v>
      </c>
      <c r="S295" s="190">
        <v>0</v>
      </c>
      <c r="T295" s="191"/>
      <c r="U295" s="191"/>
      <c r="V295" s="191"/>
      <c r="W295" s="191"/>
      <c r="X295" s="191"/>
      <c r="Y295" s="191"/>
      <c r="Z295" s="191"/>
      <c r="AA295" s="191"/>
      <c r="AB295" s="191"/>
      <c r="AC295" s="191"/>
      <c r="AD295" s="191"/>
      <c r="AE295" s="191"/>
      <c r="AF295" s="191"/>
      <c r="AG295" s="191"/>
      <c r="AH295" s="191"/>
      <c r="AK295" s="155"/>
      <c r="AL295" s="144" t="s">
        <v>350</v>
      </c>
    </row>
    <row r="296" spans="1:38">
      <c r="A296" s="155" t="s">
        <v>1453</v>
      </c>
      <c r="B296" t="s">
        <v>1042</v>
      </c>
      <c r="C296" t="s">
        <v>1085</v>
      </c>
      <c r="D296" t="s">
        <v>347</v>
      </c>
      <c r="E296" t="s">
        <v>206</v>
      </c>
      <c r="F296" t="s">
        <v>1043</v>
      </c>
      <c r="G296">
        <v>1650</v>
      </c>
      <c r="H296" s="189">
        <v>23678.531159999999</v>
      </c>
      <c r="I296" s="67">
        <v>24384.536960000001</v>
      </c>
      <c r="J296" s="67">
        <v>11038.94263</v>
      </c>
      <c r="K296" s="67">
        <v>44155.765769999998</v>
      </c>
      <c r="L296" s="67">
        <v>92258.201629999996</v>
      </c>
      <c r="M296" s="67">
        <v>66498.693100000004</v>
      </c>
      <c r="N296" s="67">
        <v>337.94864000000001</v>
      </c>
      <c r="O296" s="67">
        <v>0</v>
      </c>
      <c r="P296" s="67">
        <v>0</v>
      </c>
      <c r="Q296" s="67">
        <v>0</v>
      </c>
      <c r="R296" s="67">
        <v>0</v>
      </c>
      <c r="S296" s="190">
        <v>0</v>
      </c>
      <c r="T296" s="191"/>
      <c r="U296" s="191"/>
      <c r="V296" s="191"/>
      <c r="W296" s="191"/>
      <c r="X296" s="191"/>
      <c r="Y296" s="191"/>
      <c r="Z296" s="191"/>
      <c r="AA296" s="191"/>
      <c r="AB296" s="191"/>
      <c r="AC296" s="191"/>
      <c r="AD296" s="191"/>
      <c r="AE296" s="191"/>
      <c r="AF296" s="191"/>
      <c r="AG296" s="191"/>
      <c r="AH296" s="191"/>
      <c r="AK296" s="155"/>
      <c r="AL296" s="144" t="s">
        <v>352</v>
      </c>
    </row>
    <row r="297" spans="1:38">
      <c r="A297" s="155" t="s">
        <v>1453</v>
      </c>
      <c r="B297" t="s">
        <v>1042</v>
      </c>
      <c r="C297" t="s">
        <v>1086</v>
      </c>
      <c r="D297" t="s">
        <v>347</v>
      </c>
      <c r="E297" t="s">
        <v>205</v>
      </c>
      <c r="F297" t="s">
        <v>1043</v>
      </c>
      <c r="G297">
        <v>1650</v>
      </c>
      <c r="H297" s="189">
        <v>222627.92895999999</v>
      </c>
      <c r="I297" s="67">
        <v>21528.00864</v>
      </c>
      <c r="J297" s="67">
        <v>58036.384859999998</v>
      </c>
      <c r="K297" s="67">
        <v>36325.691189999998</v>
      </c>
      <c r="L297" s="67">
        <v>14753.47041</v>
      </c>
      <c r="M297" s="67">
        <v>14762.380480000002</v>
      </c>
      <c r="N297" s="67">
        <v>0</v>
      </c>
      <c r="O297" s="67">
        <v>0</v>
      </c>
      <c r="P297" s="67">
        <v>0</v>
      </c>
      <c r="Q297" s="67">
        <v>0</v>
      </c>
      <c r="R297" s="67">
        <v>0</v>
      </c>
      <c r="S297" s="190">
        <v>0</v>
      </c>
      <c r="T297" s="191"/>
      <c r="U297" s="191"/>
      <c r="V297" s="191"/>
      <c r="W297" s="191"/>
      <c r="X297" s="191"/>
      <c r="Y297" s="191"/>
      <c r="Z297" s="191"/>
      <c r="AA297" s="191"/>
      <c r="AB297" s="191"/>
      <c r="AC297" s="191"/>
      <c r="AD297" s="191"/>
      <c r="AE297" s="191"/>
      <c r="AF297" s="191"/>
      <c r="AG297" s="191"/>
      <c r="AH297" s="191"/>
      <c r="AK297" s="155"/>
      <c r="AL297" s="144" t="s">
        <v>353</v>
      </c>
    </row>
    <row r="298" spans="1:38">
      <c r="A298" s="155" t="s">
        <v>1453</v>
      </c>
      <c r="B298" t="s">
        <v>1087</v>
      </c>
      <c r="C298" t="s">
        <v>1088</v>
      </c>
      <c r="D298" t="s">
        <v>347</v>
      </c>
      <c r="E298" t="s">
        <v>206</v>
      </c>
      <c r="F298" t="s">
        <v>1043</v>
      </c>
      <c r="G298">
        <v>380</v>
      </c>
      <c r="H298" s="189">
        <v>33388.302840000004</v>
      </c>
      <c r="I298" s="67">
        <v>19183.415290000001</v>
      </c>
      <c r="J298" s="67">
        <v>14899.195530000001</v>
      </c>
      <c r="K298" s="67">
        <v>4170.2809999999999</v>
      </c>
      <c r="L298" s="67">
        <v>0</v>
      </c>
      <c r="M298" s="67">
        <v>0</v>
      </c>
      <c r="N298" s="67">
        <v>0</v>
      </c>
      <c r="O298" s="67">
        <v>0</v>
      </c>
      <c r="P298" s="67">
        <v>0</v>
      </c>
      <c r="Q298" s="67">
        <v>0</v>
      </c>
      <c r="R298" s="67">
        <v>0</v>
      </c>
      <c r="S298" s="190">
        <v>0</v>
      </c>
      <c r="T298" s="191"/>
      <c r="U298" s="191"/>
      <c r="V298" s="191"/>
      <c r="W298" s="191"/>
      <c r="X298" s="191"/>
      <c r="Y298" s="191"/>
      <c r="Z298" s="191"/>
      <c r="AA298" s="191"/>
      <c r="AB298" s="191"/>
      <c r="AC298" s="191"/>
      <c r="AD298" s="191"/>
      <c r="AE298" s="191"/>
      <c r="AF298" s="191"/>
      <c r="AG298" s="191"/>
      <c r="AH298" s="191"/>
      <c r="AK298" s="155"/>
      <c r="AL298" s="144" t="s">
        <v>354</v>
      </c>
    </row>
    <row r="299" spans="1:38">
      <c r="A299" s="155" t="s">
        <v>1453</v>
      </c>
      <c r="B299" t="s">
        <v>1087</v>
      </c>
      <c r="C299" t="s">
        <v>1089</v>
      </c>
      <c r="D299" t="s">
        <v>347</v>
      </c>
      <c r="E299" t="s">
        <v>205</v>
      </c>
      <c r="F299" t="s">
        <v>1043</v>
      </c>
      <c r="G299">
        <v>380</v>
      </c>
      <c r="H299" s="189">
        <v>1107.8212799999999</v>
      </c>
      <c r="I299" s="67">
        <v>241</v>
      </c>
      <c r="J299" s="67">
        <v>15.518129999999999</v>
      </c>
      <c r="K299" s="67">
        <v>16.34459</v>
      </c>
      <c r="L299" s="67">
        <v>17.215060000000001</v>
      </c>
      <c r="M299" s="67">
        <v>18.131889999999999</v>
      </c>
      <c r="N299" s="67">
        <v>0</v>
      </c>
      <c r="O299" s="67">
        <v>0</v>
      </c>
      <c r="P299" s="67">
        <v>0</v>
      </c>
      <c r="Q299" s="67">
        <v>0</v>
      </c>
      <c r="R299" s="67">
        <v>0</v>
      </c>
      <c r="S299" s="190">
        <v>0</v>
      </c>
      <c r="T299" s="191"/>
      <c r="U299" s="191"/>
      <c r="V299" s="191"/>
      <c r="W299" s="191"/>
      <c r="X299" s="191"/>
      <c r="Y299" s="191"/>
      <c r="Z299" s="191"/>
      <c r="AA299" s="191"/>
      <c r="AB299" s="191"/>
      <c r="AC299" s="191"/>
      <c r="AD299" s="191"/>
      <c r="AE299" s="191"/>
      <c r="AF299" s="191"/>
      <c r="AG299" s="191"/>
      <c r="AH299" s="191"/>
      <c r="AK299" s="155"/>
      <c r="AL299" s="144" t="s">
        <v>355</v>
      </c>
    </row>
    <row r="300" spans="1:38">
      <c r="A300" s="155" t="s">
        <v>1453</v>
      </c>
      <c r="B300" t="s">
        <v>1090</v>
      </c>
      <c r="C300" t="s">
        <v>1091</v>
      </c>
      <c r="D300" t="s">
        <v>347</v>
      </c>
      <c r="E300" t="s">
        <v>205</v>
      </c>
      <c r="F300" t="s">
        <v>1043</v>
      </c>
      <c r="G300">
        <v>800</v>
      </c>
      <c r="H300" s="189">
        <v>83.391480000000001</v>
      </c>
      <c r="I300" s="67">
        <v>0</v>
      </c>
      <c r="J300" s="67">
        <v>0</v>
      </c>
      <c r="K300" s="67">
        <v>0</v>
      </c>
      <c r="L300" s="67">
        <v>0</v>
      </c>
      <c r="M300" s="67">
        <v>0</v>
      </c>
      <c r="N300" s="67">
        <v>0</v>
      </c>
      <c r="O300" s="67">
        <v>0</v>
      </c>
      <c r="P300" s="67">
        <v>0</v>
      </c>
      <c r="Q300" s="67">
        <v>0</v>
      </c>
      <c r="R300" s="67">
        <v>0</v>
      </c>
      <c r="S300" s="190">
        <v>0</v>
      </c>
      <c r="T300" s="191"/>
      <c r="U300" s="191"/>
      <c r="V300" s="191"/>
      <c r="W300" s="191"/>
      <c r="X300" s="191"/>
      <c r="Y300" s="191"/>
      <c r="Z300" s="191"/>
      <c r="AA300" s="191"/>
      <c r="AB300" s="191"/>
      <c r="AC300" s="191"/>
      <c r="AD300" s="191"/>
      <c r="AE300" s="191"/>
      <c r="AF300" s="191"/>
      <c r="AG300" s="191"/>
      <c r="AH300" s="191"/>
      <c r="AK300" s="155"/>
      <c r="AL300" s="144" t="s">
        <v>356</v>
      </c>
    </row>
    <row r="301" spans="1:38">
      <c r="A301" s="155" t="s">
        <v>1453</v>
      </c>
      <c r="B301" t="s">
        <v>1090</v>
      </c>
      <c r="C301" t="s">
        <v>1092</v>
      </c>
      <c r="D301" t="s">
        <v>347</v>
      </c>
      <c r="E301" t="s">
        <v>205</v>
      </c>
      <c r="F301" t="s">
        <v>1043</v>
      </c>
      <c r="G301">
        <v>800</v>
      </c>
      <c r="H301" s="189">
        <v>2071.39284</v>
      </c>
      <c r="I301" s="67">
        <v>419</v>
      </c>
      <c r="J301" s="67">
        <v>466.82094999999998</v>
      </c>
      <c r="K301" s="67">
        <v>1154.23324</v>
      </c>
      <c r="L301" s="67">
        <v>172.48671999999999</v>
      </c>
      <c r="M301" s="67">
        <v>113.3592</v>
      </c>
      <c r="N301" s="67">
        <v>0</v>
      </c>
      <c r="O301" s="67">
        <v>0</v>
      </c>
      <c r="P301" s="67">
        <v>0</v>
      </c>
      <c r="Q301" s="67">
        <v>0</v>
      </c>
      <c r="R301" s="67">
        <v>0</v>
      </c>
      <c r="S301" s="190">
        <v>0</v>
      </c>
      <c r="T301" s="191"/>
      <c r="U301" s="191"/>
      <c r="V301" s="191"/>
      <c r="W301" s="191"/>
      <c r="X301" s="191"/>
      <c r="Y301" s="191"/>
      <c r="Z301" s="191"/>
      <c r="AA301" s="191"/>
      <c r="AB301" s="191"/>
      <c r="AC301" s="191"/>
      <c r="AD301" s="191"/>
      <c r="AE301" s="191"/>
      <c r="AF301" s="191"/>
      <c r="AG301" s="191"/>
      <c r="AH301" s="191"/>
      <c r="AK301" s="155"/>
      <c r="AL301" s="144" t="s">
        <v>250</v>
      </c>
    </row>
    <row r="302" spans="1:38">
      <c r="A302" s="155" t="s">
        <v>1453</v>
      </c>
      <c r="B302" t="s">
        <v>1090</v>
      </c>
      <c r="C302" t="s">
        <v>1093</v>
      </c>
      <c r="D302" t="s">
        <v>347</v>
      </c>
      <c r="E302" t="s">
        <v>206</v>
      </c>
      <c r="F302" t="s">
        <v>1047</v>
      </c>
      <c r="G302">
        <v>800</v>
      </c>
      <c r="H302" s="189">
        <v>21736.820479999998</v>
      </c>
      <c r="I302" s="67">
        <v>8569</v>
      </c>
      <c r="J302" s="67">
        <v>17197.51643</v>
      </c>
      <c r="K302" s="67">
        <v>12683.073119999999</v>
      </c>
      <c r="L302" s="67">
        <v>14812.79385</v>
      </c>
      <c r="M302" s="67">
        <v>131.72131999999999</v>
      </c>
      <c r="N302" s="67">
        <v>0</v>
      </c>
      <c r="O302" s="67">
        <v>0</v>
      </c>
      <c r="P302" s="67">
        <v>0</v>
      </c>
      <c r="Q302" s="67">
        <v>0</v>
      </c>
      <c r="R302" s="67">
        <v>0</v>
      </c>
      <c r="S302" s="190">
        <v>0</v>
      </c>
      <c r="T302" s="191"/>
      <c r="U302" s="191"/>
      <c r="V302" s="191"/>
      <c r="W302" s="191"/>
      <c r="X302" s="191"/>
      <c r="Y302" s="191"/>
      <c r="Z302" s="191"/>
      <c r="AA302" s="191"/>
      <c r="AB302" s="191"/>
      <c r="AC302" s="191"/>
      <c r="AD302" s="191"/>
      <c r="AE302" s="191"/>
      <c r="AF302" s="191"/>
      <c r="AG302" s="191"/>
      <c r="AH302" s="191"/>
      <c r="AK302" s="155"/>
      <c r="AL302" s="144" t="s">
        <v>357</v>
      </c>
    </row>
    <row r="303" spans="1:38">
      <c r="A303" s="155" t="s">
        <v>1453</v>
      </c>
      <c r="B303" t="s">
        <v>1090</v>
      </c>
      <c r="C303" t="s">
        <v>1094</v>
      </c>
      <c r="D303" t="s">
        <v>347</v>
      </c>
      <c r="E303" t="s">
        <v>206</v>
      </c>
      <c r="F303" t="s">
        <v>1047</v>
      </c>
      <c r="G303">
        <v>800</v>
      </c>
      <c r="H303" s="189">
        <v>21630.842639999999</v>
      </c>
      <c r="I303" s="67">
        <v>8644</v>
      </c>
      <c r="J303" s="67">
        <v>17065.75316</v>
      </c>
      <c r="K303" s="67">
        <v>35434.486969999998</v>
      </c>
      <c r="L303" s="67">
        <v>3840.76181</v>
      </c>
      <c r="M303" s="67">
        <v>33.83296</v>
      </c>
      <c r="N303" s="67">
        <v>0</v>
      </c>
      <c r="O303" s="67">
        <v>0</v>
      </c>
      <c r="P303" s="67">
        <v>0</v>
      </c>
      <c r="Q303" s="67">
        <v>0</v>
      </c>
      <c r="R303" s="67">
        <v>0</v>
      </c>
      <c r="S303" s="190">
        <v>0</v>
      </c>
      <c r="T303" s="191"/>
      <c r="U303" s="191"/>
      <c r="V303" s="191"/>
      <c r="W303" s="191"/>
      <c r="X303" s="191"/>
      <c r="Y303" s="191"/>
      <c r="Z303" s="191"/>
      <c r="AA303" s="191"/>
      <c r="AB303" s="191"/>
      <c r="AC303" s="191"/>
      <c r="AD303" s="191"/>
      <c r="AE303" s="191"/>
      <c r="AF303" s="191"/>
      <c r="AG303" s="191"/>
      <c r="AH303" s="191"/>
      <c r="AK303" s="155"/>
      <c r="AL303" s="144" t="s">
        <v>358</v>
      </c>
    </row>
    <row r="304" spans="1:38">
      <c r="A304" s="155" t="s">
        <v>1453</v>
      </c>
      <c r="B304" t="s">
        <v>1090</v>
      </c>
      <c r="C304" t="s">
        <v>1095</v>
      </c>
      <c r="D304" t="s">
        <v>347</v>
      </c>
      <c r="E304" t="s">
        <v>206</v>
      </c>
      <c r="F304" t="s">
        <v>1043</v>
      </c>
      <c r="G304">
        <v>800</v>
      </c>
      <c r="H304" s="189">
        <v>34560.413039999999</v>
      </c>
      <c r="I304" s="67">
        <v>12308</v>
      </c>
      <c r="J304" s="67">
        <v>29724.719130000001</v>
      </c>
      <c r="K304" s="67">
        <v>20911.178889999999</v>
      </c>
      <c r="L304" s="67">
        <v>25513.823280000001</v>
      </c>
      <c r="M304" s="67">
        <v>12291.925450000001</v>
      </c>
      <c r="N304" s="67">
        <v>0</v>
      </c>
      <c r="O304" s="67">
        <v>0</v>
      </c>
      <c r="P304" s="67">
        <v>0</v>
      </c>
      <c r="Q304" s="67">
        <v>0</v>
      </c>
      <c r="R304" s="67">
        <v>0</v>
      </c>
      <c r="S304" s="190">
        <v>0</v>
      </c>
      <c r="T304" s="191"/>
      <c r="U304" s="191"/>
      <c r="V304" s="191"/>
      <c r="W304" s="191"/>
      <c r="X304" s="191"/>
      <c r="Y304" s="191"/>
      <c r="Z304" s="191"/>
      <c r="AA304" s="191"/>
      <c r="AB304" s="191"/>
      <c r="AC304" s="191"/>
      <c r="AD304" s="191"/>
      <c r="AE304" s="191"/>
      <c r="AF304" s="191"/>
      <c r="AG304" s="191"/>
      <c r="AH304" s="191"/>
      <c r="AK304" s="155"/>
      <c r="AL304" s="144" t="s">
        <v>359</v>
      </c>
    </row>
    <row r="305" spans="1:38">
      <c r="A305" s="155" t="s">
        <v>1453</v>
      </c>
      <c r="B305" t="s">
        <v>1096</v>
      </c>
      <c r="C305" t="s">
        <v>1097</v>
      </c>
      <c r="D305" t="s">
        <v>347</v>
      </c>
      <c r="E305" t="s">
        <v>205</v>
      </c>
      <c r="F305" t="s">
        <v>1045</v>
      </c>
      <c r="G305">
        <v>20</v>
      </c>
      <c r="H305" s="189">
        <v>0</v>
      </c>
      <c r="I305" s="67">
        <v>0</v>
      </c>
      <c r="J305" s="67">
        <v>220.04512</v>
      </c>
      <c r="K305" s="67">
        <v>260.24556000000001</v>
      </c>
      <c r="L305" s="67">
        <v>480.29068000000001</v>
      </c>
      <c r="M305" s="67">
        <v>1116.1367600000001</v>
      </c>
      <c r="N305" s="67">
        <v>7855.4492399999999</v>
      </c>
      <c r="O305" s="67">
        <v>3584.7071999999998</v>
      </c>
      <c r="P305" s="67">
        <v>0</v>
      </c>
      <c r="Q305" s="67">
        <v>0</v>
      </c>
      <c r="R305" s="67">
        <v>0</v>
      </c>
      <c r="S305" s="190">
        <v>0</v>
      </c>
      <c r="T305" s="191"/>
      <c r="U305" s="191"/>
      <c r="V305" s="191"/>
      <c r="W305" s="191"/>
      <c r="X305" s="191"/>
      <c r="Y305" s="191"/>
      <c r="Z305" s="191"/>
      <c r="AA305" s="191"/>
      <c r="AB305" s="191"/>
      <c r="AC305" s="191"/>
      <c r="AD305" s="191"/>
      <c r="AE305" s="191"/>
      <c r="AF305" s="191"/>
      <c r="AG305" s="191"/>
      <c r="AH305" s="191"/>
      <c r="AK305" s="155"/>
      <c r="AL305" s="144" t="s">
        <v>360</v>
      </c>
    </row>
    <row r="306" spans="1:38">
      <c r="A306" s="155" t="s">
        <v>1453</v>
      </c>
      <c r="B306" t="s">
        <v>1096</v>
      </c>
      <c r="C306" t="s">
        <v>1098</v>
      </c>
      <c r="D306" t="s">
        <v>347</v>
      </c>
      <c r="E306" t="s">
        <v>205</v>
      </c>
      <c r="F306" t="s">
        <v>1043</v>
      </c>
      <c r="G306">
        <v>20</v>
      </c>
      <c r="H306" s="189">
        <v>788.22195999999985</v>
      </c>
      <c r="I306" s="67">
        <v>958.95554000000004</v>
      </c>
      <c r="J306" s="67">
        <v>1259.38795</v>
      </c>
      <c r="K306" s="67">
        <v>0</v>
      </c>
      <c r="L306" s="67">
        <v>0</v>
      </c>
      <c r="M306" s="67">
        <v>0</v>
      </c>
      <c r="N306" s="67">
        <v>0</v>
      </c>
      <c r="O306" s="67">
        <v>0</v>
      </c>
      <c r="P306" s="67">
        <v>0</v>
      </c>
      <c r="Q306" s="67">
        <v>0</v>
      </c>
      <c r="R306" s="67">
        <v>0</v>
      </c>
      <c r="S306" s="190">
        <v>0</v>
      </c>
      <c r="T306" s="191"/>
      <c r="U306" s="191"/>
      <c r="V306" s="191"/>
      <c r="W306" s="191"/>
      <c r="X306" s="191"/>
      <c r="Y306" s="191"/>
      <c r="Z306" s="191"/>
      <c r="AA306" s="191"/>
      <c r="AB306" s="191"/>
      <c r="AC306" s="191"/>
      <c r="AD306" s="191"/>
      <c r="AE306" s="191"/>
      <c r="AF306" s="191"/>
      <c r="AG306" s="191"/>
      <c r="AH306" s="191"/>
      <c r="AK306" s="155"/>
      <c r="AL306" s="144" t="s">
        <v>361</v>
      </c>
    </row>
    <row r="307" spans="1:38">
      <c r="A307" s="155" t="s">
        <v>1453</v>
      </c>
      <c r="B307" t="s">
        <v>1099</v>
      </c>
      <c r="C307" t="s">
        <v>1100</v>
      </c>
      <c r="D307" t="s">
        <v>347</v>
      </c>
      <c r="E307" t="s">
        <v>206</v>
      </c>
      <c r="F307" t="s">
        <v>8</v>
      </c>
      <c r="G307">
        <v>75</v>
      </c>
      <c r="H307" s="189">
        <v>1558.1163200000001</v>
      </c>
      <c r="I307" s="67">
        <v>954.58321000000001</v>
      </c>
      <c r="J307" s="67">
        <v>1239.44517</v>
      </c>
      <c r="K307" s="67">
        <v>146.65603999999999</v>
      </c>
      <c r="L307" s="67">
        <v>0</v>
      </c>
      <c r="M307" s="67">
        <v>0</v>
      </c>
      <c r="N307" s="67">
        <v>0</v>
      </c>
      <c r="O307" s="67">
        <v>0</v>
      </c>
      <c r="P307" s="67">
        <v>0</v>
      </c>
      <c r="Q307" s="67">
        <v>0</v>
      </c>
      <c r="R307" s="67">
        <v>0</v>
      </c>
      <c r="S307" s="190">
        <v>0</v>
      </c>
      <c r="T307" s="191"/>
      <c r="U307" s="191"/>
      <c r="V307" s="191"/>
      <c r="W307" s="191"/>
      <c r="X307" s="191"/>
      <c r="Y307" s="191"/>
      <c r="Z307" s="191"/>
      <c r="AA307" s="191"/>
      <c r="AB307" s="191"/>
      <c r="AC307" s="191"/>
      <c r="AD307" s="191"/>
      <c r="AE307" s="191"/>
      <c r="AF307" s="191"/>
      <c r="AG307" s="191"/>
      <c r="AH307" s="191"/>
      <c r="AK307" s="155"/>
      <c r="AL307" s="144" t="s">
        <v>362</v>
      </c>
    </row>
    <row r="308" spans="1:38">
      <c r="A308" s="155" t="s">
        <v>1453</v>
      </c>
      <c r="B308" t="s">
        <v>1099</v>
      </c>
      <c r="C308" t="s">
        <v>1101</v>
      </c>
      <c r="D308" t="s">
        <v>347</v>
      </c>
      <c r="E308" t="s">
        <v>205</v>
      </c>
      <c r="F308" t="s">
        <v>8</v>
      </c>
      <c r="G308">
        <v>75</v>
      </c>
      <c r="H308" s="189">
        <v>9549.8041199999989</v>
      </c>
      <c r="I308" s="67">
        <v>1829.4416799999999</v>
      </c>
      <c r="J308" s="67">
        <v>0</v>
      </c>
      <c r="K308" s="67">
        <v>0</v>
      </c>
      <c r="L308" s="67">
        <v>0</v>
      </c>
      <c r="M308" s="67">
        <v>0</v>
      </c>
      <c r="N308" s="67">
        <v>0</v>
      </c>
      <c r="O308" s="67">
        <v>0</v>
      </c>
      <c r="P308" s="67">
        <v>0</v>
      </c>
      <c r="Q308" s="67">
        <v>0</v>
      </c>
      <c r="R308" s="67">
        <v>0</v>
      </c>
      <c r="S308" s="190">
        <v>0</v>
      </c>
      <c r="T308" s="191"/>
      <c r="U308" s="191"/>
      <c r="V308" s="191"/>
      <c r="W308" s="191"/>
      <c r="X308" s="191"/>
      <c r="Y308" s="191"/>
      <c r="Z308" s="191"/>
      <c r="AA308" s="191"/>
      <c r="AB308" s="191"/>
      <c r="AC308" s="191"/>
      <c r="AD308" s="191"/>
      <c r="AE308" s="191"/>
      <c r="AF308" s="191"/>
      <c r="AG308" s="191"/>
      <c r="AH308" s="191"/>
      <c r="AK308" s="155"/>
      <c r="AL308" s="144" t="s">
        <v>363</v>
      </c>
    </row>
    <row r="309" spans="1:38">
      <c r="A309" s="155" t="s">
        <v>1453</v>
      </c>
      <c r="B309" t="s">
        <v>1099</v>
      </c>
      <c r="C309" t="s">
        <v>1102</v>
      </c>
      <c r="D309" t="s">
        <v>347</v>
      </c>
      <c r="E309" t="s">
        <v>205</v>
      </c>
      <c r="F309" t="s">
        <v>8</v>
      </c>
      <c r="G309">
        <v>75</v>
      </c>
      <c r="H309" s="189">
        <v>15823.41676</v>
      </c>
      <c r="I309" s="67">
        <v>10420.627109999999</v>
      </c>
      <c r="J309" s="67">
        <v>9972.87255</v>
      </c>
      <c r="K309" s="67">
        <v>780.98818000000006</v>
      </c>
      <c r="L309" s="67">
        <v>0</v>
      </c>
      <c r="M309" s="67">
        <v>0</v>
      </c>
      <c r="N309" s="67">
        <v>0</v>
      </c>
      <c r="O309" s="67">
        <v>0</v>
      </c>
      <c r="P309" s="67">
        <v>0</v>
      </c>
      <c r="Q309" s="67">
        <v>0</v>
      </c>
      <c r="R309" s="67">
        <v>0</v>
      </c>
      <c r="S309" s="190">
        <v>0</v>
      </c>
      <c r="T309" s="191"/>
      <c r="U309" s="191"/>
      <c r="V309" s="191"/>
      <c r="W309" s="191"/>
      <c r="X309" s="191"/>
      <c r="Y309" s="191"/>
      <c r="Z309" s="191"/>
      <c r="AA309" s="191"/>
      <c r="AB309" s="191"/>
      <c r="AC309" s="191"/>
      <c r="AD309" s="191"/>
      <c r="AE309" s="191"/>
      <c r="AF309" s="191"/>
      <c r="AG309" s="191"/>
      <c r="AH309" s="191"/>
    </row>
    <row r="310" spans="1:38">
      <c r="A310" s="155" t="s">
        <v>1453</v>
      </c>
      <c r="B310" t="s">
        <v>1103</v>
      </c>
      <c r="C310" t="s">
        <v>1104</v>
      </c>
      <c r="D310" t="s">
        <v>347</v>
      </c>
      <c r="E310" t="s">
        <v>205</v>
      </c>
      <c r="F310" t="s">
        <v>1043</v>
      </c>
      <c r="G310">
        <v>14</v>
      </c>
      <c r="H310" s="189">
        <v>874.39548000000002</v>
      </c>
      <c r="I310" s="67">
        <v>101.92</v>
      </c>
      <c r="J310" s="67">
        <v>638.34600999999998</v>
      </c>
      <c r="K310" s="67">
        <v>76.927989999999994</v>
      </c>
      <c r="L310" s="67">
        <v>44.703719999999997</v>
      </c>
      <c r="M310" s="67">
        <v>0</v>
      </c>
      <c r="N310" s="67">
        <v>0</v>
      </c>
      <c r="O310" s="67">
        <v>0</v>
      </c>
      <c r="P310" s="67">
        <v>0</v>
      </c>
      <c r="Q310" s="67">
        <v>0</v>
      </c>
      <c r="R310" s="67">
        <v>0</v>
      </c>
      <c r="S310" s="190">
        <v>0</v>
      </c>
      <c r="T310" s="191"/>
      <c r="U310" s="191"/>
      <c r="V310" s="191"/>
      <c r="W310" s="191"/>
      <c r="X310" s="191"/>
      <c r="Y310" s="191"/>
      <c r="Z310" s="191"/>
      <c r="AA310" s="191"/>
      <c r="AB310" s="191"/>
      <c r="AC310" s="191"/>
      <c r="AD310" s="191"/>
      <c r="AE310" s="191"/>
      <c r="AF310" s="191"/>
      <c r="AG310" s="191"/>
      <c r="AH310" s="191"/>
      <c r="AK310" s="155" t="s">
        <v>205</v>
      </c>
      <c r="AL310" s="155"/>
    </row>
    <row r="311" spans="1:38">
      <c r="A311" s="155" t="s">
        <v>1453</v>
      </c>
      <c r="B311" t="s">
        <v>1103</v>
      </c>
      <c r="C311" t="s">
        <v>1105</v>
      </c>
      <c r="D311" t="s">
        <v>347</v>
      </c>
      <c r="E311" t="s">
        <v>206</v>
      </c>
      <c r="F311" t="s">
        <v>1043</v>
      </c>
      <c r="G311">
        <v>14</v>
      </c>
      <c r="H311" s="189">
        <v>5386.9529600000005</v>
      </c>
      <c r="I311" s="67">
        <v>12005.448490000001</v>
      </c>
      <c r="J311" s="67">
        <v>13140.8858</v>
      </c>
      <c r="K311" s="67">
        <v>21714.226009999998</v>
      </c>
      <c r="L311" s="67">
        <v>11048.45844</v>
      </c>
      <c r="M311" s="67">
        <v>487.16073999999998</v>
      </c>
      <c r="N311" s="67">
        <v>0</v>
      </c>
      <c r="O311" s="67">
        <v>0</v>
      </c>
      <c r="P311" s="67">
        <v>0</v>
      </c>
      <c r="Q311" s="67">
        <v>0</v>
      </c>
      <c r="R311" s="67">
        <v>0</v>
      </c>
      <c r="S311" s="190">
        <v>0</v>
      </c>
      <c r="T311" s="191"/>
      <c r="U311" s="191"/>
      <c r="V311" s="191"/>
      <c r="W311" s="191"/>
      <c r="X311" s="191"/>
      <c r="Y311" s="191"/>
      <c r="Z311" s="191"/>
      <c r="AA311" s="191"/>
      <c r="AB311" s="191"/>
      <c r="AC311" s="191"/>
      <c r="AD311" s="191"/>
      <c r="AE311" s="191"/>
      <c r="AF311" s="191"/>
      <c r="AG311" s="191"/>
      <c r="AH311" s="191"/>
      <c r="AK311" s="155"/>
      <c r="AL311" s="144" t="s">
        <v>210</v>
      </c>
    </row>
    <row r="312" spans="1:38">
      <c r="A312" s="155" t="s">
        <v>1453</v>
      </c>
      <c r="B312" t="s">
        <v>1103</v>
      </c>
      <c r="C312" t="s">
        <v>1106</v>
      </c>
      <c r="D312" t="s">
        <v>347</v>
      </c>
      <c r="E312" t="s">
        <v>205</v>
      </c>
      <c r="F312" t="s">
        <v>1043</v>
      </c>
      <c r="G312">
        <v>14</v>
      </c>
      <c r="H312" s="189">
        <v>24.46388</v>
      </c>
      <c r="I312" s="67">
        <v>993.88499999999999</v>
      </c>
      <c r="J312" s="67">
        <v>200</v>
      </c>
      <c r="K312" s="67">
        <v>0</v>
      </c>
      <c r="L312" s="67">
        <v>0</v>
      </c>
      <c r="M312" s="67">
        <v>0</v>
      </c>
      <c r="N312" s="67">
        <v>0</v>
      </c>
      <c r="O312" s="67">
        <v>0</v>
      </c>
      <c r="P312" s="67">
        <v>0</v>
      </c>
      <c r="Q312" s="67">
        <v>0</v>
      </c>
      <c r="R312" s="67">
        <v>0</v>
      </c>
      <c r="S312" s="190">
        <v>0</v>
      </c>
      <c r="T312" s="191"/>
      <c r="U312" s="191"/>
      <c r="V312" s="191"/>
      <c r="W312" s="191"/>
      <c r="X312" s="191"/>
      <c r="Y312" s="191"/>
      <c r="Z312" s="191"/>
      <c r="AA312" s="191"/>
      <c r="AB312" s="191"/>
      <c r="AC312" s="191"/>
      <c r="AD312" s="191"/>
      <c r="AE312" s="191"/>
      <c r="AF312" s="191"/>
      <c r="AG312" s="191"/>
      <c r="AH312" s="191"/>
      <c r="AK312" s="155"/>
      <c r="AL312" s="144" t="s">
        <v>212</v>
      </c>
    </row>
    <row r="313" spans="1:38">
      <c r="A313" t="s">
        <v>1453</v>
      </c>
      <c r="B313" t="s">
        <v>1107</v>
      </c>
      <c r="C313" t="s">
        <v>1108</v>
      </c>
      <c r="D313" t="s">
        <v>347</v>
      </c>
      <c r="E313" t="s">
        <v>205</v>
      </c>
      <c r="F313" t="s">
        <v>1047</v>
      </c>
      <c r="G313">
        <v>25</v>
      </c>
      <c r="H313" s="189">
        <v>11533.273559999998</v>
      </c>
      <c r="I313" s="67">
        <v>6065.58385</v>
      </c>
      <c r="J313" s="67">
        <v>2241.0649400000002</v>
      </c>
      <c r="K313" s="67">
        <v>0</v>
      </c>
      <c r="L313" s="67">
        <v>0</v>
      </c>
      <c r="M313" s="67">
        <v>0</v>
      </c>
      <c r="N313" s="67">
        <v>0</v>
      </c>
      <c r="O313" s="67">
        <v>0</v>
      </c>
      <c r="P313" s="67">
        <v>0</v>
      </c>
      <c r="Q313" s="67">
        <v>0</v>
      </c>
      <c r="R313" s="67">
        <v>0</v>
      </c>
      <c r="S313" s="190">
        <v>0</v>
      </c>
      <c r="T313" s="191"/>
      <c r="U313" s="191"/>
      <c r="V313" s="191"/>
      <c r="W313" s="191"/>
      <c r="X313" s="191"/>
      <c r="Y313" s="191"/>
      <c r="Z313" s="191"/>
      <c r="AA313" s="191"/>
      <c r="AB313" s="191"/>
      <c r="AC313" s="191"/>
      <c r="AD313" s="191"/>
      <c r="AE313" s="191"/>
      <c r="AF313" s="191"/>
      <c r="AG313" s="191"/>
      <c r="AH313" s="191"/>
      <c r="AK313" s="155"/>
      <c r="AL313" s="144" t="s">
        <v>214</v>
      </c>
    </row>
    <row r="314" spans="1:38">
      <c r="A314" s="155" t="s">
        <v>1453</v>
      </c>
      <c r="B314" t="s">
        <v>1116</v>
      </c>
      <c r="C314" t="s">
        <v>1117</v>
      </c>
      <c r="D314" t="s">
        <v>347</v>
      </c>
      <c r="E314" t="s">
        <v>205</v>
      </c>
      <c r="F314" t="s">
        <v>1043</v>
      </c>
      <c r="G314">
        <v>100</v>
      </c>
      <c r="H314" s="189">
        <v>0</v>
      </c>
      <c r="I314" s="67">
        <v>0</v>
      </c>
      <c r="J314" s="67">
        <v>0</v>
      </c>
      <c r="K314" s="67">
        <v>15.44492</v>
      </c>
      <c r="L314" s="67">
        <v>6517.7209999999995</v>
      </c>
      <c r="M314" s="67">
        <v>298.86057</v>
      </c>
      <c r="N314" s="67">
        <v>0</v>
      </c>
      <c r="O314" s="67">
        <v>0</v>
      </c>
      <c r="P314" s="67">
        <v>0</v>
      </c>
      <c r="Q314" s="67">
        <v>0</v>
      </c>
      <c r="R314" s="67">
        <v>0</v>
      </c>
      <c r="S314" s="190">
        <v>0</v>
      </c>
      <c r="T314" s="191"/>
      <c r="U314" s="191"/>
      <c r="V314" s="191"/>
      <c r="W314" s="191"/>
      <c r="X314" s="191"/>
      <c r="Y314" s="191"/>
      <c r="Z314" s="191"/>
      <c r="AA314" s="191"/>
      <c r="AB314" s="191"/>
      <c r="AC314" s="191"/>
      <c r="AD314" s="191"/>
      <c r="AE314" s="191"/>
      <c r="AF314" s="191"/>
      <c r="AG314" s="191"/>
      <c r="AH314" s="191"/>
      <c r="AK314" s="155"/>
      <c r="AL314" s="144" t="s">
        <v>216</v>
      </c>
    </row>
    <row r="315" spans="1:38">
      <c r="A315" s="155" t="s">
        <v>1453</v>
      </c>
      <c r="B315" t="s">
        <v>1116</v>
      </c>
      <c r="C315" t="s">
        <v>1118</v>
      </c>
      <c r="D315" t="s">
        <v>347</v>
      </c>
      <c r="E315" t="s">
        <v>205</v>
      </c>
      <c r="F315" t="s">
        <v>1043</v>
      </c>
      <c r="G315">
        <v>100</v>
      </c>
      <c r="H315" s="189">
        <v>588.27380000000005</v>
      </c>
      <c r="I315" s="67">
        <v>0</v>
      </c>
      <c r="J315" s="67">
        <v>0</v>
      </c>
      <c r="K315" s="67">
        <v>6393.1740399999999</v>
      </c>
      <c r="L315" s="67">
        <v>4183.7388799999999</v>
      </c>
      <c r="M315" s="67">
        <v>0</v>
      </c>
      <c r="N315" s="67">
        <v>0</v>
      </c>
      <c r="O315" s="67">
        <v>0</v>
      </c>
      <c r="P315" s="67">
        <v>0</v>
      </c>
      <c r="Q315" s="67">
        <v>0</v>
      </c>
      <c r="R315" s="67">
        <v>0</v>
      </c>
      <c r="S315" s="190">
        <v>0</v>
      </c>
      <c r="T315" s="191"/>
      <c r="U315" s="191"/>
      <c r="V315" s="191"/>
      <c r="W315" s="191"/>
      <c r="X315" s="191"/>
      <c r="Y315" s="191"/>
      <c r="Z315" s="191"/>
      <c r="AA315" s="191"/>
      <c r="AB315" s="191"/>
      <c r="AC315" s="191"/>
      <c r="AD315" s="191"/>
      <c r="AE315" s="191"/>
      <c r="AF315" s="191"/>
      <c r="AG315" s="191"/>
      <c r="AH315" s="191"/>
      <c r="AK315" s="155"/>
      <c r="AL315" s="144" t="s">
        <v>218</v>
      </c>
    </row>
    <row r="316" spans="1:38">
      <c r="A316" s="155" t="s">
        <v>1453</v>
      </c>
      <c r="B316" t="s">
        <v>1116</v>
      </c>
      <c r="C316" t="s">
        <v>1119</v>
      </c>
      <c r="D316" t="s">
        <v>347</v>
      </c>
      <c r="E316" t="s">
        <v>206</v>
      </c>
      <c r="F316" t="s">
        <v>1043</v>
      </c>
      <c r="G316">
        <v>100</v>
      </c>
      <c r="H316" s="189">
        <v>10264.586360000001</v>
      </c>
      <c r="I316" s="67">
        <v>1198.72783</v>
      </c>
      <c r="J316" s="67">
        <v>1090.60951</v>
      </c>
      <c r="K316" s="67">
        <v>1090.60951</v>
      </c>
      <c r="L316" s="67">
        <v>11369.08122</v>
      </c>
      <c r="M316" s="67">
        <v>56118.75344</v>
      </c>
      <c r="N316" s="67">
        <v>28144.67772</v>
      </c>
      <c r="O316" s="67">
        <v>0</v>
      </c>
      <c r="P316" s="67">
        <v>0</v>
      </c>
      <c r="Q316" s="67">
        <v>0</v>
      </c>
      <c r="R316" s="67">
        <v>0</v>
      </c>
      <c r="S316" s="190">
        <v>0</v>
      </c>
      <c r="T316" s="191"/>
      <c r="U316" s="191"/>
      <c r="V316" s="191"/>
      <c r="W316" s="191"/>
      <c r="X316" s="191"/>
      <c r="Y316" s="191"/>
      <c r="Z316" s="191"/>
      <c r="AA316" s="191"/>
      <c r="AB316" s="191"/>
      <c r="AC316" s="191"/>
      <c r="AD316" s="191"/>
      <c r="AE316" s="191"/>
      <c r="AF316" s="191"/>
      <c r="AG316" s="191"/>
      <c r="AH316" s="191"/>
      <c r="AK316" s="155"/>
      <c r="AL316" s="144" t="s">
        <v>220</v>
      </c>
    </row>
    <row r="317" spans="1:38">
      <c r="A317" s="155" t="s">
        <v>1453</v>
      </c>
      <c r="B317" t="s">
        <v>1116</v>
      </c>
      <c r="C317" t="s">
        <v>1120</v>
      </c>
      <c r="D317" t="s">
        <v>347</v>
      </c>
      <c r="E317" t="s">
        <v>205</v>
      </c>
      <c r="F317" t="s">
        <v>1043</v>
      </c>
      <c r="G317">
        <v>100</v>
      </c>
      <c r="H317" s="189">
        <v>1592.77324</v>
      </c>
      <c r="I317" s="67">
        <v>446.53868</v>
      </c>
      <c r="J317" s="67">
        <v>337.67516000000001</v>
      </c>
      <c r="K317" s="67">
        <v>0</v>
      </c>
      <c r="L317" s="67">
        <v>0</v>
      </c>
      <c r="M317" s="67">
        <v>0</v>
      </c>
      <c r="N317" s="67">
        <v>0</v>
      </c>
      <c r="O317" s="67">
        <v>0</v>
      </c>
      <c r="P317" s="67">
        <v>0</v>
      </c>
      <c r="Q317" s="67">
        <v>0</v>
      </c>
      <c r="R317" s="67">
        <v>0</v>
      </c>
      <c r="S317" s="190">
        <v>0</v>
      </c>
      <c r="T317" s="191"/>
      <c r="U317" s="191"/>
      <c r="V317" s="191"/>
      <c r="W317" s="191"/>
      <c r="X317" s="191"/>
      <c r="Y317" s="191"/>
      <c r="Z317" s="191"/>
      <c r="AA317" s="191"/>
      <c r="AB317" s="191"/>
      <c r="AC317" s="191"/>
      <c r="AD317" s="191"/>
      <c r="AE317" s="191"/>
      <c r="AF317" s="191"/>
      <c r="AG317" s="191"/>
      <c r="AH317" s="191"/>
      <c r="AK317" s="155"/>
      <c r="AL317" s="144" t="s">
        <v>222</v>
      </c>
    </row>
    <row r="318" spans="1:38">
      <c r="A318" s="155" t="s">
        <v>1453</v>
      </c>
      <c r="B318" t="s">
        <v>1121</v>
      </c>
      <c r="C318" t="s">
        <v>1122</v>
      </c>
      <c r="D318" t="s">
        <v>347</v>
      </c>
      <c r="E318" t="s">
        <v>206</v>
      </c>
      <c r="F318" t="s">
        <v>1043</v>
      </c>
      <c r="G318">
        <v>5</v>
      </c>
      <c r="H318" s="189">
        <v>1352.29132</v>
      </c>
      <c r="I318" s="67">
        <v>249.65528</v>
      </c>
      <c r="J318" s="67">
        <v>250</v>
      </c>
      <c r="K318" s="67">
        <v>150</v>
      </c>
      <c r="L318" s="67">
        <v>150</v>
      </c>
      <c r="M318" s="67">
        <v>2322</v>
      </c>
      <c r="N318" s="67">
        <v>6820</v>
      </c>
      <c r="O318" s="67">
        <v>13711</v>
      </c>
      <c r="P318" s="67">
        <v>16496</v>
      </c>
      <c r="Q318" s="67">
        <v>150</v>
      </c>
      <c r="R318" s="67">
        <v>0</v>
      </c>
      <c r="S318" s="190">
        <v>0</v>
      </c>
      <c r="T318" s="191"/>
      <c r="U318" s="191"/>
      <c r="V318" s="191"/>
      <c r="W318" s="191"/>
      <c r="X318" s="191"/>
      <c r="Y318" s="191"/>
      <c r="Z318" s="191"/>
      <c r="AA318" s="191"/>
      <c r="AB318" s="191"/>
      <c r="AC318" s="191"/>
      <c r="AD318" s="191"/>
      <c r="AE318" s="191"/>
      <c r="AF318" s="191"/>
      <c r="AG318" s="191"/>
      <c r="AH318" s="191"/>
      <c r="AK318" s="155"/>
      <c r="AL318" s="144" t="s">
        <v>224</v>
      </c>
    </row>
    <row r="319" spans="1:38">
      <c r="A319" s="155" t="s">
        <v>1453</v>
      </c>
      <c r="B319" t="s">
        <v>1121</v>
      </c>
      <c r="C319" t="s">
        <v>1123</v>
      </c>
      <c r="D319" t="s">
        <v>347</v>
      </c>
      <c r="E319" t="s">
        <v>205</v>
      </c>
      <c r="F319" t="s">
        <v>1043</v>
      </c>
      <c r="G319">
        <v>5</v>
      </c>
      <c r="H319" s="189">
        <v>221.48439999999997</v>
      </c>
      <c r="I319" s="67">
        <v>24.999479999999998</v>
      </c>
      <c r="J319" s="67">
        <v>24.999479999999998</v>
      </c>
      <c r="K319" s="67">
        <v>24.999479999999998</v>
      </c>
      <c r="L319" s="67">
        <v>150</v>
      </c>
      <c r="M319" s="67">
        <v>450.00060000000002</v>
      </c>
      <c r="N319" s="67">
        <v>450.00067999999999</v>
      </c>
      <c r="O319" s="67">
        <v>250.00028</v>
      </c>
      <c r="P319" s="67">
        <v>0</v>
      </c>
      <c r="Q319" s="67">
        <v>0</v>
      </c>
      <c r="R319" s="67">
        <v>0</v>
      </c>
      <c r="S319" s="190">
        <v>0</v>
      </c>
      <c r="T319" s="191"/>
      <c r="U319" s="191"/>
      <c r="V319" s="191"/>
      <c r="W319" s="191"/>
      <c r="X319" s="191"/>
      <c r="Y319" s="191"/>
      <c r="Z319" s="191"/>
      <c r="AA319" s="191"/>
      <c r="AB319" s="191"/>
      <c r="AC319" s="191"/>
      <c r="AD319" s="191"/>
      <c r="AE319" s="191"/>
      <c r="AF319" s="191"/>
      <c r="AG319" s="191"/>
      <c r="AH319" s="191"/>
      <c r="AK319" s="155"/>
      <c r="AL319" s="144" t="s">
        <v>16</v>
      </c>
    </row>
    <row r="320" spans="1:38">
      <c r="A320" s="155" t="s">
        <v>1453</v>
      </c>
      <c r="B320" t="s">
        <v>1121</v>
      </c>
      <c r="C320" t="s">
        <v>1124</v>
      </c>
      <c r="D320" t="s">
        <v>347</v>
      </c>
      <c r="E320" t="s">
        <v>205</v>
      </c>
      <c r="F320" t="s">
        <v>8</v>
      </c>
      <c r="G320">
        <v>5</v>
      </c>
      <c r="H320" s="189">
        <v>7.5803599999999998</v>
      </c>
      <c r="I320" s="67">
        <v>50</v>
      </c>
      <c r="J320" s="67">
        <v>50</v>
      </c>
      <c r="K320" s="67">
        <v>20</v>
      </c>
      <c r="L320" s="67">
        <v>20</v>
      </c>
      <c r="M320" s="67">
        <v>20</v>
      </c>
      <c r="N320" s="67">
        <v>180</v>
      </c>
      <c r="O320" s="67">
        <v>2010</v>
      </c>
      <c r="P320" s="67">
        <v>150</v>
      </c>
      <c r="Q320" s="67">
        <v>0</v>
      </c>
      <c r="R320" s="67">
        <v>0</v>
      </c>
      <c r="S320" s="190">
        <v>0</v>
      </c>
      <c r="T320" s="191"/>
      <c r="U320" s="191"/>
      <c r="V320" s="191"/>
      <c r="W320" s="191"/>
      <c r="X320" s="191"/>
      <c r="Y320" s="191"/>
      <c r="Z320" s="191"/>
      <c r="AA320" s="191"/>
      <c r="AB320" s="191"/>
      <c r="AC320" s="191"/>
      <c r="AD320" s="191"/>
      <c r="AE320" s="191"/>
      <c r="AF320" s="191"/>
      <c r="AG320" s="191"/>
      <c r="AH320" s="191"/>
      <c r="AK320" s="155"/>
      <c r="AL320" s="144" t="s">
        <v>227</v>
      </c>
    </row>
    <row r="321" spans="1:38">
      <c r="A321" s="155" t="s">
        <v>1453</v>
      </c>
      <c r="B321" t="s">
        <v>1121</v>
      </c>
      <c r="C321" t="s">
        <v>1125</v>
      </c>
      <c r="D321" t="s">
        <v>347</v>
      </c>
      <c r="E321" t="s">
        <v>205</v>
      </c>
      <c r="F321" t="s">
        <v>1043</v>
      </c>
      <c r="G321">
        <v>5</v>
      </c>
      <c r="H321" s="189">
        <v>4428.0875999999998</v>
      </c>
      <c r="I321" s="67">
        <v>1049.9286199999999</v>
      </c>
      <c r="J321" s="67">
        <v>450</v>
      </c>
      <c r="K321" s="67">
        <v>450</v>
      </c>
      <c r="L321" s="67">
        <v>2850</v>
      </c>
      <c r="M321" s="67">
        <v>12716</v>
      </c>
      <c r="N321" s="67">
        <v>13064</v>
      </c>
      <c r="O321" s="67">
        <v>15098</v>
      </c>
      <c r="P321" s="67">
        <v>10406</v>
      </c>
      <c r="Q321" s="67">
        <v>300</v>
      </c>
      <c r="R321" s="67">
        <v>0</v>
      </c>
      <c r="S321" s="190">
        <v>0</v>
      </c>
      <c r="T321" s="191"/>
      <c r="U321" s="191"/>
      <c r="V321" s="191"/>
      <c r="W321" s="191"/>
      <c r="X321" s="191"/>
      <c r="Y321" s="191"/>
      <c r="Z321" s="191"/>
      <c r="AA321" s="191"/>
      <c r="AB321" s="191"/>
      <c r="AC321" s="191"/>
      <c r="AD321" s="191"/>
      <c r="AE321" s="191"/>
      <c r="AF321" s="191"/>
      <c r="AG321" s="191"/>
      <c r="AH321" s="191"/>
      <c r="AK321" s="155"/>
      <c r="AL321" s="144" t="s">
        <v>228</v>
      </c>
    </row>
    <row r="322" spans="1:38">
      <c r="A322" s="155" t="s">
        <v>1453</v>
      </c>
      <c r="B322" t="s">
        <v>1139</v>
      </c>
      <c r="C322" t="s">
        <v>1140</v>
      </c>
      <c r="D322" t="s">
        <v>347</v>
      </c>
      <c r="E322" t="s">
        <v>206</v>
      </c>
      <c r="F322" t="s">
        <v>1047</v>
      </c>
      <c r="G322">
        <v>100</v>
      </c>
      <c r="H322" s="189">
        <v>235496.03692000001</v>
      </c>
      <c r="I322" s="67">
        <v>3306.3641400000001</v>
      </c>
      <c r="J322" s="67">
        <v>0</v>
      </c>
      <c r="K322" s="67">
        <v>0</v>
      </c>
      <c r="L322" s="67">
        <v>0</v>
      </c>
      <c r="M322" s="67">
        <v>0</v>
      </c>
      <c r="N322" s="67">
        <v>0</v>
      </c>
      <c r="O322" s="67">
        <v>0</v>
      </c>
      <c r="P322" s="67">
        <v>0</v>
      </c>
      <c r="Q322" s="67">
        <v>0</v>
      </c>
      <c r="R322" s="67">
        <v>0</v>
      </c>
      <c r="S322" s="190">
        <v>0</v>
      </c>
      <c r="T322" s="191"/>
      <c r="U322" s="191"/>
      <c r="V322" s="191"/>
      <c r="W322" s="191"/>
      <c r="X322" s="191"/>
      <c r="Y322" s="191"/>
      <c r="Z322" s="191"/>
      <c r="AA322" s="191"/>
      <c r="AB322" s="191"/>
      <c r="AC322" s="191"/>
      <c r="AD322" s="191"/>
      <c r="AE322" s="191"/>
      <c r="AF322" s="191"/>
      <c r="AG322" s="191"/>
      <c r="AH322" s="191"/>
      <c r="AK322" s="155"/>
      <c r="AL322" s="144" t="s">
        <v>229</v>
      </c>
    </row>
    <row r="323" spans="1:38">
      <c r="A323" s="155" t="s">
        <v>1453</v>
      </c>
      <c r="B323" t="s">
        <v>1166</v>
      </c>
      <c r="C323" t="s">
        <v>1167</v>
      </c>
      <c r="D323" t="s">
        <v>347</v>
      </c>
      <c r="E323" t="s">
        <v>205</v>
      </c>
      <c r="F323" t="s">
        <v>1168</v>
      </c>
      <c r="G323">
        <v>105</v>
      </c>
      <c r="H323" s="189">
        <v>5</v>
      </c>
      <c r="I323" s="67">
        <v>0</v>
      </c>
      <c r="J323" s="67">
        <v>3342.0829800000001</v>
      </c>
      <c r="K323" s="67">
        <v>1052.2500399999999</v>
      </c>
      <c r="L323" s="67">
        <v>0</v>
      </c>
      <c r="M323" s="67">
        <v>0</v>
      </c>
      <c r="N323" s="67">
        <v>0</v>
      </c>
      <c r="O323" s="67">
        <v>0</v>
      </c>
      <c r="P323" s="67">
        <v>0</v>
      </c>
      <c r="Q323" s="67">
        <v>0</v>
      </c>
      <c r="R323" s="67">
        <v>0</v>
      </c>
      <c r="S323" s="190">
        <v>0</v>
      </c>
      <c r="T323" s="191"/>
      <c r="U323" s="191"/>
      <c r="V323" s="191"/>
      <c r="W323" s="191"/>
      <c r="X323" s="191"/>
      <c r="Y323" s="191"/>
      <c r="Z323" s="191"/>
      <c r="AA323" s="191"/>
      <c r="AB323" s="191"/>
      <c r="AC323" s="191"/>
      <c r="AD323" s="191"/>
      <c r="AE323" s="191"/>
      <c r="AF323" s="191"/>
      <c r="AG323" s="191"/>
      <c r="AH323" s="191"/>
      <c r="AK323" s="155"/>
      <c r="AL323" s="144" t="s">
        <v>230</v>
      </c>
    </row>
    <row r="324" spans="1:38">
      <c r="A324" s="155" t="s">
        <v>1453</v>
      </c>
      <c r="B324" t="s">
        <v>1166</v>
      </c>
      <c r="C324" t="s">
        <v>1169</v>
      </c>
      <c r="D324" t="s">
        <v>347</v>
      </c>
      <c r="E324" t="s">
        <v>205</v>
      </c>
      <c r="F324" t="s">
        <v>1043</v>
      </c>
      <c r="G324">
        <v>105</v>
      </c>
      <c r="H324" s="189">
        <v>1405.1071600000002</v>
      </c>
      <c r="I324" s="67">
        <v>750</v>
      </c>
      <c r="J324" s="67">
        <v>0</v>
      </c>
      <c r="K324" s="67">
        <v>0</v>
      </c>
      <c r="L324" s="67">
        <v>0</v>
      </c>
      <c r="M324" s="67">
        <v>0</v>
      </c>
      <c r="N324" s="67">
        <v>0</v>
      </c>
      <c r="O324" s="67">
        <v>0</v>
      </c>
      <c r="P324" s="67">
        <v>0</v>
      </c>
      <c r="Q324" s="67">
        <v>0</v>
      </c>
      <c r="R324" s="67">
        <v>0</v>
      </c>
      <c r="S324" s="190">
        <v>0</v>
      </c>
      <c r="T324" s="191"/>
      <c r="U324" s="191"/>
      <c r="V324" s="191"/>
      <c r="W324" s="191"/>
      <c r="X324" s="191"/>
      <c r="Y324" s="191"/>
      <c r="Z324" s="191"/>
      <c r="AA324" s="191"/>
      <c r="AB324" s="191"/>
      <c r="AC324" s="191"/>
      <c r="AD324" s="191"/>
      <c r="AE324" s="191"/>
      <c r="AF324" s="191"/>
      <c r="AG324" s="191"/>
      <c r="AH324" s="191"/>
      <c r="AK324" s="155"/>
      <c r="AL324" s="144" t="s">
        <v>231</v>
      </c>
    </row>
    <row r="325" spans="1:38">
      <c r="A325" s="155" t="s">
        <v>1453</v>
      </c>
      <c r="B325" t="s">
        <v>1166</v>
      </c>
      <c r="C325" t="s">
        <v>1170</v>
      </c>
      <c r="D325" t="s">
        <v>347</v>
      </c>
      <c r="E325" t="s">
        <v>206</v>
      </c>
      <c r="F325" t="s">
        <v>976</v>
      </c>
      <c r="G325">
        <v>105</v>
      </c>
      <c r="H325" s="189">
        <v>20664.368399999999</v>
      </c>
      <c r="I325" s="67">
        <v>19014.504260000002</v>
      </c>
      <c r="J325" s="67">
        <v>22690.011920000001</v>
      </c>
      <c r="K325" s="67">
        <v>16736.834739999998</v>
      </c>
      <c r="L325" s="67">
        <v>7973.1038200000003</v>
      </c>
      <c r="M325" s="67">
        <v>0</v>
      </c>
      <c r="N325" s="67">
        <v>0</v>
      </c>
      <c r="O325" s="67">
        <v>0</v>
      </c>
      <c r="P325" s="67">
        <v>0</v>
      </c>
      <c r="Q325" s="67">
        <v>0</v>
      </c>
      <c r="R325" s="67">
        <v>0</v>
      </c>
      <c r="S325" s="190">
        <v>0</v>
      </c>
      <c r="T325" s="191"/>
      <c r="U325" s="191"/>
      <c r="V325" s="191"/>
      <c r="W325" s="191"/>
      <c r="X325" s="191"/>
      <c r="Y325" s="191"/>
      <c r="Z325" s="191"/>
      <c r="AA325" s="191"/>
      <c r="AB325" s="191"/>
      <c r="AC325" s="191"/>
      <c r="AD325" s="191"/>
      <c r="AE325" s="191"/>
      <c r="AF325" s="191"/>
      <c r="AG325" s="191"/>
      <c r="AH325" s="191"/>
      <c r="AK325" s="155"/>
      <c r="AL325" s="144" t="s">
        <v>232</v>
      </c>
    </row>
    <row r="326" spans="1:38">
      <c r="A326" s="155" t="s">
        <v>1453</v>
      </c>
      <c r="B326" t="s">
        <v>1192</v>
      </c>
      <c r="C326" t="s">
        <v>1193</v>
      </c>
      <c r="D326" t="s">
        <v>347</v>
      </c>
      <c r="E326" t="s">
        <v>206</v>
      </c>
      <c r="F326" t="s">
        <v>976</v>
      </c>
      <c r="G326">
        <v>25</v>
      </c>
      <c r="H326" s="189">
        <v>0</v>
      </c>
      <c r="I326" s="67">
        <v>0</v>
      </c>
      <c r="J326" s="67">
        <v>0</v>
      </c>
      <c r="K326" s="67">
        <v>0</v>
      </c>
      <c r="L326" s="67">
        <v>0</v>
      </c>
      <c r="M326" s="67">
        <v>143</v>
      </c>
      <c r="N326" s="67">
        <v>551</v>
      </c>
      <c r="O326" s="67">
        <v>1381</v>
      </c>
      <c r="P326" s="67">
        <v>0</v>
      </c>
      <c r="Q326" s="67">
        <v>0</v>
      </c>
      <c r="R326" s="67">
        <v>0</v>
      </c>
      <c r="S326" s="190">
        <v>0</v>
      </c>
      <c r="T326" s="191"/>
      <c r="U326" s="191"/>
      <c r="V326" s="191"/>
      <c r="W326" s="191"/>
      <c r="X326" s="191"/>
      <c r="Y326" s="191"/>
      <c r="Z326" s="191"/>
      <c r="AA326" s="191"/>
      <c r="AB326" s="191"/>
      <c r="AC326" s="191"/>
      <c r="AD326" s="191"/>
      <c r="AE326" s="191"/>
      <c r="AF326" s="191"/>
      <c r="AG326" s="191"/>
      <c r="AH326" s="191"/>
      <c r="AK326" s="155"/>
      <c r="AL326" s="144" t="s">
        <v>234</v>
      </c>
    </row>
    <row r="327" spans="1:38">
      <c r="A327" s="155" t="s">
        <v>1453</v>
      </c>
      <c r="B327" t="s">
        <v>1203</v>
      </c>
      <c r="C327" t="s">
        <v>1204</v>
      </c>
      <c r="D327" t="s">
        <v>347</v>
      </c>
      <c r="E327" t="s">
        <v>206</v>
      </c>
      <c r="F327" t="s">
        <v>1047</v>
      </c>
      <c r="G327">
        <v>550</v>
      </c>
      <c r="H327" s="189">
        <v>10644.75308</v>
      </c>
      <c r="I327" s="67">
        <v>817.80499886619077</v>
      </c>
      <c r="J327" s="67">
        <v>5227.5101699999996</v>
      </c>
      <c r="K327" s="67">
        <v>14916.362220000001</v>
      </c>
      <c r="L327" s="67">
        <v>78.356279999999998</v>
      </c>
      <c r="M327" s="67">
        <v>0</v>
      </c>
      <c r="N327" s="67">
        <v>0</v>
      </c>
      <c r="O327" s="67">
        <v>0</v>
      </c>
      <c r="P327" s="67">
        <v>0</v>
      </c>
      <c r="Q327" s="67">
        <v>0</v>
      </c>
      <c r="R327" s="67">
        <v>0</v>
      </c>
      <c r="S327" s="190">
        <v>0</v>
      </c>
      <c r="T327" s="191"/>
      <c r="U327" s="191"/>
      <c r="V327" s="191"/>
      <c r="W327" s="191"/>
      <c r="X327" s="191"/>
      <c r="Y327" s="191"/>
      <c r="Z327" s="191"/>
      <c r="AA327" s="191"/>
      <c r="AB327" s="191"/>
      <c r="AC327" s="191"/>
      <c r="AD327" s="191"/>
      <c r="AE327" s="191"/>
      <c r="AF327" s="191"/>
      <c r="AG327" s="191"/>
      <c r="AH327" s="191"/>
      <c r="AK327" s="155"/>
      <c r="AL327" s="144" t="s">
        <v>235</v>
      </c>
    </row>
    <row r="328" spans="1:38">
      <c r="A328" s="155" t="s">
        <v>1453</v>
      </c>
      <c r="B328" t="s">
        <v>1203</v>
      </c>
      <c r="C328" t="s">
        <v>1205</v>
      </c>
      <c r="D328" t="s">
        <v>347</v>
      </c>
      <c r="E328" t="s">
        <v>206</v>
      </c>
      <c r="F328" t="s">
        <v>1043</v>
      </c>
      <c r="G328">
        <v>550</v>
      </c>
      <c r="H328" s="189">
        <v>66943.391080000001</v>
      </c>
      <c r="I328" s="67">
        <v>37008</v>
      </c>
      <c r="J328" s="67">
        <v>102304.7907</v>
      </c>
      <c r="K328" s="67">
        <v>81400.021099999998</v>
      </c>
      <c r="L328" s="67">
        <v>68716.90251</v>
      </c>
      <c r="M328" s="67">
        <v>27853.50159</v>
      </c>
      <c r="N328" s="67">
        <v>480.78494000000001</v>
      </c>
      <c r="O328" s="67">
        <v>0</v>
      </c>
      <c r="P328" s="67">
        <v>0</v>
      </c>
      <c r="Q328" s="67">
        <v>0</v>
      </c>
      <c r="R328" s="67">
        <v>0</v>
      </c>
      <c r="S328" s="190">
        <v>0</v>
      </c>
      <c r="T328" s="191"/>
      <c r="U328" s="191"/>
      <c r="V328" s="191"/>
      <c r="W328" s="191"/>
      <c r="X328" s="191"/>
      <c r="Y328" s="191"/>
      <c r="Z328" s="191"/>
      <c r="AA328" s="191"/>
      <c r="AB328" s="191"/>
      <c r="AC328" s="191"/>
      <c r="AD328" s="191"/>
      <c r="AE328" s="191"/>
      <c r="AF328" s="191"/>
      <c r="AG328" s="191"/>
      <c r="AH328" s="191"/>
      <c r="AK328" s="155"/>
      <c r="AL328" s="144" t="s">
        <v>236</v>
      </c>
    </row>
    <row r="329" spans="1:38">
      <c r="A329" s="155" t="s">
        <v>1453</v>
      </c>
      <c r="B329" t="s">
        <v>1203</v>
      </c>
      <c r="C329" t="s">
        <v>1206</v>
      </c>
      <c r="D329" t="s">
        <v>347</v>
      </c>
      <c r="E329" t="s">
        <v>206</v>
      </c>
      <c r="F329" t="s">
        <v>1043</v>
      </c>
      <c r="G329">
        <v>550</v>
      </c>
      <c r="H329" s="189">
        <v>475.66052000000002</v>
      </c>
      <c r="I329" s="67">
        <v>1043.4000000000001</v>
      </c>
      <c r="J329" s="67">
        <v>0</v>
      </c>
      <c r="K329" s="67">
        <v>0</v>
      </c>
      <c r="L329" s="67">
        <v>0</v>
      </c>
      <c r="M329" s="67">
        <v>0</v>
      </c>
      <c r="N329" s="67">
        <v>0</v>
      </c>
      <c r="O329" s="67">
        <v>0</v>
      </c>
      <c r="P329" s="67">
        <v>0</v>
      </c>
      <c r="Q329" s="67">
        <v>0</v>
      </c>
      <c r="R329" s="67">
        <v>0</v>
      </c>
      <c r="S329" s="190">
        <v>0</v>
      </c>
      <c r="T329" s="191"/>
      <c r="U329" s="191"/>
      <c r="V329" s="191"/>
      <c r="W329" s="191"/>
      <c r="X329" s="191"/>
      <c r="Y329" s="191"/>
      <c r="Z329" s="191"/>
      <c r="AA329" s="191"/>
      <c r="AB329" s="191"/>
      <c r="AC329" s="191"/>
      <c r="AD329" s="191"/>
      <c r="AE329" s="191"/>
      <c r="AF329" s="191"/>
      <c r="AG329" s="191"/>
      <c r="AH329" s="191"/>
      <c r="AK329" s="155"/>
      <c r="AL329" s="144" t="s">
        <v>237</v>
      </c>
    </row>
    <row r="330" spans="1:38">
      <c r="A330" s="155" t="s">
        <v>1453</v>
      </c>
      <c r="B330" t="s">
        <v>1203</v>
      </c>
      <c r="C330" t="s">
        <v>1207</v>
      </c>
      <c r="D330" t="s">
        <v>347</v>
      </c>
      <c r="E330" t="s">
        <v>206</v>
      </c>
      <c r="F330" t="s">
        <v>1043</v>
      </c>
      <c r="G330">
        <v>550</v>
      </c>
      <c r="H330" s="189">
        <v>0</v>
      </c>
      <c r="I330" s="67">
        <v>2352.2241299999996</v>
      </c>
      <c r="J330" s="67">
        <v>4225.0698799999991</v>
      </c>
      <c r="K330" s="67">
        <v>4873.943400000001</v>
      </c>
      <c r="L330" s="67">
        <v>19.914850000000001</v>
      </c>
      <c r="M330" s="67">
        <v>0</v>
      </c>
      <c r="N330" s="67">
        <v>0</v>
      </c>
      <c r="O330" s="67">
        <v>0</v>
      </c>
      <c r="P330" s="67">
        <v>0</v>
      </c>
      <c r="Q330" s="67">
        <v>0</v>
      </c>
      <c r="R330" s="67">
        <v>0</v>
      </c>
      <c r="S330" s="190">
        <v>0</v>
      </c>
      <c r="T330" s="191"/>
      <c r="U330" s="191"/>
      <c r="V330" s="191"/>
      <c r="W330" s="191"/>
      <c r="X330" s="191"/>
      <c r="Y330" s="191"/>
      <c r="Z330" s="191"/>
      <c r="AA330" s="191"/>
      <c r="AB330" s="191"/>
      <c r="AC330" s="191"/>
      <c r="AD330" s="191"/>
      <c r="AE330" s="191"/>
      <c r="AF330" s="191"/>
      <c r="AG330" s="191"/>
      <c r="AH330" s="191"/>
      <c r="AK330" s="155"/>
      <c r="AL330" s="144" t="s">
        <v>238</v>
      </c>
    </row>
    <row r="331" spans="1:38">
      <c r="A331" s="155" t="s">
        <v>1453</v>
      </c>
      <c r="B331" t="s">
        <v>1203</v>
      </c>
      <c r="C331" t="s">
        <v>1208</v>
      </c>
      <c r="D331" t="s">
        <v>347</v>
      </c>
      <c r="E331" t="s">
        <v>205</v>
      </c>
      <c r="F331" t="s">
        <v>1047</v>
      </c>
      <c r="G331">
        <v>550</v>
      </c>
      <c r="H331" s="189">
        <v>13485.6338</v>
      </c>
      <c r="I331" s="67">
        <v>8277.6467699999994</v>
      </c>
      <c r="J331" s="67">
        <v>4147.7541600000004</v>
      </c>
      <c r="K331" s="67">
        <v>50.1</v>
      </c>
      <c r="L331" s="67">
        <v>205.79087999999999</v>
      </c>
      <c r="M331" s="67">
        <v>0</v>
      </c>
      <c r="N331" s="67">
        <v>0</v>
      </c>
      <c r="O331" s="67">
        <v>0</v>
      </c>
      <c r="P331" s="67">
        <v>0</v>
      </c>
      <c r="Q331" s="67">
        <v>0</v>
      </c>
      <c r="R331" s="67">
        <v>0</v>
      </c>
      <c r="S331" s="190">
        <v>0</v>
      </c>
      <c r="T331" s="191"/>
      <c r="U331" s="191"/>
      <c r="V331" s="191"/>
      <c r="W331" s="191"/>
      <c r="X331" s="191"/>
      <c r="Y331" s="191"/>
      <c r="Z331" s="191"/>
      <c r="AA331" s="191"/>
      <c r="AB331" s="191"/>
      <c r="AC331" s="191"/>
      <c r="AD331" s="191"/>
      <c r="AE331" s="191"/>
      <c r="AF331" s="191"/>
      <c r="AG331" s="191"/>
      <c r="AH331" s="191"/>
      <c r="AK331" s="155"/>
      <c r="AL331" s="144" t="s">
        <v>239</v>
      </c>
    </row>
    <row r="332" spans="1:38">
      <c r="A332" s="155" t="s">
        <v>1453</v>
      </c>
      <c r="B332" t="s">
        <v>1203</v>
      </c>
      <c r="C332" t="s">
        <v>1209</v>
      </c>
      <c r="D332" t="s">
        <v>347</v>
      </c>
      <c r="E332" t="s">
        <v>205</v>
      </c>
      <c r="F332" t="s">
        <v>1043</v>
      </c>
      <c r="G332">
        <v>550</v>
      </c>
      <c r="H332" s="189">
        <v>18.615280000000002</v>
      </c>
      <c r="I332" s="67">
        <v>391.41503999999998</v>
      </c>
      <c r="J332" s="67">
        <v>0</v>
      </c>
      <c r="K332" s="67">
        <v>0</v>
      </c>
      <c r="L332" s="67">
        <v>0</v>
      </c>
      <c r="M332" s="67">
        <v>0</v>
      </c>
      <c r="N332" s="67">
        <v>0</v>
      </c>
      <c r="O332" s="67">
        <v>0</v>
      </c>
      <c r="P332" s="67">
        <v>0</v>
      </c>
      <c r="Q332" s="67">
        <v>0</v>
      </c>
      <c r="R332" s="67">
        <v>0</v>
      </c>
      <c r="S332" s="190">
        <v>0</v>
      </c>
      <c r="T332" s="191"/>
      <c r="U332" s="191"/>
      <c r="V332" s="191"/>
      <c r="W332" s="191"/>
      <c r="X332" s="191"/>
      <c r="Y332" s="191"/>
      <c r="Z332" s="191"/>
      <c r="AA332" s="191"/>
      <c r="AB332" s="191"/>
      <c r="AC332" s="191"/>
      <c r="AD332" s="191"/>
      <c r="AE332" s="191"/>
      <c r="AF332" s="191"/>
      <c r="AG332" s="191"/>
      <c r="AH332" s="191"/>
      <c r="AK332" s="155"/>
      <c r="AL332" s="144" t="s">
        <v>240</v>
      </c>
    </row>
    <row r="333" spans="1:38">
      <c r="A333" s="155" t="s">
        <v>1453</v>
      </c>
      <c r="B333" t="s">
        <v>1203</v>
      </c>
      <c r="C333" t="s">
        <v>1210</v>
      </c>
      <c r="D333" t="s">
        <v>347</v>
      </c>
      <c r="E333" t="s">
        <v>205</v>
      </c>
      <c r="F333" t="s">
        <v>1043</v>
      </c>
      <c r="G333">
        <v>550</v>
      </c>
      <c r="H333" s="189">
        <v>19.162520000000001</v>
      </c>
      <c r="I333" s="67">
        <v>353.73736000000008</v>
      </c>
      <c r="J333" s="67">
        <v>22.064019999999999</v>
      </c>
      <c r="K333" s="67">
        <v>23.422560000000001</v>
      </c>
      <c r="L333" s="67">
        <v>0</v>
      </c>
      <c r="M333" s="67">
        <v>0</v>
      </c>
      <c r="N333" s="67">
        <v>0</v>
      </c>
      <c r="O333" s="67">
        <v>0</v>
      </c>
      <c r="P333" s="67">
        <v>0</v>
      </c>
      <c r="Q333" s="67">
        <v>0</v>
      </c>
      <c r="R333" s="67">
        <v>0</v>
      </c>
      <c r="S333" s="190">
        <v>0</v>
      </c>
      <c r="T333" s="191"/>
      <c r="U333" s="191"/>
      <c r="V333" s="191"/>
      <c r="W333" s="191"/>
      <c r="X333" s="191"/>
      <c r="Y333" s="191"/>
      <c r="Z333" s="191"/>
      <c r="AA333" s="191"/>
      <c r="AB333" s="191"/>
      <c r="AC333" s="191"/>
      <c r="AD333" s="191"/>
      <c r="AE333" s="191"/>
      <c r="AF333" s="191"/>
      <c r="AG333" s="191"/>
      <c r="AH333" s="191"/>
      <c r="AK333" s="155"/>
      <c r="AL333" s="144" t="s">
        <v>241</v>
      </c>
    </row>
    <row r="334" spans="1:38">
      <c r="A334" s="155" t="s">
        <v>1453</v>
      </c>
      <c r="B334" t="s">
        <v>1203</v>
      </c>
      <c r="C334" t="s">
        <v>1211</v>
      </c>
      <c r="D334" t="s">
        <v>347</v>
      </c>
      <c r="E334" t="s">
        <v>205</v>
      </c>
      <c r="F334" t="s">
        <v>1043</v>
      </c>
      <c r="G334">
        <v>550</v>
      </c>
      <c r="H334" s="189">
        <v>62463.801799999994</v>
      </c>
      <c r="I334" s="67">
        <v>7954.8450300000004</v>
      </c>
      <c r="J334" s="67">
        <v>50146.345680000006</v>
      </c>
      <c r="K334" s="67">
        <v>25719.060900000004</v>
      </c>
      <c r="L334" s="67">
        <v>482.87527999999998</v>
      </c>
      <c r="M334" s="67">
        <v>0</v>
      </c>
      <c r="N334" s="67">
        <v>0</v>
      </c>
      <c r="O334" s="67">
        <v>0</v>
      </c>
      <c r="P334" s="67">
        <v>0</v>
      </c>
      <c r="Q334" s="67">
        <v>0</v>
      </c>
      <c r="R334" s="67">
        <v>0</v>
      </c>
      <c r="S334" s="190">
        <v>0</v>
      </c>
      <c r="T334" s="191"/>
      <c r="U334" s="191"/>
      <c r="V334" s="191"/>
      <c r="W334" s="191"/>
      <c r="X334" s="191"/>
      <c r="Y334" s="191"/>
      <c r="Z334" s="191"/>
      <c r="AA334" s="191"/>
      <c r="AB334" s="191"/>
      <c r="AC334" s="191"/>
      <c r="AD334" s="191"/>
      <c r="AE334" s="191"/>
      <c r="AF334" s="191"/>
      <c r="AG334" s="191"/>
      <c r="AH334" s="191"/>
      <c r="AK334" s="155"/>
      <c r="AL334" s="144" t="s">
        <v>242</v>
      </c>
    </row>
    <row r="335" spans="1:38">
      <c r="A335" s="155" t="s">
        <v>1453</v>
      </c>
      <c r="B335" t="s">
        <v>1203</v>
      </c>
      <c r="C335" t="s">
        <v>1212</v>
      </c>
      <c r="D335" t="s">
        <v>347</v>
      </c>
      <c r="E335" t="s">
        <v>205</v>
      </c>
      <c r="F335" t="s">
        <v>1043</v>
      </c>
      <c r="G335">
        <v>550</v>
      </c>
      <c r="H335" s="189">
        <v>9185.3976000000002</v>
      </c>
      <c r="I335" s="67">
        <v>3398.6618899999999</v>
      </c>
      <c r="J335" s="67">
        <v>1375.68868</v>
      </c>
      <c r="K335" s="67">
        <v>540.35083999999995</v>
      </c>
      <c r="L335" s="67">
        <v>516.44784000000004</v>
      </c>
      <c r="M335" s="67">
        <v>0</v>
      </c>
      <c r="N335" s="67">
        <v>0</v>
      </c>
      <c r="O335" s="67">
        <v>0</v>
      </c>
      <c r="P335" s="67">
        <v>0</v>
      </c>
      <c r="Q335" s="67">
        <v>0</v>
      </c>
      <c r="R335" s="67">
        <v>0</v>
      </c>
      <c r="S335" s="190">
        <v>0</v>
      </c>
      <c r="T335" s="191"/>
      <c r="U335" s="191"/>
      <c r="V335" s="191"/>
      <c r="W335" s="191"/>
      <c r="X335" s="191"/>
      <c r="Y335" s="191"/>
      <c r="Z335" s="191"/>
      <c r="AA335" s="191"/>
      <c r="AB335" s="191"/>
      <c r="AC335" s="191"/>
      <c r="AD335" s="191"/>
      <c r="AE335" s="191"/>
      <c r="AF335" s="191"/>
      <c r="AG335" s="191"/>
      <c r="AH335" s="191"/>
      <c r="AK335" s="155"/>
      <c r="AL335" s="144" t="s">
        <v>244</v>
      </c>
    </row>
    <row r="336" spans="1:38">
      <c r="A336" s="155" t="s">
        <v>1453</v>
      </c>
      <c r="B336" t="s">
        <v>1203</v>
      </c>
      <c r="C336" t="s">
        <v>1213</v>
      </c>
      <c r="D336" t="s">
        <v>347</v>
      </c>
      <c r="E336" t="s">
        <v>205</v>
      </c>
      <c r="F336" t="s">
        <v>1214</v>
      </c>
      <c r="G336">
        <v>550</v>
      </c>
      <c r="H336" s="189">
        <v>24775.77924</v>
      </c>
      <c r="I336" s="67">
        <v>3504.84004</v>
      </c>
      <c r="J336" s="67">
        <v>148.04451</v>
      </c>
      <c r="K336" s="67">
        <v>0</v>
      </c>
      <c r="L336" s="67">
        <v>0</v>
      </c>
      <c r="M336" s="67">
        <v>0</v>
      </c>
      <c r="N336" s="67">
        <v>0</v>
      </c>
      <c r="O336" s="67">
        <v>0</v>
      </c>
      <c r="P336" s="67">
        <v>0</v>
      </c>
      <c r="Q336" s="67">
        <v>0</v>
      </c>
      <c r="R336" s="67">
        <v>0</v>
      </c>
      <c r="S336" s="190">
        <v>0</v>
      </c>
      <c r="T336" s="191"/>
      <c r="U336" s="191"/>
      <c r="V336" s="191"/>
      <c r="W336" s="191"/>
      <c r="X336" s="191"/>
      <c r="Y336" s="191"/>
      <c r="Z336" s="191"/>
      <c r="AA336" s="191"/>
      <c r="AB336" s="191"/>
      <c r="AC336" s="191"/>
      <c r="AD336" s="191"/>
      <c r="AE336" s="191"/>
      <c r="AF336" s="191"/>
      <c r="AG336" s="191"/>
      <c r="AH336" s="191"/>
      <c r="AK336" s="155"/>
      <c r="AL336" s="144" t="s">
        <v>245</v>
      </c>
    </row>
    <row r="337" spans="1:38">
      <c r="A337" s="155" t="s">
        <v>1453</v>
      </c>
      <c r="B337" t="s">
        <v>1203</v>
      </c>
      <c r="C337" t="s">
        <v>1215</v>
      </c>
      <c r="D337" t="s">
        <v>347</v>
      </c>
      <c r="E337" t="s">
        <v>205</v>
      </c>
      <c r="F337" t="s">
        <v>1043</v>
      </c>
      <c r="G337">
        <v>550</v>
      </c>
      <c r="H337" s="189">
        <v>3460.89372</v>
      </c>
      <c r="I337" s="67">
        <v>856.18903</v>
      </c>
      <c r="J337" s="67">
        <v>0</v>
      </c>
      <c r="K337" s="67">
        <v>0</v>
      </c>
      <c r="L337" s="67">
        <v>0</v>
      </c>
      <c r="M337" s="67">
        <v>0</v>
      </c>
      <c r="N337" s="67">
        <v>0</v>
      </c>
      <c r="O337" s="67">
        <v>0</v>
      </c>
      <c r="P337" s="67">
        <v>0</v>
      </c>
      <c r="Q337" s="67">
        <v>0</v>
      </c>
      <c r="R337" s="67">
        <v>0</v>
      </c>
      <c r="S337" s="190">
        <v>0</v>
      </c>
      <c r="T337" s="191"/>
      <c r="U337" s="191"/>
      <c r="V337" s="191"/>
      <c r="W337" s="191"/>
      <c r="X337" s="191"/>
      <c r="Y337" s="191"/>
      <c r="Z337" s="191"/>
      <c r="AA337" s="191"/>
      <c r="AB337" s="191"/>
      <c r="AC337" s="191"/>
      <c r="AD337" s="191"/>
      <c r="AE337" s="191"/>
      <c r="AF337" s="191"/>
      <c r="AG337" s="191"/>
      <c r="AH337" s="191"/>
      <c r="AK337" s="155"/>
      <c r="AL337" s="144" t="s">
        <v>209</v>
      </c>
    </row>
    <row r="338" spans="1:38">
      <c r="A338" s="155" t="s">
        <v>1453</v>
      </c>
      <c r="B338" t="s">
        <v>1203</v>
      </c>
      <c r="C338" t="s">
        <v>1216</v>
      </c>
      <c r="D338" t="s">
        <v>347</v>
      </c>
      <c r="E338" t="s">
        <v>206</v>
      </c>
      <c r="F338" t="s">
        <v>1043</v>
      </c>
      <c r="G338">
        <v>550</v>
      </c>
      <c r="H338" s="189">
        <v>1215.1546799999999</v>
      </c>
      <c r="I338" s="67">
        <v>2698.74613</v>
      </c>
      <c r="J338" s="67">
        <v>15828.46055</v>
      </c>
      <c r="K338" s="67">
        <v>157.63055</v>
      </c>
      <c r="L338" s="67">
        <v>0</v>
      </c>
      <c r="M338" s="67">
        <v>0</v>
      </c>
      <c r="N338" s="67">
        <v>0</v>
      </c>
      <c r="O338" s="67">
        <v>0</v>
      </c>
      <c r="P338" s="67">
        <v>0</v>
      </c>
      <c r="Q338" s="67">
        <v>0</v>
      </c>
      <c r="R338" s="67">
        <v>0</v>
      </c>
      <c r="S338" s="190">
        <v>0</v>
      </c>
      <c r="T338" s="191"/>
      <c r="U338" s="191"/>
      <c r="V338" s="191"/>
      <c r="W338" s="191"/>
      <c r="X338" s="191"/>
      <c r="Y338" s="191"/>
      <c r="Z338" s="191"/>
      <c r="AA338" s="191"/>
      <c r="AB338" s="191"/>
      <c r="AC338" s="191"/>
      <c r="AD338" s="191"/>
      <c r="AE338" s="191"/>
      <c r="AF338" s="191"/>
      <c r="AG338" s="191"/>
      <c r="AH338" s="191"/>
      <c r="AK338" s="155"/>
      <c r="AL338" s="144" t="s">
        <v>211</v>
      </c>
    </row>
    <row r="339" spans="1:38">
      <c r="A339" s="155" t="s">
        <v>1453</v>
      </c>
      <c r="B339" t="s">
        <v>1203</v>
      </c>
      <c r="C339" t="s">
        <v>1217</v>
      </c>
      <c r="D339" t="s">
        <v>347</v>
      </c>
      <c r="E339" t="s">
        <v>205</v>
      </c>
      <c r="F339" t="s">
        <v>1043</v>
      </c>
      <c r="G339">
        <v>550</v>
      </c>
      <c r="H339" s="189">
        <v>21830.95924</v>
      </c>
      <c r="I339" s="67">
        <v>3079</v>
      </c>
      <c r="J339" s="67">
        <v>2245.7714299999998</v>
      </c>
      <c r="K339" s="67">
        <v>10713.560299999999</v>
      </c>
      <c r="L339" s="67">
        <v>15262.16409</v>
      </c>
      <c r="M339" s="67">
        <v>0</v>
      </c>
      <c r="N339" s="67">
        <v>0</v>
      </c>
      <c r="O339" s="67">
        <v>0</v>
      </c>
      <c r="P339" s="67">
        <v>0</v>
      </c>
      <c r="Q339" s="67">
        <v>0</v>
      </c>
      <c r="R339" s="67">
        <v>0</v>
      </c>
      <c r="S339" s="190">
        <v>0</v>
      </c>
      <c r="T339" s="191"/>
      <c r="U339" s="191"/>
      <c r="V339" s="191"/>
      <c r="W339" s="191"/>
      <c r="X339" s="191"/>
      <c r="Y339" s="191"/>
      <c r="Z339" s="191"/>
      <c r="AA339" s="191"/>
      <c r="AB339" s="191"/>
      <c r="AC339" s="191"/>
      <c r="AD339" s="191"/>
      <c r="AE339" s="191"/>
      <c r="AF339" s="191"/>
      <c r="AG339" s="191"/>
      <c r="AH339" s="191"/>
      <c r="AK339" s="155"/>
      <c r="AL339" s="144" t="s">
        <v>213</v>
      </c>
    </row>
    <row r="340" spans="1:38">
      <c r="A340" s="155" t="s">
        <v>1453</v>
      </c>
      <c r="B340" t="s">
        <v>1298</v>
      </c>
      <c r="C340" t="s">
        <v>1299</v>
      </c>
      <c r="D340" t="s">
        <v>347</v>
      </c>
      <c r="E340" t="s">
        <v>205</v>
      </c>
      <c r="F340" t="s">
        <v>1043</v>
      </c>
      <c r="G340">
        <v>10</v>
      </c>
      <c r="H340" s="189">
        <v>0</v>
      </c>
      <c r="I340" s="67">
        <v>0</v>
      </c>
      <c r="J340" s="67">
        <v>0</v>
      </c>
      <c r="K340" s="67">
        <v>621.33349999999996</v>
      </c>
      <c r="L340" s="67">
        <v>1242.6669999999999</v>
      </c>
      <c r="M340" s="67">
        <v>621.33349999999996</v>
      </c>
      <c r="N340" s="67">
        <v>0</v>
      </c>
      <c r="O340" s="67">
        <v>0</v>
      </c>
      <c r="P340" s="67">
        <v>0</v>
      </c>
      <c r="Q340" s="67">
        <v>0</v>
      </c>
      <c r="R340" s="67">
        <v>0</v>
      </c>
      <c r="S340" s="190">
        <v>0</v>
      </c>
      <c r="T340" s="191"/>
      <c r="U340" s="191"/>
      <c r="V340" s="191"/>
      <c r="W340" s="191"/>
      <c r="X340" s="191"/>
      <c r="Y340" s="191"/>
      <c r="Z340" s="191"/>
      <c r="AA340" s="191"/>
      <c r="AB340" s="191"/>
      <c r="AC340" s="191"/>
      <c r="AD340" s="191"/>
      <c r="AE340" s="191"/>
      <c r="AF340" s="191"/>
      <c r="AG340" s="191"/>
      <c r="AH340" s="191"/>
      <c r="AK340" s="155"/>
      <c r="AL340" s="144" t="s">
        <v>215</v>
      </c>
    </row>
    <row r="341" spans="1:38">
      <c r="A341" s="155" t="s">
        <v>1453</v>
      </c>
      <c r="B341" t="s">
        <v>1298</v>
      </c>
      <c r="C341" t="s">
        <v>1300</v>
      </c>
      <c r="D341" t="s">
        <v>347</v>
      </c>
      <c r="E341" t="s">
        <v>205</v>
      </c>
      <c r="F341" t="s">
        <v>1045</v>
      </c>
      <c r="G341">
        <v>10</v>
      </c>
      <c r="H341" s="189">
        <v>1016.76876</v>
      </c>
      <c r="I341" s="67">
        <v>894.39368999999999</v>
      </c>
      <c r="J341" s="67">
        <v>600.36332000000004</v>
      </c>
      <c r="K341" s="67">
        <v>2825.6140799999998</v>
      </c>
      <c r="L341" s="67">
        <v>5359.6127800000004</v>
      </c>
      <c r="M341" s="67">
        <v>3930.1870399999998</v>
      </c>
      <c r="N341" s="67">
        <v>1529.41058</v>
      </c>
      <c r="O341" s="67">
        <v>0</v>
      </c>
      <c r="P341" s="67">
        <v>0</v>
      </c>
      <c r="Q341" s="67">
        <v>0</v>
      </c>
      <c r="R341" s="67">
        <v>0</v>
      </c>
      <c r="S341" s="190">
        <v>0</v>
      </c>
      <c r="T341" s="191"/>
      <c r="U341" s="191"/>
      <c r="V341" s="191"/>
      <c r="W341" s="191"/>
      <c r="X341" s="191"/>
      <c r="Y341" s="191"/>
      <c r="Z341" s="191"/>
      <c r="AA341" s="191"/>
      <c r="AB341" s="191"/>
      <c r="AC341" s="191"/>
      <c r="AD341" s="191"/>
      <c r="AE341" s="191"/>
      <c r="AF341" s="191"/>
      <c r="AG341" s="191"/>
      <c r="AH341" s="191"/>
      <c r="AK341" s="155"/>
      <c r="AL341" s="144" t="s">
        <v>217</v>
      </c>
    </row>
    <row r="342" spans="1:38">
      <c r="A342" s="155" t="s">
        <v>1453</v>
      </c>
      <c r="B342" t="s">
        <v>1301</v>
      </c>
      <c r="C342" t="s">
        <v>1302</v>
      </c>
      <c r="D342" t="s">
        <v>347</v>
      </c>
      <c r="E342" t="s">
        <v>205</v>
      </c>
      <c r="F342" t="s">
        <v>1043</v>
      </c>
      <c r="G342">
        <v>1100</v>
      </c>
      <c r="H342" s="189">
        <v>0</v>
      </c>
      <c r="I342" s="67">
        <v>0</v>
      </c>
      <c r="J342" s="67">
        <v>0</v>
      </c>
      <c r="K342" s="67">
        <v>0</v>
      </c>
      <c r="L342" s="67">
        <v>0</v>
      </c>
      <c r="M342" s="67">
        <v>0</v>
      </c>
      <c r="N342" s="67">
        <v>0</v>
      </c>
      <c r="O342" s="67">
        <v>0</v>
      </c>
      <c r="P342" s="67">
        <v>0</v>
      </c>
      <c r="Q342" s="67">
        <v>0</v>
      </c>
      <c r="R342" s="67">
        <v>4900</v>
      </c>
      <c r="S342" s="190">
        <v>0</v>
      </c>
      <c r="T342" s="191"/>
      <c r="U342" s="191"/>
      <c r="V342" s="191"/>
      <c r="W342" s="191"/>
      <c r="X342" s="191"/>
      <c r="Y342" s="191"/>
      <c r="Z342" s="191"/>
      <c r="AA342" s="191"/>
      <c r="AB342" s="191"/>
      <c r="AC342" s="191"/>
      <c r="AD342" s="191"/>
      <c r="AE342" s="191"/>
      <c r="AF342" s="191"/>
      <c r="AG342" s="191"/>
      <c r="AH342" s="191"/>
      <c r="AK342" s="155"/>
      <c r="AL342" s="144" t="s">
        <v>219</v>
      </c>
    </row>
    <row r="343" spans="1:38">
      <c r="A343" s="155" t="s">
        <v>1453</v>
      </c>
      <c r="B343" t="s">
        <v>1301</v>
      </c>
      <c r="C343" t="s">
        <v>1303</v>
      </c>
      <c r="D343" t="s">
        <v>347</v>
      </c>
      <c r="E343" t="s">
        <v>205</v>
      </c>
      <c r="F343" t="s">
        <v>1043</v>
      </c>
      <c r="G343">
        <v>1100</v>
      </c>
      <c r="H343" s="189">
        <v>0</v>
      </c>
      <c r="I343" s="67">
        <v>0</v>
      </c>
      <c r="J343" s="67">
        <v>0</v>
      </c>
      <c r="K343" s="67">
        <v>0</v>
      </c>
      <c r="L343" s="67">
        <v>0</v>
      </c>
      <c r="M343" s="67">
        <v>0</v>
      </c>
      <c r="N343" s="67">
        <v>0</v>
      </c>
      <c r="O343" s="67">
        <v>0</v>
      </c>
      <c r="P343" s="67">
        <v>0</v>
      </c>
      <c r="Q343" s="67">
        <v>0</v>
      </c>
      <c r="R343" s="67">
        <v>4900</v>
      </c>
      <c r="S343" s="190">
        <v>0</v>
      </c>
      <c r="T343" s="191"/>
      <c r="U343" s="191"/>
      <c r="V343" s="191"/>
      <c r="W343" s="191"/>
      <c r="X343" s="191"/>
      <c r="Y343" s="191"/>
      <c r="Z343" s="191"/>
      <c r="AA343" s="191"/>
      <c r="AB343" s="191"/>
      <c r="AC343" s="191"/>
      <c r="AD343" s="191"/>
      <c r="AE343" s="191"/>
      <c r="AF343" s="191"/>
      <c r="AG343" s="191"/>
      <c r="AH343" s="191"/>
      <c r="AK343" s="155"/>
      <c r="AL343" s="144" t="s">
        <v>221</v>
      </c>
    </row>
    <row r="344" spans="1:38">
      <c r="A344" s="155" t="s">
        <v>1453</v>
      </c>
      <c r="B344" t="s">
        <v>1304</v>
      </c>
      <c r="C344" t="s">
        <v>1305</v>
      </c>
      <c r="D344" t="s">
        <v>347</v>
      </c>
      <c r="E344" t="s">
        <v>205</v>
      </c>
      <c r="F344" t="s">
        <v>1043</v>
      </c>
      <c r="G344">
        <v>200</v>
      </c>
      <c r="H344" s="189">
        <v>0</v>
      </c>
      <c r="I344" s="67">
        <v>0</v>
      </c>
      <c r="J344" s="67">
        <v>98</v>
      </c>
      <c r="K344" s="67">
        <v>2450</v>
      </c>
      <c r="L344" s="67">
        <v>2450</v>
      </c>
      <c r="M344" s="67">
        <v>0</v>
      </c>
      <c r="N344" s="67">
        <v>0</v>
      </c>
      <c r="O344" s="67">
        <v>0</v>
      </c>
      <c r="P344" s="67">
        <v>0</v>
      </c>
      <c r="Q344" s="67">
        <v>0</v>
      </c>
      <c r="R344" s="67">
        <v>0</v>
      </c>
      <c r="S344" s="190">
        <v>0</v>
      </c>
      <c r="T344" s="191"/>
      <c r="U344" s="191"/>
      <c r="V344" s="191"/>
      <c r="W344" s="191"/>
      <c r="X344" s="191"/>
      <c r="Y344" s="191"/>
      <c r="Z344" s="191"/>
      <c r="AA344" s="191"/>
      <c r="AB344" s="191"/>
      <c r="AC344" s="191"/>
      <c r="AD344" s="191"/>
      <c r="AE344" s="191"/>
      <c r="AF344" s="191"/>
      <c r="AG344" s="191"/>
      <c r="AH344" s="191"/>
      <c r="AK344" s="155"/>
      <c r="AL344" s="144" t="s">
        <v>246</v>
      </c>
    </row>
    <row r="345" spans="1:38">
      <c r="A345" s="155" t="s">
        <v>1453</v>
      </c>
      <c r="B345" t="s">
        <v>1304</v>
      </c>
      <c r="C345" t="s">
        <v>1306</v>
      </c>
      <c r="D345" t="s">
        <v>347</v>
      </c>
      <c r="E345" t="s">
        <v>206</v>
      </c>
      <c r="F345" t="s">
        <v>1043</v>
      </c>
      <c r="G345">
        <v>200</v>
      </c>
      <c r="H345" s="189">
        <v>0</v>
      </c>
      <c r="I345" s="67">
        <v>0</v>
      </c>
      <c r="J345" s="67">
        <v>98</v>
      </c>
      <c r="K345" s="67">
        <v>980</v>
      </c>
      <c r="L345" s="67">
        <v>2980</v>
      </c>
      <c r="M345" s="67">
        <v>9290</v>
      </c>
      <c r="N345" s="67">
        <v>9290</v>
      </c>
      <c r="O345" s="67">
        <v>0</v>
      </c>
      <c r="P345" s="67">
        <v>0</v>
      </c>
      <c r="Q345" s="67">
        <v>0</v>
      </c>
      <c r="R345" s="67">
        <v>0</v>
      </c>
      <c r="S345" s="190">
        <v>0</v>
      </c>
      <c r="T345" s="191"/>
      <c r="U345" s="191"/>
      <c r="V345" s="191"/>
      <c r="W345" s="191"/>
      <c r="X345" s="191"/>
      <c r="Y345" s="191"/>
      <c r="Z345" s="191"/>
      <c r="AA345" s="191"/>
      <c r="AB345" s="191"/>
      <c r="AC345" s="191"/>
      <c r="AD345" s="191"/>
      <c r="AE345" s="191"/>
      <c r="AF345" s="191"/>
      <c r="AG345" s="191"/>
      <c r="AH345" s="191"/>
      <c r="AK345" s="155"/>
      <c r="AL345" s="144" t="s">
        <v>223</v>
      </c>
    </row>
    <row r="346" spans="1:38">
      <c r="A346" s="155" t="s">
        <v>1453</v>
      </c>
      <c r="B346" t="s">
        <v>1304</v>
      </c>
      <c r="C346" t="s">
        <v>1307</v>
      </c>
      <c r="D346" t="s">
        <v>347</v>
      </c>
      <c r="E346" t="s">
        <v>205</v>
      </c>
      <c r="F346" t="s">
        <v>1043</v>
      </c>
      <c r="G346">
        <v>200</v>
      </c>
      <c r="H346" s="189">
        <v>0</v>
      </c>
      <c r="I346" s="67">
        <v>108</v>
      </c>
      <c r="J346" s="67">
        <v>225</v>
      </c>
      <c r="K346" s="67">
        <v>6000</v>
      </c>
      <c r="L346" s="67">
        <v>19800</v>
      </c>
      <c r="M346" s="67">
        <v>36500</v>
      </c>
      <c r="N346" s="67">
        <v>40500</v>
      </c>
      <c r="O346" s="67">
        <v>25600</v>
      </c>
      <c r="P346" s="67">
        <v>0</v>
      </c>
      <c r="Q346" s="67">
        <v>0</v>
      </c>
      <c r="R346" s="67">
        <v>0</v>
      </c>
      <c r="S346" s="190">
        <v>0</v>
      </c>
      <c r="T346" s="191"/>
      <c r="U346" s="191"/>
      <c r="V346" s="191"/>
      <c r="W346" s="191"/>
      <c r="X346" s="191"/>
      <c r="Y346" s="191"/>
      <c r="Z346" s="191"/>
      <c r="AA346" s="191"/>
      <c r="AB346" s="191"/>
      <c r="AC346" s="191"/>
      <c r="AD346" s="191"/>
      <c r="AE346" s="191"/>
      <c r="AF346" s="191"/>
      <c r="AG346" s="191"/>
      <c r="AH346" s="191"/>
      <c r="AK346" s="155"/>
      <c r="AL346" s="144" t="s">
        <v>226</v>
      </c>
    </row>
    <row r="347" spans="1:38">
      <c r="A347" s="155" t="s">
        <v>1453</v>
      </c>
      <c r="B347" t="s">
        <v>1345</v>
      </c>
      <c r="C347" t="s">
        <v>1362</v>
      </c>
      <c r="D347" t="s">
        <v>347</v>
      </c>
      <c r="E347" t="s">
        <v>206</v>
      </c>
      <c r="F347" t="s">
        <v>1050</v>
      </c>
      <c r="G347">
        <v>28</v>
      </c>
      <c r="H347" s="189">
        <v>143</v>
      </c>
      <c r="I347" s="67">
        <v>0</v>
      </c>
      <c r="J347" s="67">
        <v>0</v>
      </c>
      <c r="K347" s="67">
        <v>0</v>
      </c>
      <c r="L347" s="67">
        <v>0</v>
      </c>
      <c r="M347" s="67">
        <v>110</v>
      </c>
      <c r="N347" s="67">
        <v>330</v>
      </c>
      <c r="O347" s="67">
        <v>480</v>
      </c>
      <c r="P347" s="67">
        <v>7121</v>
      </c>
      <c r="Q347" s="67">
        <v>7859</v>
      </c>
      <c r="R347" s="67">
        <v>0</v>
      </c>
      <c r="S347" s="190">
        <v>0</v>
      </c>
      <c r="T347" s="191"/>
      <c r="U347" s="191"/>
      <c r="V347" s="191"/>
      <c r="W347" s="191"/>
      <c r="X347" s="191"/>
      <c r="Y347" s="191"/>
      <c r="Z347" s="191"/>
      <c r="AA347" s="191"/>
      <c r="AB347" s="191"/>
      <c r="AC347" s="191"/>
      <c r="AD347" s="191"/>
      <c r="AE347" s="191"/>
      <c r="AF347" s="191"/>
      <c r="AG347" s="191"/>
      <c r="AH347" s="191"/>
      <c r="AK347" s="155"/>
      <c r="AL347" s="144" t="s">
        <v>249</v>
      </c>
    </row>
    <row r="348" spans="1:38">
      <c r="A348" s="155" t="s">
        <v>1453</v>
      </c>
      <c r="B348" t="s">
        <v>1345</v>
      </c>
      <c r="C348" t="s">
        <v>1374</v>
      </c>
      <c r="D348" t="s">
        <v>347</v>
      </c>
      <c r="E348" t="s">
        <v>205</v>
      </c>
      <c r="F348" t="s">
        <v>1043</v>
      </c>
      <c r="G348">
        <v>20</v>
      </c>
      <c r="H348" s="189">
        <v>0</v>
      </c>
      <c r="I348" s="67">
        <v>0</v>
      </c>
      <c r="J348" s="67">
        <v>0</v>
      </c>
      <c r="K348" s="67">
        <v>0</v>
      </c>
      <c r="L348" s="67">
        <v>0</v>
      </c>
      <c r="M348" s="67">
        <v>98</v>
      </c>
      <c r="N348" s="67">
        <v>1960</v>
      </c>
      <c r="O348" s="67">
        <v>6860</v>
      </c>
      <c r="P348" s="67">
        <v>882</v>
      </c>
      <c r="Q348" s="67">
        <v>0</v>
      </c>
      <c r="R348" s="67">
        <v>0</v>
      </c>
      <c r="S348" s="190">
        <v>0</v>
      </c>
      <c r="T348" s="191"/>
      <c r="U348" s="191"/>
      <c r="V348" s="191"/>
      <c r="W348" s="191"/>
      <c r="X348" s="191"/>
      <c r="Y348" s="191"/>
      <c r="Z348" s="191"/>
      <c r="AA348" s="191"/>
      <c r="AB348" s="191"/>
      <c r="AC348" s="191"/>
      <c r="AD348" s="191"/>
      <c r="AE348" s="191"/>
      <c r="AF348" s="191"/>
      <c r="AG348" s="191"/>
      <c r="AH348" s="191"/>
      <c r="AK348" s="155"/>
      <c r="AL348" s="144" t="s">
        <v>251</v>
      </c>
    </row>
    <row r="349" spans="1:38">
      <c r="A349" s="155" t="s">
        <v>1453</v>
      </c>
      <c r="B349" t="s">
        <v>1345</v>
      </c>
      <c r="C349" t="s">
        <v>1375</v>
      </c>
      <c r="D349" t="s">
        <v>347</v>
      </c>
      <c r="E349" t="s">
        <v>206</v>
      </c>
      <c r="F349" t="s">
        <v>1043</v>
      </c>
      <c r="G349">
        <v>34</v>
      </c>
      <c r="H349" s="189">
        <v>0</v>
      </c>
      <c r="I349" s="67">
        <v>0</v>
      </c>
      <c r="J349" s="67">
        <v>0</v>
      </c>
      <c r="K349" s="67">
        <v>0</v>
      </c>
      <c r="L349" s="67">
        <v>0</v>
      </c>
      <c r="M349" s="67">
        <v>0</v>
      </c>
      <c r="N349" s="67">
        <v>0</v>
      </c>
      <c r="O349" s="67">
        <v>98</v>
      </c>
      <c r="P349" s="67">
        <v>882</v>
      </c>
      <c r="Q349" s="67">
        <v>0</v>
      </c>
      <c r="R349" s="67">
        <v>0</v>
      </c>
      <c r="S349" s="190">
        <v>0</v>
      </c>
      <c r="T349" s="191"/>
      <c r="U349" s="191"/>
      <c r="V349" s="191"/>
      <c r="W349" s="191"/>
      <c r="X349" s="191"/>
      <c r="Y349" s="191"/>
      <c r="Z349" s="191"/>
      <c r="AA349" s="191"/>
      <c r="AB349" s="191"/>
      <c r="AC349" s="191"/>
      <c r="AD349" s="191"/>
      <c r="AE349" s="191"/>
      <c r="AF349" s="191"/>
      <c r="AG349" s="191"/>
      <c r="AH349" s="191"/>
      <c r="AK349" s="155"/>
      <c r="AL349" s="144" t="s">
        <v>247</v>
      </c>
    </row>
    <row r="350" spans="1:38">
      <c r="A350" s="155" t="s">
        <v>1453</v>
      </c>
      <c r="B350" t="s">
        <v>1345</v>
      </c>
      <c r="C350" t="s">
        <v>1376</v>
      </c>
      <c r="D350" t="s">
        <v>347</v>
      </c>
      <c r="E350" t="s">
        <v>205</v>
      </c>
      <c r="F350" t="s">
        <v>1047</v>
      </c>
      <c r="G350">
        <v>16</v>
      </c>
      <c r="H350" s="189">
        <v>20101.922760000001</v>
      </c>
      <c r="I350" s="67">
        <v>1445.99126</v>
      </c>
      <c r="J350" s="67">
        <v>1037.7853399999999</v>
      </c>
      <c r="K350" s="67">
        <v>141.94909000000001</v>
      </c>
      <c r="L350" s="67">
        <v>0</v>
      </c>
      <c r="M350" s="67">
        <v>0</v>
      </c>
      <c r="N350" s="67">
        <v>0</v>
      </c>
      <c r="O350" s="67">
        <v>0</v>
      </c>
      <c r="P350" s="67">
        <v>0</v>
      </c>
      <c r="Q350" s="67">
        <v>0</v>
      </c>
      <c r="R350" s="67">
        <v>0</v>
      </c>
      <c r="S350" s="190">
        <v>0</v>
      </c>
      <c r="T350" s="191"/>
      <c r="U350" s="191"/>
      <c r="V350" s="191"/>
      <c r="W350" s="191"/>
      <c r="X350" s="191"/>
      <c r="Y350" s="191"/>
      <c r="Z350" s="191"/>
      <c r="AA350" s="191"/>
      <c r="AB350" s="191"/>
      <c r="AC350" s="191"/>
      <c r="AD350" s="191"/>
      <c r="AE350" s="191"/>
      <c r="AF350" s="191"/>
      <c r="AG350" s="191"/>
      <c r="AH350" s="191"/>
      <c r="AK350" s="155"/>
      <c r="AL350" s="144" t="s">
        <v>254</v>
      </c>
    </row>
    <row r="351" spans="1:38">
      <c r="A351" s="155" t="s">
        <v>1453</v>
      </c>
      <c r="B351" t="s">
        <v>1345</v>
      </c>
      <c r="C351" t="s">
        <v>1380</v>
      </c>
      <c r="D351" t="s">
        <v>347</v>
      </c>
      <c r="E351" t="s">
        <v>206</v>
      </c>
      <c r="F351" t="s">
        <v>1043</v>
      </c>
      <c r="G351">
        <v>40</v>
      </c>
      <c r="H351" s="189">
        <v>0</v>
      </c>
      <c r="I351" s="67">
        <v>120</v>
      </c>
      <c r="J351" s="67">
        <v>220</v>
      </c>
      <c r="K351" s="67">
        <v>830</v>
      </c>
      <c r="L351" s="67">
        <v>4570</v>
      </c>
      <c r="M351" s="67">
        <v>4650</v>
      </c>
      <c r="N351" s="67">
        <v>500</v>
      </c>
      <c r="O351" s="67">
        <v>0</v>
      </c>
      <c r="P351" s="67">
        <v>0</v>
      </c>
      <c r="Q351" s="67">
        <v>0</v>
      </c>
      <c r="R351" s="67">
        <v>0</v>
      </c>
      <c r="S351" s="190">
        <v>0</v>
      </c>
      <c r="T351" s="191"/>
      <c r="U351" s="191"/>
      <c r="V351" s="191"/>
      <c r="W351" s="191"/>
      <c r="X351" s="191"/>
      <c r="Y351" s="191"/>
      <c r="Z351" s="191"/>
      <c r="AA351" s="191"/>
      <c r="AB351" s="191"/>
      <c r="AC351" s="191"/>
      <c r="AD351" s="191"/>
      <c r="AE351" s="191"/>
      <c r="AF351" s="191"/>
      <c r="AG351" s="191"/>
      <c r="AH351" s="191"/>
      <c r="AK351" s="155"/>
      <c r="AL351" s="144" t="s">
        <v>248</v>
      </c>
    </row>
    <row r="352" spans="1:38">
      <c r="A352" s="155" t="s">
        <v>1453</v>
      </c>
      <c r="B352" t="s">
        <v>1345</v>
      </c>
      <c r="C352" t="s">
        <v>1383</v>
      </c>
      <c r="D352" t="s">
        <v>347</v>
      </c>
      <c r="E352" t="s">
        <v>206</v>
      </c>
      <c r="F352" t="s">
        <v>1043</v>
      </c>
      <c r="G352">
        <v>40</v>
      </c>
      <c r="H352" s="189">
        <v>0</v>
      </c>
      <c r="I352" s="67">
        <v>120</v>
      </c>
      <c r="J352" s="67">
        <v>220</v>
      </c>
      <c r="K352" s="67">
        <v>890</v>
      </c>
      <c r="L352" s="67">
        <v>5380</v>
      </c>
      <c r="M352" s="67">
        <v>1470</v>
      </c>
      <c r="N352" s="67">
        <v>500</v>
      </c>
      <c r="O352" s="67">
        <v>0</v>
      </c>
      <c r="P352" s="67">
        <v>0</v>
      </c>
      <c r="Q352" s="67">
        <v>0</v>
      </c>
      <c r="R352" s="67">
        <v>0</v>
      </c>
      <c r="S352" s="190">
        <v>0</v>
      </c>
      <c r="T352" s="191"/>
      <c r="U352" s="191"/>
      <c r="V352" s="191"/>
      <c r="W352" s="191"/>
      <c r="X352" s="191"/>
      <c r="Y352" s="191"/>
      <c r="Z352" s="191"/>
      <c r="AA352" s="191"/>
      <c r="AB352" s="191"/>
      <c r="AC352" s="191"/>
      <c r="AD352" s="191"/>
      <c r="AE352" s="191"/>
      <c r="AF352" s="191"/>
      <c r="AG352" s="191"/>
      <c r="AH352" s="191"/>
      <c r="AK352" s="155"/>
      <c r="AL352" s="144" t="s">
        <v>257</v>
      </c>
    </row>
    <row r="353" spans="1:38">
      <c r="A353" s="155" t="s">
        <v>1453</v>
      </c>
      <c r="B353" t="s">
        <v>1345</v>
      </c>
      <c r="C353" t="s">
        <v>1386</v>
      </c>
      <c r="D353" t="s">
        <v>347</v>
      </c>
      <c r="E353" t="s">
        <v>206</v>
      </c>
      <c r="F353" t="s">
        <v>1043</v>
      </c>
      <c r="G353">
        <v>40</v>
      </c>
      <c r="H353" s="189">
        <v>0</v>
      </c>
      <c r="I353" s="67">
        <v>120</v>
      </c>
      <c r="J353" s="67">
        <v>220</v>
      </c>
      <c r="K353" s="67">
        <v>1070</v>
      </c>
      <c r="L353" s="67">
        <v>3750</v>
      </c>
      <c r="M353" s="67">
        <v>4500</v>
      </c>
      <c r="N353" s="67">
        <v>750</v>
      </c>
      <c r="O353" s="67">
        <v>0</v>
      </c>
      <c r="P353" s="67">
        <v>0</v>
      </c>
      <c r="Q353" s="67">
        <v>0</v>
      </c>
      <c r="R353" s="67">
        <v>0</v>
      </c>
      <c r="S353" s="190">
        <v>0</v>
      </c>
      <c r="T353" s="191"/>
      <c r="U353" s="191"/>
      <c r="V353" s="191"/>
      <c r="W353" s="191"/>
      <c r="X353" s="191"/>
      <c r="Y353" s="191"/>
      <c r="Z353" s="191"/>
      <c r="AA353" s="191"/>
      <c r="AB353" s="191"/>
      <c r="AC353" s="191"/>
      <c r="AD353" s="191"/>
      <c r="AE353" s="191"/>
      <c r="AF353" s="191"/>
      <c r="AG353" s="191"/>
      <c r="AH353" s="191"/>
      <c r="AK353" s="155"/>
      <c r="AL353" s="144" t="s">
        <v>259</v>
      </c>
    </row>
    <row r="354" spans="1:38">
      <c r="A354" s="155" t="s">
        <v>1453</v>
      </c>
      <c r="B354" t="s">
        <v>1345</v>
      </c>
      <c r="C354" t="s">
        <v>1387</v>
      </c>
      <c r="D354" t="s">
        <v>347</v>
      </c>
      <c r="E354" t="s">
        <v>206</v>
      </c>
      <c r="F354" t="s">
        <v>1043</v>
      </c>
      <c r="G354">
        <v>40</v>
      </c>
      <c r="H354" s="189">
        <v>0</v>
      </c>
      <c r="I354" s="67">
        <v>120</v>
      </c>
      <c r="J354" s="67">
        <v>220</v>
      </c>
      <c r="K354" s="67">
        <v>740</v>
      </c>
      <c r="L354" s="67">
        <v>3580</v>
      </c>
      <c r="M354" s="67">
        <v>1020</v>
      </c>
      <c r="N354" s="67">
        <v>500</v>
      </c>
      <c r="O354" s="67">
        <v>0</v>
      </c>
      <c r="P354" s="67">
        <v>0</v>
      </c>
      <c r="Q354" s="67">
        <v>0</v>
      </c>
      <c r="R354" s="67">
        <v>0</v>
      </c>
      <c r="S354" s="190">
        <v>0</v>
      </c>
      <c r="T354" s="191"/>
      <c r="U354" s="191"/>
      <c r="V354" s="191"/>
      <c r="W354" s="191"/>
      <c r="X354" s="191"/>
      <c r="Y354" s="191"/>
      <c r="Z354" s="191"/>
      <c r="AA354" s="191"/>
      <c r="AB354" s="191"/>
      <c r="AC354" s="191"/>
      <c r="AD354" s="191"/>
      <c r="AE354" s="191"/>
      <c r="AF354" s="191"/>
      <c r="AG354" s="191"/>
      <c r="AH354" s="191"/>
      <c r="AK354" s="155"/>
      <c r="AL354" s="144" t="s">
        <v>261</v>
      </c>
    </row>
    <row r="355" spans="1:38">
      <c r="A355" s="155" t="s">
        <v>1453</v>
      </c>
      <c r="B355" t="s">
        <v>1345</v>
      </c>
      <c r="C355" t="s">
        <v>1390</v>
      </c>
      <c r="D355" t="s">
        <v>347</v>
      </c>
      <c r="E355" t="s">
        <v>206</v>
      </c>
      <c r="F355" t="s">
        <v>1043</v>
      </c>
      <c r="G355">
        <v>40</v>
      </c>
      <c r="H355" s="189">
        <v>0</v>
      </c>
      <c r="I355" s="67">
        <v>120</v>
      </c>
      <c r="J355" s="67">
        <v>175</v>
      </c>
      <c r="K355" s="67">
        <v>950</v>
      </c>
      <c r="L355" s="67">
        <v>2850</v>
      </c>
      <c r="M355" s="67">
        <v>2100</v>
      </c>
      <c r="N355" s="67">
        <v>500</v>
      </c>
      <c r="O355" s="67">
        <v>0</v>
      </c>
      <c r="P355" s="67">
        <v>0</v>
      </c>
      <c r="Q355" s="67">
        <v>0</v>
      </c>
      <c r="R355" s="67">
        <v>0</v>
      </c>
      <c r="S355" s="190">
        <v>0</v>
      </c>
      <c r="T355" s="191"/>
      <c r="U355" s="191"/>
      <c r="V355" s="191"/>
      <c r="W355" s="191"/>
      <c r="X355" s="191"/>
      <c r="Y355" s="191"/>
      <c r="Z355" s="191"/>
      <c r="AA355" s="191"/>
      <c r="AB355" s="191"/>
      <c r="AC355" s="191"/>
      <c r="AD355" s="191"/>
      <c r="AE355" s="191"/>
      <c r="AF355" s="191"/>
      <c r="AG355" s="191"/>
      <c r="AH355" s="191"/>
      <c r="AK355" s="155"/>
      <c r="AL355" s="144" t="s">
        <v>263</v>
      </c>
    </row>
    <row r="356" spans="1:38">
      <c r="A356" s="155" t="s">
        <v>1453</v>
      </c>
      <c r="B356" t="s">
        <v>1345</v>
      </c>
      <c r="C356" t="s">
        <v>1393</v>
      </c>
      <c r="D356" t="s">
        <v>347</v>
      </c>
      <c r="E356" t="s">
        <v>206</v>
      </c>
      <c r="F356" t="s">
        <v>1043</v>
      </c>
      <c r="G356">
        <v>18</v>
      </c>
      <c r="H356" s="189">
        <v>127.24636000000001</v>
      </c>
      <c r="I356" s="67">
        <v>231.38064</v>
      </c>
      <c r="J356" s="67">
        <v>0</v>
      </c>
      <c r="K356" s="67">
        <v>0</v>
      </c>
      <c r="L356" s="67">
        <v>0</v>
      </c>
      <c r="M356" s="67">
        <v>0</v>
      </c>
      <c r="N356" s="67">
        <v>0</v>
      </c>
      <c r="O356" s="67">
        <v>0</v>
      </c>
      <c r="P356" s="67">
        <v>0</v>
      </c>
      <c r="Q356" s="67">
        <v>0</v>
      </c>
      <c r="R356" s="67">
        <v>0</v>
      </c>
      <c r="S356" s="190">
        <v>0</v>
      </c>
      <c r="T356" s="191"/>
      <c r="U356" s="191"/>
      <c r="V356" s="191"/>
      <c r="W356" s="191"/>
      <c r="X356" s="191"/>
      <c r="Y356" s="191"/>
      <c r="Z356" s="191"/>
      <c r="AA356" s="191"/>
      <c r="AB356" s="191"/>
      <c r="AC356" s="191"/>
      <c r="AD356" s="191"/>
      <c r="AE356" s="191"/>
      <c r="AF356" s="191"/>
      <c r="AG356" s="191"/>
      <c r="AH356" s="191"/>
      <c r="AK356" s="155"/>
      <c r="AL356" s="144" t="s">
        <v>252</v>
      </c>
    </row>
    <row r="357" spans="1:38">
      <c r="A357" s="155" t="s">
        <v>1453</v>
      </c>
      <c r="B357" t="s">
        <v>1345</v>
      </c>
      <c r="C357" t="s">
        <v>1396</v>
      </c>
      <c r="D357" t="s">
        <v>347</v>
      </c>
      <c r="E357" t="s">
        <v>206</v>
      </c>
      <c r="F357" t="s">
        <v>1047</v>
      </c>
      <c r="G357">
        <v>160</v>
      </c>
      <c r="H357" s="189">
        <v>1296.20164</v>
      </c>
      <c r="I357" s="67">
        <v>250</v>
      </c>
      <c r="J357" s="67">
        <v>500</v>
      </c>
      <c r="K357" s="67">
        <v>500</v>
      </c>
      <c r="L357" s="67">
        <v>5000</v>
      </c>
      <c r="M357" s="67">
        <v>20000</v>
      </c>
      <c r="N357" s="67">
        <v>4295</v>
      </c>
      <c r="O357" s="67">
        <v>0</v>
      </c>
      <c r="P357" s="67">
        <v>0</v>
      </c>
      <c r="Q357" s="67">
        <v>0</v>
      </c>
      <c r="R357" s="67">
        <v>0</v>
      </c>
      <c r="S357" s="190">
        <v>0</v>
      </c>
      <c r="T357" s="191"/>
      <c r="U357" s="191"/>
      <c r="V357" s="191"/>
      <c r="W357" s="191"/>
      <c r="X357" s="191"/>
      <c r="Y357" s="191"/>
      <c r="Z357" s="191"/>
      <c r="AA357" s="191"/>
      <c r="AB357" s="191"/>
      <c r="AC357" s="191"/>
      <c r="AD357" s="191"/>
      <c r="AE357" s="191"/>
      <c r="AF357" s="191"/>
      <c r="AG357" s="191"/>
      <c r="AH357" s="191"/>
      <c r="AK357" s="155"/>
      <c r="AL357" s="144" t="s">
        <v>255</v>
      </c>
    </row>
    <row r="358" spans="1:38">
      <c r="A358" s="155" t="s">
        <v>1453</v>
      </c>
      <c r="B358" t="s">
        <v>1345</v>
      </c>
      <c r="C358" t="s">
        <v>1406</v>
      </c>
      <c r="D358" t="s">
        <v>347</v>
      </c>
      <c r="E358" t="s">
        <v>206</v>
      </c>
      <c r="F358" t="s">
        <v>1043</v>
      </c>
      <c r="G358">
        <v>312</v>
      </c>
      <c r="H358" s="189">
        <v>0</v>
      </c>
      <c r="I358" s="67">
        <v>0</v>
      </c>
      <c r="J358" s="67">
        <v>50</v>
      </c>
      <c r="K358" s="67">
        <v>470</v>
      </c>
      <c r="L358" s="67">
        <v>680</v>
      </c>
      <c r="M358" s="67">
        <v>6250</v>
      </c>
      <c r="N358" s="67">
        <v>15000</v>
      </c>
      <c r="O358" s="67">
        <v>39250</v>
      </c>
      <c r="P358" s="67">
        <v>39250</v>
      </c>
      <c r="Q358" s="67">
        <v>37950</v>
      </c>
      <c r="R358" s="67">
        <v>34140</v>
      </c>
      <c r="S358" s="190">
        <v>0</v>
      </c>
      <c r="T358" s="191"/>
      <c r="U358" s="191"/>
      <c r="V358" s="191"/>
      <c r="W358" s="191"/>
      <c r="X358" s="191"/>
      <c r="Y358" s="191"/>
      <c r="Z358" s="191"/>
      <c r="AA358" s="191"/>
      <c r="AB358" s="191"/>
      <c r="AC358" s="191"/>
      <c r="AD358" s="191"/>
      <c r="AE358" s="191"/>
      <c r="AF358" s="191"/>
      <c r="AG358" s="191"/>
      <c r="AH358" s="191"/>
      <c r="AK358" s="155"/>
      <c r="AL358" s="144" t="s">
        <v>256</v>
      </c>
    </row>
    <row r="359" spans="1:38">
      <c r="A359" s="155" t="s">
        <v>1453</v>
      </c>
      <c r="B359" t="s">
        <v>1345</v>
      </c>
      <c r="C359" t="s">
        <v>1408</v>
      </c>
      <c r="D359" t="s">
        <v>347</v>
      </c>
      <c r="E359" t="s">
        <v>205</v>
      </c>
      <c r="F359" t="s">
        <v>1043</v>
      </c>
      <c r="G359">
        <v>200</v>
      </c>
      <c r="H359" s="189">
        <v>13419.42412</v>
      </c>
      <c r="I359" s="67">
        <v>4058.0192000000002</v>
      </c>
      <c r="J359" s="67">
        <v>532.84799999999996</v>
      </c>
      <c r="K359" s="67">
        <v>266.42399999999998</v>
      </c>
      <c r="L359" s="67">
        <v>0</v>
      </c>
      <c r="M359" s="67">
        <v>0</v>
      </c>
      <c r="N359" s="67">
        <v>0</v>
      </c>
      <c r="O359" s="67">
        <v>0</v>
      </c>
      <c r="P359" s="67">
        <v>0</v>
      </c>
      <c r="Q359" s="67">
        <v>0</v>
      </c>
      <c r="R359" s="67">
        <v>0</v>
      </c>
      <c r="S359" s="190">
        <v>0</v>
      </c>
      <c r="T359" s="191"/>
      <c r="U359" s="191"/>
      <c r="V359" s="191"/>
      <c r="W359" s="191"/>
      <c r="X359" s="191"/>
      <c r="Y359" s="191"/>
      <c r="Z359" s="191"/>
      <c r="AA359" s="191"/>
      <c r="AB359" s="191"/>
      <c r="AC359" s="191"/>
      <c r="AD359" s="191"/>
      <c r="AE359" s="191"/>
      <c r="AF359" s="191"/>
      <c r="AG359" s="191"/>
      <c r="AH359" s="191"/>
      <c r="AK359" s="155"/>
      <c r="AL359" s="144" t="s">
        <v>266</v>
      </c>
    </row>
    <row r="360" spans="1:38">
      <c r="A360" s="155" t="s">
        <v>1453</v>
      </c>
      <c r="B360" t="s">
        <v>1345</v>
      </c>
      <c r="C360" t="s">
        <v>1419</v>
      </c>
      <c r="D360" t="s">
        <v>347</v>
      </c>
      <c r="E360" t="s">
        <v>206</v>
      </c>
      <c r="F360" t="s">
        <v>1050</v>
      </c>
      <c r="G360">
        <v>40</v>
      </c>
      <c r="H360" s="189">
        <v>659.08267999999998</v>
      </c>
      <c r="I360" s="67">
        <v>381.82044000000002</v>
      </c>
      <c r="J360" s="67">
        <v>2036.7487100000001</v>
      </c>
      <c r="K360" s="67">
        <v>0</v>
      </c>
      <c r="L360" s="67">
        <v>0</v>
      </c>
      <c r="M360" s="67">
        <v>0</v>
      </c>
      <c r="N360" s="67">
        <v>0</v>
      </c>
      <c r="O360" s="67">
        <v>0</v>
      </c>
      <c r="P360" s="67">
        <v>0</v>
      </c>
      <c r="Q360" s="67">
        <v>0</v>
      </c>
      <c r="R360" s="67">
        <v>0</v>
      </c>
      <c r="S360" s="190">
        <v>0</v>
      </c>
      <c r="T360" s="191"/>
      <c r="U360" s="191"/>
      <c r="V360" s="191"/>
      <c r="W360" s="191"/>
      <c r="X360" s="191"/>
      <c r="Y360" s="191"/>
      <c r="Z360" s="191"/>
      <c r="AA360" s="191"/>
      <c r="AB360" s="191"/>
      <c r="AC360" s="191"/>
      <c r="AD360" s="191"/>
      <c r="AE360" s="191"/>
      <c r="AF360" s="191"/>
      <c r="AG360" s="191"/>
      <c r="AH360" s="191"/>
      <c r="AK360" s="155"/>
      <c r="AL360" s="144" t="s">
        <v>258</v>
      </c>
    </row>
    <row r="361" spans="1:38">
      <c r="A361" s="155" t="s">
        <v>1453</v>
      </c>
      <c r="B361" t="s">
        <v>1345</v>
      </c>
      <c r="C361" t="s">
        <v>1433</v>
      </c>
      <c r="D361" t="s">
        <v>347</v>
      </c>
      <c r="E361" t="s">
        <v>205</v>
      </c>
      <c r="F361" t="s">
        <v>1047</v>
      </c>
      <c r="G361">
        <v>10</v>
      </c>
      <c r="H361" s="189">
        <v>2124.5144799999998</v>
      </c>
      <c r="I361" s="67">
        <v>794.77223000000004</v>
      </c>
      <c r="J361" s="67">
        <v>0</v>
      </c>
      <c r="K361" s="67">
        <v>288</v>
      </c>
      <c r="L361" s="67">
        <v>376</v>
      </c>
      <c r="M361" s="67">
        <v>0</v>
      </c>
      <c r="N361" s="67">
        <v>0</v>
      </c>
      <c r="O361" s="67">
        <v>0</v>
      </c>
      <c r="P361" s="67">
        <v>0</v>
      </c>
      <c r="Q361" s="67">
        <v>0</v>
      </c>
      <c r="R361" s="67">
        <v>0</v>
      </c>
      <c r="S361" s="190">
        <v>0</v>
      </c>
      <c r="T361" s="191"/>
      <c r="U361" s="191"/>
      <c r="V361" s="191"/>
      <c r="W361" s="191"/>
      <c r="X361" s="191"/>
      <c r="Y361" s="191"/>
      <c r="Z361" s="191"/>
      <c r="AA361" s="191"/>
      <c r="AB361" s="191"/>
      <c r="AC361" s="191"/>
      <c r="AD361" s="191"/>
      <c r="AE361" s="191"/>
      <c r="AF361" s="191"/>
      <c r="AG361" s="191"/>
      <c r="AH361" s="191"/>
      <c r="AK361" s="155"/>
      <c r="AL361" s="144" t="s">
        <v>260</v>
      </c>
    </row>
    <row r="362" spans="1:38">
      <c r="A362" s="155" t="s">
        <v>1453</v>
      </c>
      <c r="B362" t="s">
        <v>1345</v>
      </c>
      <c r="C362" t="s">
        <v>1437</v>
      </c>
      <c r="D362" t="s">
        <v>347</v>
      </c>
      <c r="E362" t="s">
        <v>206</v>
      </c>
      <c r="F362" t="s">
        <v>1043</v>
      </c>
      <c r="G362">
        <v>1000</v>
      </c>
      <c r="H362" s="189">
        <v>860693.69335999992</v>
      </c>
      <c r="I362" s="67">
        <v>50189.862480000003</v>
      </c>
      <c r="J362" s="67">
        <v>18046.470539999998</v>
      </c>
      <c r="K362" s="67">
        <v>0</v>
      </c>
      <c r="L362" s="67">
        <v>0</v>
      </c>
      <c r="M362" s="67">
        <v>0</v>
      </c>
      <c r="N362" s="67">
        <v>0</v>
      </c>
      <c r="O362" s="67">
        <v>0</v>
      </c>
      <c r="P362" s="67">
        <v>0</v>
      </c>
      <c r="Q362" s="67">
        <v>0</v>
      </c>
      <c r="R362" s="67">
        <v>0</v>
      </c>
      <c r="S362" s="190">
        <v>0</v>
      </c>
      <c r="T362" s="191"/>
      <c r="U362" s="191"/>
      <c r="V362" s="191"/>
      <c r="W362" s="191"/>
      <c r="X362" s="191"/>
      <c r="Y362" s="191"/>
      <c r="Z362" s="191"/>
      <c r="AA362" s="191"/>
      <c r="AB362" s="191"/>
      <c r="AC362" s="191"/>
      <c r="AD362" s="191"/>
      <c r="AE362" s="191"/>
      <c r="AF362" s="191"/>
      <c r="AG362" s="191"/>
      <c r="AH362" s="191"/>
      <c r="AK362" s="155"/>
      <c r="AL362" s="144" t="s">
        <v>269</v>
      </c>
    </row>
    <row r="363" spans="1:38">
      <c r="A363" s="155" t="s">
        <v>1453</v>
      </c>
      <c r="B363" t="s">
        <v>1345</v>
      </c>
      <c r="C363" t="s">
        <v>1442</v>
      </c>
      <c r="D363" t="s">
        <v>347</v>
      </c>
      <c r="E363" t="s">
        <v>205</v>
      </c>
      <c r="F363" t="s">
        <v>1043</v>
      </c>
      <c r="G363">
        <v>10</v>
      </c>
      <c r="H363" s="189">
        <v>0</v>
      </c>
      <c r="I363" s="67">
        <v>0</v>
      </c>
      <c r="J363" s="67">
        <v>125</v>
      </c>
      <c r="K363" s="67">
        <v>1300</v>
      </c>
      <c r="L363" s="67">
        <v>1800</v>
      </c>
      <c r="M363" s="67">
        <v>15000</v>
      </c>
      <c r="N363" s="67">
        <v>17000</v>
      </c>
      <c r="O363" s="67">
        <v>15000</v>
      </c>
      <c r="P363" s="67">
        <v>500</v>
      </c>
      <c r="Q363" s="67">
        <v>0</v>
      </c>
      <c r="R363" s="67">
        <v>0</v>
      </c>
      <c r="S363" s="190">
        <v>0</v>
      </c>
      <c r="T363" s="191"/>
      <c r="U363" s="191"/>
      <c r="V363" s="191"/>
      <c r="W363" s="191"/>
      <c r="X363" s="191"/>
      <c r="Y363" s="191"/>
      <c r="Z363" s="191"/>
      <c r="AA363" s="191"/>
      <c r="AB363" s="191"/>
      <c r="AC363" s="191"/>
      <c r="AD363" s="191"/>
      <c r="AE363" s="191"/>
      <c r="AF363" s="191"/>
      <c r="AG363" s="191"/>
      <c r="AH363" s="191"/>
      <c r="AK363" s="155"/>
      <c r="AL363" s="144" t="s">
        <v>262</v>
      </c>
    </row>
    <row r="364" spans="1:38">
      <c r="A364" s="155" t="s">
        <v>1453</v>
      </c>
      <c r="B364" t="s">
        <v>1345</v>
      </c>
      <c r="C364" t="s">
        <v>1443</v>
      </c>
      <c r="D364" t="s">
        <v>347</v>
      </c>
      <c r="E364" t="s">
        <v>206</v>
      </c>
      <c r="F364" t="s">
        <v>1043</v>
      </c>
      <c r="G364">
        <v>11</v>
      </c>
      <c r="H364" s="189">
        <v>0</v>
      </c>
      <c r="I364" s="67">
        <v>0</v>
      </c>
      <c r="J364" s="67">
        <v>0</v>
      </c>
      <c r="K364" s="67">
        <v>0</v>
      </c>
      <c r="L364" s="67">
        <v>0</v>
      </c>
      <c r="M364" s="67">
        <v>98</v>
      </c>
      <c r="N364" s="67">
        <v>1960</v>
      </c>
      <c r="O364" s="67">
        <v>6860</v>
      </c>
      <c r="P364" s="67">
        <v>882</v>
      </c>
      <c r="Q364" s="67">
        <v>0</v>
      </c>
      <c r="R364" s="67">
        <v>0</v>
      </c>
      <c r="S364" s="190">
        <v>0</v>
      </c>
      <c r="T364" s="191"/>
      <c r="U364" s="191"/>
      <c r="V364" s="191"/>
      <c r="W364" s="191"/>
      <c r="X364" s="191"/>
      <c r="Y364" s="191"/>
      <c r="Z364" s="191"/>
      <c r="AA364" s="191"/>
      <c r="AB364" s="191"/>
      <c r="AC364" s="191"/>
      <c r="AD364" s="191"/>
      <c r="AE364" s="191"/>
      <c r="AF364" s="191"/>
      <c r="AG364" s="191"/>
      <c r="AH364" s="191"/>
      <c r="AK364" s="155"/>
      <c r="AL364" s="144" t="s">
        <v>265</v>
      </c>
    </row>
    <row r="365" spans="1:38">
      <c r="AK365" s="155"/>
      <c r="AL365" s="144" t="s">
        <v>267</v>
      </c>
    </row>
    <row r="366" spans="1:38">
      <c r="AK366" s="155"/>
      <c r="AL366" s="144" t="s">
        <v>268</v>
      </c>
    </row>
    <row r="367" spans="1:38">
      <c r="AK367" s="155"/>
      <c r="AL367" s="144" t="s">
        <v>273</v>
      </c>
    </row>
    <row r="368" spans="1:38">
      <c r="AK368" s="155"/>
      <c r="AL368" s="144" t="s">
        <v>233</v>
      </c>
    </row>
    <row r="369" spans="37:38">
      <c r="AK369" s="155"/>
      <c r="AL369" s="144" t="s">
        <v>270</v>
      </c>
    </row>
    <row r="370" spans="37:38">
      <c r="AK370" s="155"/>
      <c r="AL370" s="144" t="s">
        <v>272</v>
      </c>
    </row>
    <row r="371" spans="37:38">
      <c r="AK371" s="155"/>
      <c r="AL371" s="144" t="s">
        <v>278</v>
      </c>
    </row>
    <row r="372" spans="37:38">
      <c r="AK372" s="155"/>
      <c r="AL372" s="144" t="s">
        <v>264</v>
      </c>
    </row>
    <row r="373" spans="37:38">
      <c r="AK373" s="155"/>
      <c r="AL373" s="144" t="s">
        <v>271</v>
      </c>
    </row>
    <row r="374" spans="37:38">
      <c r="AK374" s="155"/>
      <c r="AL374" s="144" t="s">
        <v>281</v>
      </c>
    </row>
    <row r="375" spans="37:38">
      <c r="AK375" s="155"/>
      <c r="AL375" s="144" t="s">
        <v>225</v>
      </c>
    </row>
    <row r="376" spans="37:38">
      <c r="AK376" s="155"/>
      <c r="AL376" s="144" t="s">
        <v>275</v>
      </c>
    </row>
    <row r="377" spans="37:38">
      <c r="AK377" s="155"/>
      <c r="AL377" s="144" t="s">
        <v>276</v>
      </c>
    </row>
    <row r="378" spans="37:38">
      <c r="AK378" s="155"/>
      <c r="AL378" s="144" t="s">
        <v>277</v>
      </c>
    </row>
    <row r="379" spans="37:38">
      <c r="AK379" s="155"/>
      <c r="AL379" s="144" t="s">
        <v>279</v>
      </c>
    </row>
    <row r="380" spans="37:38">
      <c r="AK380" s="155"/>
      <c r="AL380" s="144" t="s">
        <v>286</v>
      </c>
    </row>
    <row r="381" spans="37:38">
      <c r="AK381" s="155"/>
      <c r="AL381" s="144" t="s">
        <v>280</v>
      </c>
    </row>
    <row r="382" spans="37:38">
      <c r="AK382" s="155"/>
      <c r="AL382" s="144" t="s">
        <v>282</v>
      </c>
    </row>
    <row r="383" spans="37:38">
      <c r="AK383" s="155"/>
      <c r="AL383" s="144" t="s">
        <v>283</v>
      </c>
    </row>
    <row r="384" spans="37:38">
      <c r="AK384" s="155"/>
      <c r="AL384" s="144" t="s">
        <v>284</v>
      </c>
    </row>
    <row r="385" spans="37:38">
      <c r="AK385" s="155"/>
      <c r="AL385" s="144" t="s">
        <v>285</v>
      </c>
    </row>
    <row r="386" spans="37:38">
      <c r="AK386" s="155"/>
      <c r="AL386" s="144" t="s">
        <v>291</v>
      </c>
    </row>
    <row r="387" spans="37:38">
      <c r="AK387" s="155"/>
      <c r="AL387" s="144" t="s">
        <v>293</v>
      </c>
    </row>
    <row r="388" spans="37:38">
      <c r="AK388" s="155"/>
      <c r="AL388" s="144" t="s">
        <v>295</v>
      </c>
    </row>
    <row r="389" spans="37:38">
      <c r="AK389" s="155"/>
      <c r="AL389" s="144" t="s">
        <v>297</v>
      </c>
    </row>
    <row r="390" spans="37:38">
      <c r="AK390" s="155"/>
      <c r="AL390" s="144" t="s">
        <v>287</v>
      </c>
    </row>
    <row r="391" spans="37:38">
      <c r="AK391" s="155"/>
      <c r="AL391" s="144" t="s">
        <v>288</v>
      </c>
    </row>
    <row r="392" spans="37:38">
      <c r="AK392" s="155"/>
      <c r="AL392" s="144" t="s">
        <v>289</v>
      </c>
    </row>
    <row r="393" spans="37:38">
      <c r="AK393" s="155"/>
      <c r="AL393" s="144" t="s">
        <v>290</v>
      </c>
    </row>
    <row r="394" spans="37:38">
      <c r="AK394" s="155"/>
      <c r="AL394" s="144" t="s">
        <v>302</v>
      </c>
    </row>
    <row r="395" spans="37:38">
      <c r="AK395" s="155"/>
      <c r="AL395" s="144" t="s">
        <v>304</v>
      </c>
    </row>
    <row r="396" spans="37:38">
      <c r="AK396" s="155"/>
      <c r="AL396" s="144" t="s">
        <v>292</v>
      </c>
    </row>
    <row r="397" spans="37:38">
      <c r="AK397" s="155"/>
      <c r="AL397" s="144" t="s">
        <v>307</v>
      </c>
    </row>
    <row r="398" spans="37:38">
      <c r="AK398" s="155"/>
      <c r="AL398" s="144" t="s">
        <v>309</v>
      </c>
    </row>
    <row r="399" spans="37:38">
      <c r="AK399" s="155"/>
      <c r="AL399" s="144" t="s">
        <v>311</v>
      </c>
    </row>
    <row r="400" spans="37:38">
      <c r="AK400" s="155"/>
      <c r="AL400" s="144" t="s">
        <v>294</v>
      </c>
    </row>
    <row r="401" spans="37:38">
      <c r="AK401" s="155"/>
      <c r="AL401" s="144" t="s">
        <v>314</v>
      </c>
    </row>
    <row r="402" spans="37:38">
      <c r="AK402" s="155"/>
      <c r="AL402" s="144" t="s">
        <v>296</v>
      </c>
    </row>
    <row r="403" spans="37:38">
      <c r="AK403" s="155"/>
      <c r="AL403" s="144" t="s">
        <v>316</v>
      </c>
    </row>
    <row r="404" spans="37:38">
      <c r="AK404" s="155"/>
      <c r="AL404" s="144" t="s">
        <v>298</v>
      </c>
    </row>
    <row r="405" spans="37:38">
      <c r="AK405" s="155"/>
      <c r="AL405" s="144" t="s">
        <v>300</v>
      </c>
    </row>
    <row r="406" spans="37:38">
      <c r="AK406" s="155"/>
      <c r="AL406" s="144" t="s">
        <v>253</v>
      </c>
    </row>
    <row r="407" spans="37:38">
      <c r="AK407" s="155"/>
      <c r="AL407" s="144" t="s">
        <v>308</v>
      </c>
    </row>
    <row r="408" spans="37:38">
      <c r="AK408" s="155"/>
      <c r="AL408" s="144" t="s">
        <v>301</v>
      </c>
    </row>
    <row r="409" spans="37:38">
      <c r="AK409" s="155"/>
      <c r="AL409" s="144" t="s">
        <v>320</v>
      </c>
    </row>
    <row r="410" spans="37:38">
      <c r="AK410" s="155"/>
      <c r="AL410" s="144" t="s">
        <v>303</v>
      </c>
    </row>
    <row r="411" spans="37:38">
      <c r="AK411" s="155"/>
      <c r="AL411" s="144" t="s">
        <v>322</v>
      </c>
    </row>
    <row r="412" spans="37:38">
      <c r="AK412" s="155"/>
      <c r="AL412" s="144" t="s">
        <v>299</v>
      </c>
    </row>
    <row r="413" spans="37:38">
      <c r="AK413" s="155"/>
      <c r="AL413" s="144" t="s">
        <v>305</v>
      </c>
    </row>
    <row r="414" spans="37:38">
      <c r="AK414" s="155"/>
      <c r="AL414" s="144" t="s">
        <v>310</v>
      </c>
    </row>
    <row r="415" spans="37:38">
      <c r="AK415" s="155"/>
      <c r="AL415" s="144" t="s">
        <v>325</v>
      </c>
    </row>
    <row r="416" spans="37:38">
      <c r="AK416" s="155"/>
      <c r="AL416" s="144" t="s">
        <v>327</v>
      </c>
    </row>
    <row r="417" spans="37:38">
      <c r="AK417" s="155"/>
      <c r="AL417" s="144" t="s">
        <v>329</v>
      </c>
    </row>
    <row r="418" spans="37:38">
      <c r="AK418" s="155"/>
      <c r="AL418" s="144" t="s">
        <v>312</v>
      </c>
    </row>
    <row r="419" spans="37:38">
      <c r="AK419" s="155"/>
      <c r="AL419" s="144" t="s">
        <v>332</v>
      </c>
    </row>
    <row r="420" spans="37:38">
      <c r="AK420" s="155"/>
      <c r="AL420" s="144" t="s">
        <v>313</v>
      </c>
    </row>
    <row r="421" spans="37:38">
      <c r="AK421" s="155"/>
      <c r="AL421" s="144" t="s">
        <v>315</v>
      </c>
    </row>
    <row r="422" spans="37:38">
      <c r="AK422" s="155"/>
      <c r="AL422" s="144" t="s">
        <v>335</v>
      </c>
    </row>
    <row r="423" spans="37:38">
      <c r="AK423" s="155"/>
      <c r="AL423" s="144" t="s">
        <v>317</v>
      </c>
    </row>
    <row r="424" spans="37:38">
      <c r="AK424" s="155"/>
      <c r="AL424" s="144" t="s">
        <v>338</v>
      </c>
    </row>
    <row r="425" spans="37:38">
      <c r="AK425" s="155"/>
      <c r="AL425" s="144" t="s">
        <v>318</v>
      </c>
    </row>
    <row r="426" spans="37:38">
      <c r="AK426" s="155"/>
      <c r="AL426" s="144" t="s">
        <v>319</v>
      </c>
    </row>
    <row r="427" spans="37:38">
      <c r="AK427" s="155"/>
      <c r="AL427" s="144" t="s">
        <v>321</v>
      </c>
    </row>
    <row r="428" spans="37:38">
      <c r="AK428" s="155"/>
      <c r="AL428" s="144" t="s">
        <v>339</v>
      </c>
    </row>
    <row r="429" spans="37:38">
      <c r="AK429" s="155"/>
      <c r="AL429" s="144" t="s">
        <v>324</v>
      </c>
    </row>
    <row r="430" spans="37:38">
      <c r="AK430" s="155"/>
      <c r="AL430" s="144" t="s">
        <v>344</v>
      </c>
    </row>
    <row r="431" spans="37:38">
      <c r="AK431" s="155"/>
      <c r="AL431" s="144" t="s">
        <v>326</v>
      </c>
    </row>
    <row r="432" spans="37:38">
      <c r="AK432" s="155"/>
      <c r="AL432" s="144" t="s">
        <v>328</v>
      </c>
    </row>
    <row r="433" spans="37:38">
      <c r="AK433" s="155"/>
      <c r="AL433" s="144" t="s">
        <v>330</v>
      </c>
    </row>
    <row r="434" spans="37:38">
      <c r="AK434" s="155"/>
      <c r="AL434" s="144" t="s">
        <v>331</v>
      </c>
    </row>
    <row r="435" spans="37:38">
      <c r="AK435" s="155"/>
      <c r="AL435" s="144" t="s">
        <v>333</v>
      </c>
    </row>
    <row r="436" spans="37:38">
      <c r="AK436" s="155"/>
      <c r="AL436" s="144" t="s">
        <v>334</v>
      </c>
    </row>
    <row r="437" spans="37:38">
      <c r="AK437" s="155"/>
      <c r="AL437" s="144" t="s">
        <v>336</v>
      </c>
    </row>
    <row r="438" spans="37:38">
      <c r="AK438" s="155"/>
      <c r="AL438" s="144" t="s">
        <v>274</v>
      </c>
    </row>
    <row r="439" spans="37:38">
      <c r="AK439" s="155"/>
      <c r="AL439" s="144" t="s">
        <v>306</v>
      </c>
    </row>
    <row r="440" spans="37:38">
      <c r="AK440" s="155"/>
      <c r="AL440" s="144" t="s">
        <v>337</v>
      </c>
    </row>
    <row r="441" spans="37:38">
      <c r="AK441" s="155"/>
      <c r="AL441" s="144" t="s">
        <v>340</v>
      </c>
    </row>
    <row r="442" spans="37:38">
      <c r="AK442" s="155"/>
      <c r="AL442" s="144" t="s">
        <v>341</v>
      </c>
    </row>
    <row r="443" spans="37:38">
      <c r="AK443" s="155"/>
      <c r="AL443" s="144" t="s">
        <v>342</v>
      </c>
    </row>
    <row r="444" spans="37:38">
      <c r="AK444" s="155"/>
      <c r="AL444" s="144" t="s">
        <v>343</v>
      </c>
    </row>
    <row r="445" spans="37:38">
      <c r="AK445" s="155"/>
      <c r="AL445" s="144" t="s">
        <v>345</v>
      </c>
    </row>
    <row r="446" spans="37:38">
      <c r="AK446" s="155"/>
      <c r="AL446" s="144" t="s">
        <v>346</v>
      </c>
    </row>
    <row r="447" spans="37:38">
      <c r="AK447" s="155"/>
      <c r="AL447" s="144" t="s">
        <v>349</v>
      </c>
    </row>
    <row r="448" spans="37:38">
      <c r="AK448" s="155"/>
      <c r="AL448" s="144" t="s">
        <v>350</v>
      </c>
    </row>
    <row r="449" spans="37:38">
      <c r="AK449" s="155"/>
      <c r="AL449" s="144" t="s">
        <v>352</v>
      </c>
    </row>
    <row r="450" spans="37:38">
      <c r="AK450" s="155"/>
      <c r="AL450" s="144" t="s">
        <v>353</v>
      </c>
    </row>
    <row r="451" spans="37:38">
      <c r="AK451" s="155"/>
      <c r="AL451" s="144" t="s">
        <v>354</v>
      </c>
    </row>
    <row r="452" spans="37:38">
      <c r="AK452" s="155"/>
      <c r="AL452" s="144" t="s">
        <v>355</v>
      </c>
    </row>
    <row r="453" spans="37:38">
      <c r="AK453" s="155"/>
      <c r="AL453" s="144" t="s">
        <v>356</v>
      </c>
    </row>
    <row r="454" spans="37:38">
      <c r="AK454" s="155"/>
      <c r="AL454" s="144" t="s">
        <v>250</v>
      </c>
    </row>
    <row r="455" spans="37:38">
      <c r="AK455" s="155"/>
      <c r="AL455" s="144" t="s">
        <v>357</v>
      </c>
    </row>
    <row r="456" spans="37:38">
      <c r="AK456" s="155"/>
      <c r="AL456" s="144" t="s">
        <v>358</v>
      </c>
    </row>
    <row r="457" spans="37:38">
      <c r="AK457" s="155"/>
      <c r="AL457" s="144" t="s">
        <v>359</v>
      </c>
    </row>
    <row r="458" spans="37:38">
      <c r="AK458" s="155"/>
      <c r="AL458" s="144" t="s">
        <v>360</v>
      </c>
    </row>
    <row r="459" spans="37:38">
      <c r="AK459" s="155"/>
      <c r="AL459" s="144" t="s">
        <v>361</v>
      </c>
    </row>
    <row r="460" spans="37:38">
      <c r="AK460" s="155"/>
      <c r="AL460" s="144" t="s">
        <v>362</v>
      </c>
    </row>
    <row r="461" spans="37:38">
      <c r="AK461" s="155"/>
      <c r="AL461" s="144" t="s">
        <v>363</v>
      </c>
    </row>
    <row r="463" spans="37:38">
      <c r="AK463" s="155" t="s">
        <v>206</v>
      </c>
      <c r="AL463" s="155"/>
    </row>
    <row r="464" spans="37:38">
      <c r="AK464" s="155"/>
      <c r="AL464" s="144" t="s">
        <v>210</v>
      </c>
    </row>
    <row r="465" spans="37:38">
      <c r="AK465" s="155"/>
      <c r="AL465" s="144" t="s">
        <v>212</v>
      </c>
    </row>
    <row r="466" spans="37:38">
      <c r="AK466" s="155"/>
      <c r="AL466" s="144" t="s">
        <v>214</v>
      </c>
    </row>
    <row r="467" spans="37:38">
      <c r="AK467" s="155"/>
      <c r="AL467" s="144" t="s">
        <v>216</v>
      </c>
    </row>
    <row r="468" spans="37:38">
      <c r="AK468" s="155"/>
      <c r="AL468" s="144" t="s">
        <v>218</v>
      </c>
    </row>
    <row r="469" spans="37:38">
      <c r="AK469" s="155"/>
      <c r="AL469" s="144" t="s">
        <v>220</v>
      </c>
    </row>
    <row r="470" spans="37:38">
      <c r="AK470" s="155"/>
      <c r="AL470" s="144" t="s">
        <v>222</v>
      </c>
    </row>
    <row r="471" spans="37:38">
      <c r="AK471" s="155"/>
      <c r="AL471" s="144" t="s">
        <v>224</v>
      </c>
    </row>
    <row r="472" spans="37:38">
      <c r="AK472" s="155"/>
      <c r="AL472" s="144" t="s">
        <v>16</v>
      </c>
    </row>
    <row r="473" spans="37:38">
      <c r="AK473" s="155"/>
      <c r="AL473" s="144" t="s">
        <v>227</v>
      </c>
    </row>
    <row r="474" spans="37:38">
      <c r="AK474" s="155"/>
      <c r="AL474" s="144" t="s">
        <v>228</v>
      </c>
    </row>
    <row r="475" spans="37:38">
      <c r="AK475" s="155"/>
      <c r="AL475" s="144" t="s">
        <v>229</v>
      </c>
    </row>
    <row r="476" spans="37:38">
      <c r="AK476" s="155"/>
      <c r="AL476" s="144" t="s">
        <v>230</v>
      </c>
    </row>
    <row r="477" spans="37:38">
      <c r="AK477" s="155"/>
      <c r="AL477" s="144" t="s">
        <v>231</v>
      </c>
    </row>
    <row r="478" spans="37:38">
      <c r="AK478" s="155"/>
      <c r="AL478" s="144" t="s">
        <v>232</v>
      </c>
    </row>
    <row r="479" spans="37:38">
      <c r="AK479" s="155"/>
      <c r="AL479" s="144" t="s">
        <v>234</v>
      </c>
    </row>
    <row r="480" spans="37:38">
      <c r="AK480" s="155"/>
      <c r="AL480" s="144" t="s">
        <v>235</v>
      </c>
    </row>
    <row r="481" spans="37:38">
      <c r="AK481" s="155"/>
      <c r="AL481" s="144" t="s">
        <v>236</v>
      </c>
    </row>
    <row r="482" spans="37:38">
      <c r="AK482" s="155"/>
      <c r="AL482" s="144" t="s">
        <v>237</v>
      </c>
    </row>
    <row r="483" spans="37:38">
      <c r="AK483" s="155"/>
      <c r="AL483" s="144" t="s">
        <v>238</v>
      </c>
    </row>
    <row r="484" spans="37:38">
      <c r="AK484" s="155"/>
      <c r="AL484" s="144" t="s">
        <v>239</v>
      </c>
    </row>
    <row r="485" spans="37:38">
      <c r="AK485" s="155"/>
      <c r="AL485" s="144" t="s">
        <v>240</v>
      </c>
    </row>
    <row r="486" spans="37:38">
      <c r="AK486" s="155"/>
      <c r="AL486" s="144" t="s">
        <v>241</v>
      </c>
    </row>
    <row r="487" spans="37:38">
      <c r="AK487" s="155"/>
      <c r="AL487" s="144" t="s">
        <v>242</v>
      </c>
    </row>
    <row r="488" spans="37:38">
      <c r="AK488" s="155"/>
      <c r="AL488" s="144" t="s">
        <v>244</v>
      </c>
    </row>
    <row r="489" spans="37:38">
      <c r="AK489" s="155"/>
      <c r="AL489" s="144" t="s">
        <v>245</v>
      </c>
    </row>
    <row r="490" spans="37:38">
      <c r="AK490" s="155"/>
      <c r="AL490" s="144" t="s">
        <v>209</v>
      </c>
    </row>
    <row r="491" spans="37:38">
      <c r="AK491" s="155"/>
      <c r="AL491" s="144" t="s">
        <v>211</v>
      </c>
    </row>
    <row r="492" spans="37:38">
      <c r="AK492" s="155"/>
      <c r="AL492" s="144" t="s">
        <v>213</v>
      </c>
    </row>
    <row r="493" spans="37:38">
      <c r="AK493" s="155"/>
      <c r="AL493" s="144" t="s">
        <v>215</v>
      </c>
    </row>
    <row r="494" spans="37:38">
      <c r="AK494" s="155"/>
      <c r="AL494" s="144" t="s">
        <v>217</v>
      </c>
    </row>
    <row r="495" spans="37:38">
      <c r="AK495" s="155"/>
      <c r="AL495" s="144" t="s">
        <v>219</v>
      </c>
    </row>
    <row r="496" spans="37:38">
      <c r="AK496" s="155"/>
      <c r="AL496" s="144" t="s">
        <v>221</v>
      </c>
    </row>
    <row r="497" spans="37:38">
      <c r="AK497" s="155"/>
      <c r="AL497" s="144" t="s">
        <v>246</v>
      </c>
    </row>
    <row r="498" spans="37:38">
      <c r="AK498" s="155"/>
      <c r="AL498" s="144" t="s">
        <v>223</v>
      </c>
    </row>
    <row r="499" spans="37:38">
      <c r="AK499" s="155"/>
      <c r="AL499" s="144" t="s">
        <v>226</v>
      </c>
    </row>
    <row r="500" spans="37:38">
      <c r="AK500" s="155"/>
      <c r="AL500" s="144" t="s">
        <v>249</v>
      </c>
    </row>
    <row r="501" spans="37:38">
      <c r="AK501" s="155"/>
      <c r="AL501" s="144" t="s">
        <v>251</v>
      </c>
    </row>
    <row r="502" spans="37:38">
      <c r="AK502" s="155"/>
      <c r="AL502" s="144" t="s">
        <v>247</v>
      </c>
    </row>
    <row r="503" spans="37:38">
      <c r="AK503" s="155"/>
      <c r="AL503" s="144" t="s">
        <v>254</v>
      </c>
    </row>
    <row r="504" spans="37:38">
      <c r="AK504" s="155"/>
      <c r="AL504" s="144" t="s">
        <v>248</v>
      </c>
    </row>
    <row r="505" spans="37:38">
      <c r="AK505" s="155"/>
      <c r="AL505" s="144" t="s">
        <v>257</v>
      </c>
    </row>
    <row r="506" spans="37:38">
      <c r="AK506" s="155"/>
      <c r="AL506" s="144" t="s">
        <v>259</v>
      </c>
    </row>
    <row r="507" spans="37:38">
      <c r="AK507" s="155"/>
      <c r="AL507" s="144" t="s">
        <v>261</v>
      </c>
    </row>
    <row r="508" spans="37:38">
      <c r="AK508" s="155"/>
      <c r="AL508" s="144" t="s">
        <v>263</v>
      </c>
    </row>
    <row r="509" spans="37:38">
      <c r="AK509" s="155"/>
      <c r="AL509" s="144" t="s">
        <v>252</v>
      </c>
    </row>
    <row r="510" spans="37:38">
      <c r="AK510" s="155"/>
      <c r="AL510" s="144" t="s">
        <v>255</v>
      </c>
    </row>
    <row r="511" spans="37:38">
      <c r="AK511" s="155"/>
      <c r="AL511" s="144" t="s">
        <v>256</v>
      </c>
    </row>
    <row r="512" spans="37:38">
      <c r="AK512" s="155"/>
      <c r="AL512" s="144" t="s">
        <v>266</v>
      </c>
    </row>
    <row r="513" spans="37:38">
      <c r="AK513" s="155"/>
      <c r="AL513" s="144" t="s">
        <v>258</v>
      </c>
    </row>
    <row r="514" spans="37:38">
      <c r="AK514" s="155"/>
      <c r="AL514" s="144" t="s">
        <v>260</v>
      </c>
    </row>
    <row r="515" spans="37:38">
      <c r="AK515" s="155"/>
      <c r="AL515" s="144" t="s">
        <v>269</v>
      </c>
    </row>
    <row r="516" spans="37:38">
      <c r="AK516" s="155"/>
      <c r="AL516" s="144" t="s">
        <v>262</v>
      </c>
    </row>
    <row r="517" spans="37:38">
      <c r="AK517" s="155"/>
      <c r="AL517" s="144" t="s">
        <v>265</v>
      </c>
    </row>
    <row r="518" spans="37:38">
      <c r="AK518" s="155"/>
      <c r="AL518" s="144" t="s">
        <v>267</v>
      </c>
    </row>
    <row r="519" spans="37:38">
      <c r="AK519" s="155"/>
      <c r="AL519" s="144" t="s">
        <v>268</v>
      </c>
    </row>
    <row r="520" spans="37:38">
      <c r="AK520" s="155"/>
      <c r="AL520" s="144" t="s">
        <v>273</v>
      </c>
    </row>
    <row r="521" spans="37:38">
      <c r="AK521" s="155"/>
      <c r="AL521" s="144" t="s">
        <v>233</v>
      </c>
    </row>
    <row r="522" spans="37:38">
      <c r="AK522" s="155"/>
      <c r="AL522" s="144" t="s">
        <v>270</v>
      </c>
    </row>
    <row r="523" spans="37:38">
      <c r="AK523" s="155"/>
      <c r="AL523" s="144" t="s">
        <v>272</v>
      </c>
    </row>
    <row r="524" spans="37:38">
      <c r="AK524" s="155"/>
      <c r="AL524" s="144" t="s">
        <v>278</v>
      </c>
    </row>
    <row r="525" spans="37:38">
      <c r="AK525" s="155"/>
      <c r="AL525" s="144" t="s">
        <v>264</v>
      </c>
    </row>
    <row r="526" spans="37:38">
      <c r="AK526" s="155"/>
      <c r="AL526" s="144" t="s">
        <v>271</v>
      </c>
    </row>
    <row r="527" spans="37:38">
      <c r="AK527" s="155"/>
      <c r="AL527" s="144" t="s">
        <v>281</v>
      </c>
    </row>
    <row r="528" spans="37:38">
      <c r="AK528" s="155"/>
      <c r="AL528" s="144" t="s">
        <v>225</v>
      </c>
    </row>
    <row r="529" spans="37:38">
      <c r="AK529" s="155"/>
      <c r="AL529" s="144" t="s">
        <v>275</v>
      </c>
    </row>
    <row r="530" spans="37:38">
      <c r="AK530" s="155"/>
      <c r="AL530" s="144" t="s">
        <v>276</v>
      </c>
    </row>
    <row r="531" spans="37:38">
      <c r="AK531" s="155"/>
      <c r="AL531" s="144" t="s">
        <v>277</v>
      </c>
    </row>
    <row r="532" spans="37:38">
      <c r="AK532" s="155"/>
      <c r="AL532" s="144" t="s">
        <v>279</v>
      </c>
    </row>
    <row r="533" spans="37:38">
      <c r="AK533" s="155"/>
      <c r="AL533" s="144" t="s">
        <v>286</v>
      </c>
    </row>
    <row r="534" spans="37:38">
      <c r="AK534" s="155"/>
      <c r="AL534" s="144" t="s">
        <v>280</v>
      </c>
    </row>
    <row r="535" spans="37:38">
      <c r="AK535" s="155"/>
      <c r="AL535" s="144" t="s">
        <v>282</v>
      </c>
    </row>
    <row r="536" spans="37:38">
      <c r="AK536" s="155"/>
      <c r="AL536" s="144" t="s">
        <v>283</v>
      </c>
    </row>
    <row r="537" spans="37:38">
      <c r="AK537" s="155"/>
      <c r="AL537" s="144" t="s">
        <v>284</v>
      </c>
    </row>
    <row r="538" spans="37:38">
      <c r="AK538" s="155"/>
      <c r="AL538" s="144" t="s">
        <v>285</v>
      </c>
    </row>
    <row r="539" spans="37:38">
      <c r="AK539" s="155"/>
      <c r="AL539" s="144" t="s">
        <v>291</v>
      </c>
    </row>
    <row r="540" spans="37:38">
      <c r="AK540" s="155"/>
      <c r="AL540" s="144" t="s">
        <v>293</v>
      </c>
    </row>
    <row r="541" spans="37:38">
      <c r="AK541" s="155"/>
      <c r="AL541" s="144" t="s">
        <v>295</v>
      </c>
    </row>
    <row r="542" spans="37:38">
      <c r="AK542" s="155"/>
      <c r="AL542" s="144" t="s">
        <v>297</v>
      </c>
    </row>
    <row r="543" spans="37:38">
      <c r="AK543" s="155"/>
      <c r="AL543" s="144" t="s">
        <v>287</v>
      </c>
    </row>
    <row r="544" spans="37:38">
      <c r="AK544" s="155"/>
      <c r="AL544" s="144" t="s">
        <v>288</v>
      </c>
    </row>
    <row r="545" spans="37:38">
      <c r="AK545" s="155"/>
      <c r="AL545" s="144" t="s">
        <v>289</v>
      </c>
    </row>
    <row r="546" spans="37:38">
      <c r="AK546" s="155"/>
      <c r="AL546" s="144" t="s">
        <v>290</v>
      </c>
    </row>
    <row r="547" spans="37:38">
      <c r="AK547" s="155"/>
      <c r="AL547" s="144" t="s">
        <v>302</v>
      </c>
    </row>
    <row r="548" spans="37:38">
      <c r="AK548" s="155"/>
      <c r="AL548" s="144" t="s">
        <v>304</v>
      </c>
    </row>
    <row r="549" spans="37:38">
      <c r="AK549" s="155"/>
      <c r="AL549" s="144" t="s">
        <v>292</v>
      </c>
    </row>
    <row r="550" spans="37:38">
      <c r="AK550" s="155"/>
      <c r="AL550" s="144" t="s">
        <v>307</v>
      </c>
    </row>
    <row r="551" spans="37:38">
      <c r="AK551" s="155"/>
      <c r="AL551" s="144" t="s">
        <v>309</v>
      </c>
    </row>
    <row r="552" spans="37:38">
      <c r="AK552" s="155"/>
      <c r="AL552" s="144" t="s">
        <v>311</v>
      </c>
    </row>
    <row r="553" spans="37:38">
      <c r="AK553" s="155"/>
      <c r="AL553" s="144" t="s">
        <v>294</v>
      </c>
    </row>
    <row r="554" spans="37:38">
      <c r="AK554" s="155"/>
      <c r="AL554" s="144" t="s">
        <v>314</v>
      </c>
    </row>
    <row r="555" spans="37:38">
      <c r="AK555" s="155"/>
      <c r="AL555" s="144" t="s">
        <v>296</v>
      </c>
    </row>
    <row r="556" spans="37:38">
      <c r="AK556" s="155"/>
      <c r="AL556" s="144" t="s">
        <v>316</v>
      </c>
    </row>
    <row r="557" spans="37:38">
      <c r="AK557" s="155"/>
      <c r="AL557" s="144" t="s">
        <v>298</v>
      </c>
    </row>
    <row r="558" spans="37:38">
      <c r="AK558" s="155"/>
      <c r="AL558" s="144" t="s">
        <v>300</v>
      </c>
    </row>
    <row r="559" spans="37:38">
      <c r="AK559" s="155"/>
      <c r="AL559" s="144" t="s">
        <v>253</v>
      </c>
    </row>
    <row r="560" spans="37:38">
      <c r="AK560" s="155"/>
      <c r="AL560" s="144" t="s">
        <v>308</v>
      </c>
    </row>
    <row r="561" spans="37:38">
      <c r="AK561" s="155"/>
      <c r="AL561" s="144" t="s">
        <v>301</v>
      </c>
    </row>
    <row r="562" spans="37:38">
      <c r="AK562" s="155"/>
      <c r="AL562" s="144" t="s">
        <v>320</v>
      </c>
    </row>
    <row r="563" spans="37:38">
      <c r="AK563" s="155"/>
      <c r="AL563" s="144" t="s">
        <v>303</v>
      </c>
    </row>
    <row r="564" spans="37:38">
      <c r="AK564" s="155"/>
      <c r="AL564" s="144" t="s">
        <v>322</v>
      </c>
    </row>
    <row r="565" spans="37:38">
      <c r="AK565" s="155"/>
      <c r="AL565" s="144" t="s">
        <v>299</v>
      </c>
    </row>
    <row r="566" spans="37:38">
      <c r="AK566" s="155"/>
      <c r="AL566" s="144" t="s">
        <v>305</v>
      </c>
    </row>
    <row r="567" spans="37:38">
      <c r="AK567" s="155"/>
      <c r="AL567" s="144" t="s">
        <v>310</v>
      </c>
    </row>
    <row r="568" spans="37:38">
      <c r="AK568" s="155"/>
      <c r="AL568" s="144" t="s">
        <v>325</v>
      </c>
    </row>
    <row r="569" spans="37:38">
      <c r="AK569" s="155"/>
      <c r="AL569" s="144" t="s">
        <v>327</v>
      </c>
    </row>
    <row r="570" spans="37:38">
      <c r="AK570" s="155"/>
      <c r="AL570" s="144" t="s">
        <v>329</v>
      </c>
    </row>
    <row r="571" spans="37:38">
      <c r="AK571" s="155"/>
      <c r="AL571" s="144" t="s">
        <v>312</v>
      </c>
    </row>
    <row r="572" spans="37:38">
      <c r="AK572" s="155"/>
      <c r="AL572" s="144" t="s">
        <v>332</v>
      </c>
    </row>
    <row r="573" spans="37:38">
      <c r="AK573" s="155"/>
      <c r="AL573" s="144" t="s">
        <v>313</v>
      </c>
    </row>
    <row r="574" spans="37:38">
      <c r="AK574" s="155"/>
      <c r="AL574" s="144" t="s">
        <v>315</v>
      </c>
    </row>
    <row r="575" spans="37:38">
      <c r="AK575" s="155"/>
      <c r="AL575" s="144" t="s">
        <v>335</v>
      </c>
    </row>
    <row r="576" spans="37:38">
      <c r="AK576" s="155"/>
      <c r="AL576" s="144" t="s">
        <v>317</v>
      </c>
    </row>
    <row r="577" spans="37:38">
      <c r="AK577" s="155"/>
      <c r="AL577" s="144" t="s">
        <v>338</v>
      </c>
    </row>
    <row r="578" spans="37:38">
      <c r="AK578" s="155"/>
      <c r="AL578" s="144" t="s">
        <v>318</v>
      </c>
    </row>
    <row r="579" spans="37:38">
      <c r="AK579" s="155"/>
      <c r="AL579" s="144" t="s">
        <v>319</v>
      </c>
    </row>
    <row r="580" spans="37:38">
      <c r="AK580" s="155"/>
      <c r="AL580" s="144" t="s">
        <v>321</v>
      </c>
    </row>
    <row r="581" spans="37:38">
      <c r="AK581" s="155"/>
      <c r="AL581" s="144" t="s">
        <v>339</v>
      </c>
    </row>
    <row r="582" spans="37:38">
      <c r="AK582" s="155"/>
      <c r="AL582" s="144" t="s">
        <v>324</v>
      </c>
    </row>
    <row r="583" spans="37:38">
      <c r="AK583" s="155"/>
      <c r="AL583" s="144" t="s">
        <v>344</v>
      </c>
    </row>
    <row r="584" spans="37:38">
      <c r="AK584" s="155"/>
      <c r="AL584" s="144" t="s">
        <v>326</v>
      </c>
    </row>
    <row r="585" spans="37:38">
      <c r="AK585" s="155"/>
      <c r="AL585" s="144" t="s">
        <v>328</v>
      </c>
    </row>
    <row r="586" spans="37:38">
      <c r="AK586" s="155"/>
      <c r="AL586" s="144" t="s">
        <v>330</v>
      </c>
    </row>
    <row r="587" spans="37:38">
      <c r="AK587" s="155"/>
      <c r="AL587" s="144" t="s">
        <v>331</v>
      </c>
    </row>
    <row r="588" spans="37:38">
      <c r="AK588" s="155"/>
      <c r="AL588" s="144" t="s">
        <v>333</v>
      </c>
    </row>
    <row r="589" spans="37:38">
      <c r="AK589" s="155"/>
      <c r="AL589" s="144" t="s">
        <v>334</v>
      </c>
    </row>
    <row r="590" spans="37:38">
      <c r="AK590" s="155"/>
      <c r="AL590" s="144" t="s">
        <v>336</v>
      </c>
    </row>
    <row r="591" spans="37:38">
      <c r="AK591" s="155"/>
      <c r="AL591" s="144" t="s">
        <v>274</v>
      </c>
    </row>
    <row r="592" spans="37:38">
      <c r="AK592" s="155"/>
      <c r="AL592" s="144" t="s">
        <v>306</v>
      </c>
    </row>
    <row r="593" spans="37:38">
      <c r="AK593" s="155"/>
      <c r="AL593" s="144" t="s">
        <v>337</v>
      </c>
    </row>
    <row r="594" spans="37:38">
      <c r="AK594" s="155"/>
      <c r="AL594" s="144" t="s">
        <v>340</v>
      </c>
    </row>
    <row r="595" spans="37:38">
      <c r="AK595" s="155"/>
      <c r="AL595" s="144" t="s">
        <v>341</v>
      </c>
    </row>
    <row r="596" spans="37:38">
      <c r="AK596" s="155"/>
      <c r="AL596" s="144" t="s">
        <v>342</v>
      </c>
    </row>
    <row r="597" spans="37:38">
      <c r="AK597" s="155"/>
      <c r="AL597" s="144" t="s">
        <v>343</v>
      </c>
    </row>
    <row r="598" spans="37:38">
      <c r="AK598" s="155"/>
      <c r="AL598" s="144" t="s">
        <v>345</v>
      </c>
    </row>
    <row r="599" spans="37:38">
      <c r="AK599" s="155"/>
      <c r="AL599" s="144" t="s">
        <v>346</v>
      </c>
    </row>
    <row r="600" spans="37:38">
      <c r="AK600" s="155"/>
      <c r="AL600" s="144" t="s">
        <v>349</v>
      </c>
    </row>
    <row r="601" spans="37:38">
      <c r="AK601" s="155"/>
      <c r="AL601" s="144" t="s">
        <v>350</v>
      </c>
    </row>
    <row r="602" spans="37:38">
      <c r="AK602" s="155"/>
      <c r="AL602" s="144" t="s">
        <v>352</v>
      </c>
    </row>
    <row r="603" spans="37:38">
      <c r="AK603" s="155"/>
      <c r="AL603" s="144" t="s">
        <v>353</v>
      </c>
    </row>
    <row r="604" spans="37:38">
      <c r="AK604" s="155"/>
      <c r="AL604" s="144" t="s">
        <v>354</v>
      </c>
    </row>
    <row r="605" spans="37:38">
      <c r="AK605" s="155"/>
      <c r="AL605" s="144" t="s">
        <v>355</v>
      </c>
    </row>
    <row r="606" spans="37:38">
      <c r="AK606" s="155"/>
      <c r="AL606" s="144" t="s">
        <v>356</v>
      </c>
    </row>
    <row r="607" spans="37:38">
      <c r="AK607" s="155"/>
      <c r="AL607" s="144" t="s">
        <v>250</v>
      </c>
    </row>
    <row r="608" spans="37:38">
      <c r="AK608" s="155"/>
      <c r="AL608" s="144" t="s">
        <v>357</v>
      </c>
    </row>
    <row r="609" spans="37:38">
      <c r="AK609" s="155"/>
      <c r="AL609" s="144" t="s">
        <v>358</v>
      </c>
    </row>
    <row r="610" spans="37:38">
      <c r="AK610" s="155"/>
      <c r="AL610" s="144" t="s">
        <v>359</v>
      </c>
    </row>
    <row r="611" spans="37:38">
      <c r="AK611" s="155"/>
      <c r="AL611" s="144" t="s">
        <v>360</v>
      </c>
    </row>
    <row r="612" spans="37:38">
      <c r="AK612" s="155"/>
      <c r="AL612" s="144" t="s">
        <v>361</v>
      </c>
    </row>
    <row r="613" spans="37:38">
      <c r="AK613" s="155"/>
      <c r="AL613" s="144" t="s">
        <v>362</v>
      </c>
    </row>
    <row r="614" spans="37:38">
      <c r="AK614" s="155"/>
      <c r="AL614" s="144" t="s">
        <v>363</v>
      </c>
    </row>
  </sheetData>
  <mergeCells count="1">
    <mergeCell ref="H3:S3"/>
  </mergeCells>
  <phoneticPr fontId="3" type="noConversion"/>
  <conditionalFormatting sqref="AL5:AL14">
    <cfRule type="duplicateValues" dxfId="163" priority="104"/>
  </conditionalFormatting>
  <conditionalFormatting sqref="AL5:AL155">
    <cfRule type="duplicateValues" dxfId="162" priority="83"/>
    <cfRule type="duplicateValues" dxfId="161" priority="109"/>
  </conditionalFormatting>
  <conditionalFormatting sqref="AL15:AL18">
    <cfRule type="duplicateValues" dxfId="160" priority="103"/>
  </conditionalFormatting>
  <conditionalFormatting sqref="AL19">
    <cfRule type="duplicateValues" dxfId="159" priority="102"/>
  </conditionalFormatting>
  <conditionalFormatting sqref="AL20:AL22">
    <cfRule type="duplicateValues" dxfId="158" priority="101"/>
  </conditionalFormatting>
  <conditionalFormatting sqref="AL23">
    <cfRule type="duplicateValues" dxfId="157" priority="100"/>
  </conditionalFormatting>
  <conditionalFormatting sqref="AL24:AL43">
    <cfRule type="duplicateValues" dxfId="156" priority="106"/>
  </conditionalFormatting>
  <conditionalFormatting sqref="AL44:AL56">
    <cfRule type="duplicateValues" dxfId="155" priority="99"/>
  </conditionalFormatting>
  <conditionalFormatting sqref="AL57:AL58">
    <cfRule type="duplicateValues" dxfId="154" priority="98"/>
  </conditionalFormatting>
  <conditionalFormatting sqref="AL59:AL63">
    <cfRule type="duplicateValues" dxfId="153" priority="97"/>
  </conditionalFormatting>
  <conditionalFormatting sqref="AL64:AL66">
    <cfRule type="duplicateValues" dxfId="152" priority="107"/>
  </conditionalFormatting>
  <conditionalFormatting sqref="AL67">
    <cfRule type="duplicateValues" dxfId="151" priority="96"/>
  </conditionalFormatting>
  <conditionalFormatting sqref="AL68:AL71">
    <cfRule type="duplicateValues" dxfId="150" priority="95"/>
  </conditionalFormatting>
  <conditionalFormatting sqref="AL72:AL74">
    <cfRule type="duplicateValues" dxfId="149" priority="94"/>
  </conditionalFormatting>
  <conditionalFormatting sqref="AL75:AL79">
    <cfRule type="duplicateValues" dxfId="148" priority="93"/>
  </conditionalFormatting>
  <conditionalFormatting sqref="AL80:AL81">
    <cfRule type="duplicateValues" dxfId="147" priority="92"/>
  </conditionalFormatting>
  <conditionalFormatting sqref="AL82:AL84">
    <cfRule type="duplicateValues" dxfId="146" priority="91"/>
  </conditionalFormatting>
  <conditionalFormatting sqref="AL85:AL99">
    <cfRule type="duplicateValues" dxfId="145" priority="90"/>
  </conditionalFormatting>
  <conditionalFormatting sqref="AL100:AL109">
    <cfRule type="duplicateValues" dxfId="144" priority="89"/>
  </conditionalFormatting>
  <conditionalFormatting sqref="AL110">
    <cfRule type="duplicateValues" dxfId="143" priority="88"/>
  </conditionalFormatting>
  <conditionalFormatting sqref="AL111:AL114">
    <cfRule type="duplicateValues" dxfId="142" priority="87"/>
  </conditionalFormatting>
  <conditionalFormatting sqref="AL115:AL120">
    <cfRule type="duplicateValues" dxfId="141" priority="86"/>
  </conditionalFormatting>
  <conditionalFormatting sqref="AL121:AL129">
    <cfRule type="duplicateValues" dxfId="140" priority="108"/>
  </conditionalFormatting>
  <conditionalFormatting sqref="AL130:AL143">
    <cfRule type="duplicateValues" dxfId="139" priority="85"/>
  </conditionalFormatting>
  <conditionalFormatting sqref="AL144">
    <cfRule type="duplicateValues" dxfId="138" priority="84"/>
  </conditionalFormatting>
  <conditionalFormatting sqref="AL145:AL155">
    <cfRule type="duplicateValues" dxfId="137" priority="105"/>
  </conditionalFormatting>
  <conditionalFormatting sqref="AL158:AL167">
    <cfRule type="duplicateValues" dxfId="136" priority="77"/>
  </conditionalFormatting>
  <conditionalFormatting sqref="AL158:AL308">
    <cfRule type="duplicateValues" dxfId="135" priority="56"/>
    <cfRule type="duplicateValues" dxfId="134" priority="82"/>
  </conditionalFormatting>
  <conditionalFormatting sqref="AL168:AL171">
    <cfRule type="duplicateValues" dxfId="133" priority="76"/>
  </conditionalFormatting>
  <conditionalFormatting sqref="AL172">
    <cfRule type="duplicateValues" dxfId="132" priority="75"/>
  </conditionalFormatting>
  <conditionalFormatting sqref="AL173:AL175">
    <cfRule type="duplicateValues" dxfId="131" priority="74"/>
  </conditionalFormatting>
  <conditionalFormatting sqref="AL176">
    <cfRule type="duplicateValues" dxfId="130" priority="73"/>
  </conditionalFormatting>
  <conditionalFormatting sqref="AL177:AL196">
    <cfRule type="duplicateValues" dxfId="129" priority="79"/>
  </conditionalFormatting>
  <conditionalFormatting sqref="AL197:AL209">
    <cfRule type="duplicateValues" dxfId="128" priority="72"/>
  </conditionalFormatting>
  <conditionalFormatting sqref="AL210:AL211">
    <cfRule type="duplicateValues" dxfId="127" priority="71"/>
  </conditionalFormatting>
  <conditionalFormatting sqref="AL212:AL216">
    <cfRule type="duplicateValues" dxfId="126" priority="70"/>
  </conditionalFormatting>
  <conditionalFormatting sqref="AL217:AL219">
    <cfRule type="duplicateValues" dxfId="125" priority="80"/>
  </conditionalFormatting>
  <conditionalFormatting sqref="AL220">
    <cfRule type="duplicateValues" dxfId="124" priority="69"/>
  </conditionalFormatting>
  <conditionalFormatting sqref="AL221:AL224">
    <cfRule type="duplicateValues" dxfId="123" priority="68"/>
  </conditionalFormatting>
  <conditionalFormatting sqref="AL225:AL227">
    <cfRule type="duplicateValues" dxfId="122" priority="67"/>
  </conditionalFormatting>
  <conditionalFormatting sqref="AL228:AL232">
    <cfRule type="duplicateValues" dxfId="121" priority="66"/>
  </conditionalFormatting>
  <conditionalFormatting sqref="AL233:AL234">
    <cfRule type="duplicateValues" dxfId="120" priority="65"/>
  </conditionalFormatting>
  <conditionalFormatting sqref="AL235:AL237">
    <cfRule type="duplicateValues" dxfId="119" priority="64"/>
  </conditionalFormatting>
  <conditionalFormatting sqref="AL238:AL252">
    <cfRule type="duplicateValues" dxfId="118" priority="63"/>
  </conditionalFormatting>
  <conditionalFormatting sqref="AL253:AL262">
    <cfRule type="duplicateValues" dxfId="117" priority="62"/>
  </conditionalFormatting>
  <conditionalFormatting sqref="AL263">
    <cfRule type="duplicateValues" dxfId="116" priority="61"/>
  </conditionalFormatting>
  <conditionalFormatting sqref="AL264:AL267">
    <cfRule type="duplicateValues" dxfId="115" priority="60"/>
  </conditionalFormatting>
  <conditionalFormatting sqref="AL268:AL273">
    <cfRule type="duplicateValues" dxfId="114" priority="59"/>
  </conditionalFormatting>
  <conditionalFormatting sqref="AL274:AL282">
    <cfRule type="duplicateValues" dxfId="113" priority="81"/>
  </conditionalFormatting>
  <conditionalFormatting sqref="AL283:AL296">
    <cfRule type="duplicateValues" dxfId="112" priority="58"/>
  </conditionalFormatting>
  <conditionalFormatting sqref="AL297">
    <cfRule type="duplicateValues" dxfId="111" priority="57"/>
  </conditionalFormatting>
  <conditionalFormatting sqref="AL298:AL308">
    <cfRule type="duplicateValues" dxfId="110" priority="78"/>
  </conditionalFormatting>
  <conditionalFormatting sqref="AL311:AL320">
    <cfRule type="duplicateValues" dxfId="109" priority="50"/>
  </conditionalFormatting>
  <conditionalFormatting sqref="AL311:AL461">
    <cfRule type="duplicateValues" dxfId="108" priority="29"/>
    <cfRule type="duplicateValues" dxfId="107" priority="55"/>
  </conditionalFormatting>
  <conditionalFormatting sqref="AL321:AL324">
    <cfRule type="duplicateValues" dxfId="106" priority="49"/>
  </conditionalFormatting>
  <conditionalFormatting sqref="AL325">
    <cfRule type="duplicateValues" dxfId="105" priority="48"/>
  </conditionalFormatting>
  <conditionalFormatting sqref="AL326:AL328">
    <cfRule type="duplicateValues" dxfId="104" priority="47"/>
  </conditionalFormatting>
  <conditionalFormatting sqref="AL329">
    <cfRule type="duplicateValues" dxfId="103" priority="46"/>
  </conditionalFormatting>
  <conditionalFormatting sqref="AL330:AL349">
    <cfRule type="duplicateValues" dxfId="102" priority="52"/>
  </conditionalFormatting>
  <conditionalFormatting sqref="AL350:AL362">
    <cfRule type="duplicateValues" dxfId="101" priority="45"/>
  </conditionalFormatting>
  <conditionalFormatting sqref="AL363:AL364">
    <cfRule type="duplicateValues" dxfId="100" priority="44"/>
  </conditionalFormatting>
  <conditionalFormatting sqref="AL365:AL369">
    <cfRule type="duplicateValues" dxfId="99" priority="43"/>
  </conditionalFormatting>
  <conditionalFormatting sqref="AL370:AL372">
    <cfRule type="duplicateValues" dxfId="98" priority="53"/>
  </conditionalFormatting>
  <conditionalFormatting sqref="AL373">
    <cfRule type="duplicateValues" dxfId="97" priority="42"/>
  </conditionalFormatting>
  <conditionalFormatting sqref="AL374:AL377">
    <cfRule type="duplicateValues" dxfId="96" priority="41"/>
  </conditionalFormatting>
  <conditionalFormatting sqref="AL378:AL380">
    <cfRule type="duplicateValues" dxfId="95" priority="40"/>
  </conditionalFormatting>
  <conditionalFormatting sqref="AL381:AL385">
    <cfRule type="duplicateValues" dxfId="94" priority="39"/>
  </conditionalFormatting>
  <conditionalFormatting sqref="AL386:AL387">
    <cfRule type="duplicateValues" dxfId="93" priority="38"/>
  </conditionalFormatting>
  <conditionalFormatting sqref="AL388:AL390">
    <cfRule type="duplicateValues" dxfId="92" priority="37"/>
  </conditionalFormatting>
  <conditionalFormatting sqref="AL391:AL405">
    <cfRule type="duplicateValues" dxfId="91" priority="36"/>
  </conditionalFormatting>
  <conditionalFormatting sqref="AL406:AL415">
    <cfRule type="duplicateValues" dxfId="90" priority="35"/>
  </conditionalFormatting>
  <conditionalFormatting sqref="AL416">
    <cfRule type="duplicateValues" dxfId="89" priority="34"/>
  </conditionalFormatting>
  <conditionalFormatting sqref="AL417:AL420">
    <cfRule type="duplicateValues" dxfId="88" priority="33"/>
  </conditionalFormatting>
  <conditionalFormatting sqref="AL421:AL426">
    <cfRule type="duplicateValues" dxfId="87" priority="32"/>
  </conditionalFormatting>
  <conditionalFormatting sqref="AL427:AL435">
    <cfRule type="duplicateValues" dxfId="86" priority="54"/>
  </conditionalFormatting>
  <conditionalFormatting sqref="AL436:AL449">
    <cfRule type="duplicateValues" dxfId="85" priority="31"/>
  </conditionalFormatting>
  <conditionalFormatting sqref="AL450">
    <cfRule type="duplicateValues" dxfId="84" priority="30"/>
  </conditionalFormatting>
  <conditionalFormatting sqref="AL451:AL461">
    <cfRule type="duplicateValues" dxfId="83" priority="51"/>
  </conditionalFormatting>
  <conditionalFormatting sqref="AL464:AL473">
    <cfRule type="duplicateValues" dxfId="82" priority="23"/>
  </conditionalFormatting>
  <conditionalFormatting sqref="AL464:AL614">
    <cfRule type="duplicateValues" dxfId="81" priority="2"/>
    <cfRule type="duplicateValues" dxfId="80" priority="28"/>
  </conditionalFormatting>
  <conditionalFormatting sqref="AL474:AL477">
    <cfRule type="duplicateValues" dxfId="79" priority="22"/>
  </conditionalFormatting>
  <conditionalFormatting sqref="AL478">
    <cfRule type="duplicateValues" dxfId="78" priority="21"/>
  </conditionalFormatting>
  <conditionalFormatting sqref="AL479:AL481">
    <cfRule type="duplicateValues" dxfId="77" priority="20"/>
  </conditionalFormatting>
  <conditionalFormatting sqref="AL482">
    <cfRule type="duplicateValues" dxfId="76" priority="19"/>
  </conditionalFormatting>
  <conditionalFormatting sqref="AL483:AL502">
    <cfRule type="duplicateValues" dxfId="75" priority="25"/>
  </conditionalFormatting>
  <conditionalFormatting sqref="AL503:AL515">
    <cfRule type="duplicateValues" dxfId="74" priority="18"/>
  </conditionalFormatting>
  <conditionalFormatting sqref="AL516:AL517">
    <cfRule type="duplicateValues" dxfId="73" priority="17"/>
  </conditionalFormatting>
  <conditionalFormatting sqref="AL518:AL522">
    <cfRule type="duplicateValues" dxfId="72" priority="16"/>
  </conditionalFormatting>
  <conditionalFormatting sqref="AL523:AL525">
    <cfRule type="duplicateValues" dxfId="71" priority="26"/>
  </conditionalFormatting>
  <conditionalFormatting sqref="AL526">
    <cfRule type="duplicateValues" dxfId="70" priority="15"/>
  </conditionalFormatting>
  <conditionalFormatting sqref="AL527:AL530">
    <cfRule type="duplicateValues" dxfId="69" priority="14"/>
  </conditionalFormatting>
  <conditionalFormatting sqref="AL531:AL533">
    <cfRule type="duplicateValues" dxfId="68" priority="13"/>
  </conditionalFormatting>
  <conditionalFormatting sqref="AL534:AL538">
    <cfRule type="duplicateValues" dxfId="67" priority="12"/>
  </conditionalFormatting>
  <conditionalFormatting sqref="AL539:AL540">
    <cfRule type="duplicateValues" dxfId="66" priority="11"/>
  </conditionalFormatting>
  <conditionalFormatting sqref="AL541:AL543">
    <cfRule type="duplicateValues" dxfId="65" priority="10"/>
  </conditionalFormatting>
  <conditionalFormatting sqref="AL544:AL558">
    <cfRule type="duplicateValues" dxfId="64" priority="9"/>
  </conditionalFormatting>
  <conditionalFormatting sqref="AL559:AL568">
    <cfRule type="duplicateValues" dxfId="63" priority="8"/>
  </conditionalFormatting>
  <conditionalFormatting sqref="AL569">
    <cfRule type="duplicateValues" dxfId="62" priority="7"/>
  </conditionalFormatting>
  <conditionalFormatting sqref="AL570:AL573">
    <cfRule type="duplicateValues" dxfId="61" priority="6"/>
  </conditionalFormatting>
  <conditionalFormatting sqref="AL574:AL579">
    <cfRule type="duplicateValues" dxfId="60" priority="5"/>
  </conditionalFormatting>
  <conditionalFormatting sqref="AL580:AL588">
    <cfRule type="duplicateValues" dxfId="59" priority="27"/>
  </conditionalFormatting>
  <conditionalFormatting sqref="AL589:AL602">
    <cfRule type="duplicateValues" dxfId="58" priority="4"/>
  </conditionalFormatting>
  <conditionalFormatting sqref="AL603">
    <cfRule type="duplicateValues" dxfId="57" priority="3"/>
  </conditionalFormatting>
  <conditionalFormatting sqref="AL604:AL614">
    <cfRule type="duplicateValues" dxfId="56" priority="24"/>
  </conditionalFormatting>
  <pageMargins left="0.7" right="0.7" top="0.75" bottom="0.75" header="0.3" footer="0.3"/>
  <pageSetup scale="10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4B591-B933-4B53-9F01-BF67D8078DC8}">
  <sheetPr>
    <pageSetUpPr fitToPage="1"/>
  </sheetPr>
  <dimension ref="A1:BT253"/>
  <sheetViews>
    <sheetView zoomScale="70" zoomScaleNormal="70" workbookViewId="0"/>
  </sheetViews>
  <sheetFormatPr defaultColWidth="14.5703125" defaultRowHeight="15"/>
  <cols>
    <col min="42" max="42" width="24.42578125" bestFit="1" customWidth="1"/>
    <col min="57" max="57" width="14.5703125" style="155"/>
    <col min="69" max="69" width="14.5703125" style="155"/>
  </cols>
  <sheetData>
    <row r="1" spans="1:72" s="155" customFormat="1">
      <c r="A1" s="155" t="s">
        <v>2277</v>
      </c>
      <c r="AP1" s="155" t="s">
        <v>208</v>
      </c>
      <c r="AQ1" s="155">
        <v>0.14129265710526795</v>
      </c>
    </row>
    <row r="2" spans="1:72" s="155" customFormat="1">
      <c r="AO2" s="155" t="s">
        <v>1592</v>
      </c>
      <c r="AP2" s="155" t="s">
        <v>207</v>
      </c>
      <c r="AQ2" s="155">
        <v>8.0592087872378149E-2</v>
      </c>
      <c r="BO2" s="155" t="s">
        <v>547</v>
      </c>
      <c r="BP2" s="155">
        <v>6.870006713965543E-2</v>
      </c>
    </row>
    <row r="3" spans="1:72" s="155" customFormat="1">
      <c r="AD3" s="155" t="s">
        <v>955</v>
      </c>
      <c r="AE3" s="64">
        <v>1.0209999999999999</v>
      </c>
      <c r="AH3" s="76"/>
      <c r="AP3" s="155" t="s">
        <v>206</v>
      </c>
      <c r="AQ3" s="155">
        <v>8.4418087544840467E-2</v>
      </c>
    </row>
    <row r="4" spans="1:72" s="155" customFormat="1">
      <c r="E4" s="247" t="s">
        <v>1589</v>
      </c>
      <c r="F4" s="247"/>
      <c r="G4" s="247"/>
      <c r="H4" s="247"/>
      <c r="I4" s="247"/>
      <c r="J4" s="247"/>
      <c r="K4" s="247"/>
      <c r="L4" s="247"/>
      <c r="M4" s="247"/>
      <c r="N4" s="247"/>
      <c r="O4" s="247"/>
      <c r="R4" s="155" t="s">
        <v>1590</v>
      </c>
      <c r="AE4" s="155" t="s">
        <v>1591</v>
      </c>
      <c r="AP4" s="155" t="s">
        <v>205</v>
      </c>
      <c r="AQ4" s="155">
        <v>8.2053465055388061E-2</v>
      </c>
      <c r="BF4" s="247" t="s">
        <v>559</v>
      </c>
      <c r="BG4" s="247"/>
      <c r="BH4" s="247"/>
      <c r="BI4" s="247"/>
      <c r="BJ4" s="247"/>
      <c r="BK4" s="247"/>
      <c r="BL4" s="247"/>
      <c r="BM4" s="247"/>
      <c r="BN4" s="247"/>
      <c r="BO4" s="247"/>
    </row>
    <row r="5" spans="1:72">
      <c r="A5" s="122" t="s">
        <v>1586</v>
      </c>
      <c r="B5" s="123" t="s">
        <v>956</v>
      </c>
      <c r="C5" s="123" t="s">
        <v>959</v>
      </c>
      <c r="D5" s="123" t="s">
        <v>961</v>
      </c>
      <c r="E5" s="153" t="s">
        <v>962</v>
      </c>
      <c r="F5" s="122" t="s">
        <v>963</v>
      </c>
      <c r="G5" s="122" t="s">
        <v>964</v>
      </c>
      <c r="H5" s="122" t="s">
        <v>965</v>
      </c>
      <c r="I5" s="122" t="s">
        <v>966</v>
      </c>
      <c r="J5" s="122" t="s">
        <v>967</v>
      </c>
      <c r="K5" s="122" t="s">
        <v>968</v>
      </c>
      <c r="L5" s="122" t="s">
        <v>969</v>
      </c>
      <c r="M5" s="122" t="s">
        <v>970</v>
      </c>
      <c r="N5" s="122" t="s">
        <v>971</v>
      </c>
      <c r="O5" s="122" t="s">
        <v>972</v>
      </c>
      <c r="T5">
        <v>2026</v>
      </c>
      <c r="U5">
        <v>2027</v>
      </c>
      <c r="V5" s="155">
        <v>2028</v>
      </c>
      <c r="W5" s="155">
        <v>2029</v>
      </c>
      <c r="X5" s="155">
        <v>2030</v>
      </c>
      <c r="Y5" s="155">
        <v>2031</v>
      </c>
      <c r="Z5" s="155">
        <v>2032</v>
      </c>
      <c r="AA5" s="155">
        <v>2033</v>
      </c>
      <c r="AB5" s="155">
        <v>2034</v>
      </c>
      <c r="AC5" s="155">
        <v>2035</v>
      </c>
      <c r="AE5" s="155">
        <v>2026</v>
      </c>
      <c r="AF5" s="155">
        <v>2027</v>
      </c>
      <c r="AG5" s="155">
        <v>2028</v>
      </c>
      <c r="AH5" s="155">
        <v>2029</v>
      </c>
      <c r="AI5" s="155">
        <v>2030</v>
      </c>
      <c r="AJ5" s="155">
        <v>2031</v>
      </c>
      <c r="AK5" s="155">
        <v>2032</v>
      </c>
      <c r="AL5" s="155">
        <v>2033</v>
      </c>
      <c r="AM5" s="155">
        <v>2034</v>
      </c>
      <c r="AN5" s="155">
        <v>2035</v>
      </c>
      <c r="AR5" s="155">
        <v>2026</v>
      </c>
      <c r="AS5" s="155">
        <v>2027</v>
      </c>
      <c r="AT5" s="155">
        <v>2028</v>
      </c>
      <c r="AU5" s="155">
        <v>2029</v>
      </c>
      <c r="AV5" s="155">
        <v>2030</v>
      </c>
      <c r="AW5" s="155">
        <v>2031</v>
      </c>
      <c r="AX5" s="155">
        <v>2032</v>
      </c>
      <c r="AY5" s="155">
        <v>2033</v>
      </c>
      <c r="AZ5" s="155">
        <v>2034</v>
      </c>
      <c r="BA5" s="155">
        <v>2035</v>
      </c>
      <c r="BB5" t="s">
        <v>96</v>
      </c>
      <c r="BC5" t="s">
        <v>1593</v>
      </c>
      <c r="BD5" t="s">
        <v>1594</v>
      </c>
      <c r="BE5" s="155" t="s">
        <v>1597</v>
      </c>
      <c r="BF5" s="155">
        <v>2026</v>
      </c>
      <c r="BG5" s="155">
        <v>2027</v>
      </c>
      <c r="BH5" s="155">
        <v>2028</v>
      </c>
      <c r="BI5" s="155">
        <v>2029</v>
      </c>
      <c r="BJ5" s="155">
        <v>2030</v>
      </c>
      <c r="BK5" s="155">
        <v>2031</v>
      </c>
      <c r="BL5" s="155">
        <v>2032</v>
      </c>
      <c r="BM5" s="155">
        <v>2033</v>
      </c>
      <c r="BN5" s="155">
        <v>2034</v>
      </c>
      <c r="BO5" s="155">
        <v>2035</v>
      </c>
      <c r="BP5" t="s">
        <v>12</v>
      </c>
      <c r="BS5" t="s">
        <v>1595</v>
      </c>
      <c r="BT5" t="s">
        <v>1596</v>
      </c>
    </row>
    <row r="6" spans="1:72">
      <c r="A6" s="155" t="s">
        <v>254</v>
      </c>
      <c r="B6" s="155" t="s">
        <v>1294</v>
      </c>
      <c r="C6" s="155" t="s">
        <v>208</v>
      </c>
      <c r="D6" s="155">
        <v>5</v>
      </c>
      <c r="E6" s="189">
        <v>55.26444</v>
      </c>
      <c r="F6" s="67">
        <v>568.50001999999995</v>
      </c>
      <c r="G6" s="67">
        <v>4510.3450400000002</v>
      </c>
      <c r="H6" s="67">
        <v>0</v>
      </c>
      <c r="I6" s="67">
        <v>0</v>
      </c>
      <c r="J6" s="67">
        <v>0</v>
      </c>
      <c r="K6" s="67">
        <v>0</v>
      </c>
      <c r="L6" s="67">
        <v>0</v>
      </c>
      <c r="M6" s="67">
        <v>0</v>
      </c>
      <c r="N6" s="67">
        <v>0</v>
      </c>
      <c r="O6" s="67">
        <v>0</v>
      </c>
      <c r="Q6" s="201" t="s">
        <v>254</v>
      </c>
      <c r="R6" s="201" t="s">
        <v>1294</v>
      </c>
      <c r="S6" s="201" t="s">
        <v>208</v>
      </c>
      <c r="T6" s="76">
        <f>SUM($E6:F7)</f>
        <v>623.76445999999999</v>
      </c>
      <c r="U6" s="76">
        <f>SUM($E6:G7)</f>
        <v>5134.1095000000005</v>
      </c>
      <c r="V6" s="76">
        <f>SUM($E6:H7)</f>
        <v>5134.1095000000005</v>
      </c>
      <c r="W6" s="76">
        <f>SUM($E6:I7)</f>
        <v>5134.1095000000005</v>
      </c>
      <c r="X6" s="76">
        <f>SUM($E6:J7)</f>
        <v>5300.0265000000009</v>
      </c>
      <c r="Y6" s="76">
        <f>SUM($E6:K7)</f>
        <v>5938.1675000000005</v>
      </c>
      <c r="Z6" s="76">
        <f>SUM($E6:L7)</f>
        <v>8481.2865000000002</v>
      </c>
      <c r="AA6" s="76">
        <f>SUM($E6:M7)</f>
        <v>8643.8845000000001</v>
      </c>
      <c r="AB6" s="76">
        <f>SUM($E6:N7)</f>
        <v>8643.8845000000001</v>
      </c>
      <c r="AC6" s="76">
        <f>SUM($E6:O7)</f>
        <v>8643.8845000000001</v>
      </c>
      <c r="AE6" s="76">
        <f>T6*$AE$3^(AE$5-$AE$5)</f>
        <v>623.76445999999999</v>
      </c>
      <c r="AF6" s="76">
        <f t="shared" ref="AF6:AN6" si="0">U6*$AE$3^(AF$5-$AE$5)</f>
        <v>5241.9257994999998</v>
      </c>
      <c r="AG6" s="76">
        <f t="shared" si="0"/>
        <v>5352.0062412894995</v>
      </c>
      <c r="AH6" s="76">
        <f t="shared" si="0"/>
        <v>5464.398372356578</v>
      </c>
      <c r="AI6" s="76">
        <f t="shared" si="0"/>
        <v>5759.4499610551175</v>
      </c>
      <c r="AJ6" s="76">
        <f t="shared" si="0"/>
        <v>6588.4181384230151</v>
      </c>
      <c r="AK6" s="76">
        <f t="shared" si="0"/>
        <v>9607.6281633772123</v>
      </c>
      <c r="AL6" s="76">
        <f t="shared" si="0"/>
        <v>9997.4479054099302</v>
      </c>
      <c r="AM6" s="76">
        <f t="shared" si="0"/>
        <v>10207.394311423537</v>
      </c>
      <c r="AN6" s="76">
        <f t="shared" si="0"/>
        <v>10421.749591963429</v>
      </c>
      <c r="AP6" s="201" t="s">
        <v>254</v>
      </c>
      <c r="AQ6" s="201" t="s">
        <v>208</v>
      </c>
      <c r="AR6" cm="1">
        <f t="array" ref="AR6">_xlfn.IFS($AQ6=$AP$1,$AQ$1*AE6,$AQ6=$AP$2,$AQ$2*AE6,$AQ6=$AP$3,$AQ$3*AE6,$AQ6=$AP$4,$AQ$4*AE6)</f>
        <v>88.133337961232627</v>
      </c>
      <c r="AS6" s="155" cm="1">
        <f t="array" ref="AS6">_xlfn.IFS($AQ6=$AP$1,$AQ$1*AF6,$AQ6=$AP$2,$AQ$2*AF6,$AQ6=$AP$3,$AQ$3*AF6,$AQ6=$AP$4,$AQ$4*AF6)</f>
        <v>740.64562456001102</v>
      </c>
      <c r="AT6" s="155" cm="1">
        <f t="array" ref="AT6">_xlfn.IFS($AQ6=$AP$1,$AQ$1*AG6,$AQ6=$AP$2,$AQ$2*AG6,$AQ6=$AP$3,$AQ$3*AG6,$AQ6=$AP$4,$AQ$4*AG6)</f>
        <v>756.19918267577123</v>
      </c>
      <c r="AU6" s="155" cm="1">
        <f t="array" ref="AU6">_xlfn.IFS($AQ6=$AP$1,$AQ$1*AH6,$AQ6=$AP$2,$AQ$2*AH6,$AQ6=$AP$3,$AQ$3*AH6,$AQ6=$AP$4,$AQ$4*AH6)</f>
        <v>772.07936551196224</v>
      </c>
      <c r="AV6" s="155" cm="1">
        <f t="array" ref="AV6">_xlfn.IFS($AQ6=$AP$1,$AQ$1*AI6,$AQ6=$AP$2,$AQ$2*AI6,$AQ6=$AP$3,$AQ$3*AI6,$AQ6=$AP$4,$AQ$4*AI6)</f>
        <v>813.76798846230952</v>
      </c>
      <c r="AW6" s="155" cm="1">
        <f t="array" ref="AW6">_xlfn.IFS($AQ6=$AP$1,$AQ$1*AJ6,$AQ6=$AP$2,$AQ$2*AJ6,$AQ6=$AP$3,$AQ$3*AJ6,$AQ6=$AP$4,$AQ$4*AJ6)</f>
        <v>930.89510489833083</v>
      </c>
      <c r="AX6" s="155" cm="1">
        <f t="array" ref="AX6">_xlfn.IFS($AQ6=$AP$1,$AQ$1*AK6,$AQ6=$AP$2,$AQ$2*AK6,$AQ6=$AP$3,$AQ$3*AK6,$AQ6=$AP$4,$AQ$4*AK6)</f>
        <v>1357.4873116829717</v>
      </c>
      <c r="AY6" s="155" cm="1">
        <f t="array" ref="AY6">_xlfn.IFS($AQ6=$AP$1,$AQ$1*AL6,$AQ6=$AP$2,$AQ$2*AL6,$AQ6=$AP$3,$AQ$3*AL6,$AQ6=$AP$4,$AQ$4*AL6)</f>
        <v>1412.5659788268645</v>
      </c>
      <c r="AZ6" s="155" cm="1">
        <f t="array" ref="AZ6">_xlfn.IFS($AQ6=$AP$1,$AQ$1*AM6,$AQ6=$AP$2,$AQ$2*AM6,$AQ6=$AP$3,$AQ$3*AM6,$AQ6=$AP$4,$AQ$4*AM6)</f>
        <v>1442.2298643822285</v>
      </c>
      <c r="BA6" s="155" cm="1">
        <f t="array" ref="BA6">_xlfn.IFS($AQ6=$AP$1,$AQ$1*AN6,$AQ6=$AP$2,$AQ$2*AN6,$AQ6=$AP$3,$AQ$3*AN6,$AQ6=$AP$4,$AQ$4*AN6)</f>
        <v>1472.516691534255</v>
      </c>
      <c r="BB6">
        <f>Table2[[#This Row],[FINAL Project System Capacity (MW)]]</f>
        <v>5</v>
      </c>
      <c r="BC6" t="str">
        <f>Table2[[#This Row],[FN Parent  '#]]</f>
        <v>FN012964</v>
      </c>
      <c r="BD6">
        <f>BB6</f>
        <v>5</v>
      </c>
      <c r="BE6" s="155">
        <f>BD6</f>
        <v>5</v>
      </c>
      <c r="BF6">
        <f>IFERROR(AR6/$BD6,"")</f>
        <v>17.626667592246527</v>
      </c>
      <c r="BG6" s="155">
        <f t="shared" ref="BG6:BO6" si="1">IFERROR(AS6/$BD6,"")</f>
        <v>148.1291249120022</v>
      </c>
      <c r="BH6" s="155">
        <f t="shared" si="1"/>
        <v>151.23983653515424</v>
      </c>
      <c r="BI6" s="155">
        <f t="shared" si="1"/>
        <v>154.41587310239245</v>
      </c>
      <c r="BJ6" s="155">
        <f t="shared" si="1"/>
        <v>162.75359769246191</v>
      </c>
      <c r="BK6" s="155">
        <f t="shared" si="1"/>
        <v>186.17902097966618</v>
      </c>
      <c r="BL6" s="155">
        <f t="shared" si="1"/>
        <v>271.49746233659437</v>
      </c>
      <c r="BM6" s="155">
        <f t="shared" si="1"/>
        <v>282.51319576537287</v>
      </c>
      <c r="BN6" s="155">
        <f t="shared" si="1"/>
        <v>288.44597287644569</v>
      </c>
      <c r="BO6" s="155">
        <f t="shared" si="1"/>
        <v>294.50333830685099</v>
      </c>
      <c r="BP6">
        <f>NPV($BP$2,BF6:BO6)/((1-(1+$BP$2)^-10)/$BP$2)</f>
        <v>180.71178602812807</v>
      </c>
      <c r="BR6" s="206" t="s">
        <v>254</v>
      </c>
      <c r="BS6">
        <f t="shared" ref="BS6:BS37" si="2">SUMIFS($BP$6:$BP$243,$AP$6:$AP$243,$BR6)</f>
        <v>182.99992298483016</v>
      </c>
      <c r="BT6" s="155">
        <f t="shared" ref="BT6:BT37" si="3">SUMIFS($BE$6:$BE$243,$AP$6:$AP$243,$BR6)</f>
        <v>5</v>
      </c>
    </row>
    <row r="7" spans="1:72">
      <c r="A7" s="155" t="s">
        <v>254</v>
      </c>
      <c r="B7" s="155" t="s">
        <v>1294</v>
      </c>
      <c r="C7" s="155" t="s">
        <v>208</v>
      </c>
      <c r="D7" s="155">
        <v>5</v>
      </c>
      <c r="E7" s="189">
        <v>0</v>
      </c>
      <c r="F7" s="67">
        <v>0</v>
      </c>
      <c r="G7" s="67">
        <v>0</v>
      </c>
      <c r="H7" s="67">
        <v>0</v>
      </c>
      <c r="I7" s="67">
        <v>0</v>
      </c>
      <c r="J7" s="67">
        <v>165.917</v>
      </c>
      <c r="K7" s="67">
        <v>638.14099999999996</v>
      </c>
      <c r="L7" s="67">
        <v>2543.1190000000001</v>
      </c>
      <c r="M7" s="67">
        <v>162.59800000000001</v>
      </c>
      <c r="N7" s="67">
        <v>0</v>
      </c>
      <c r="O7" s="67">
        <v>0</v>
      </c>
      <c r="Q7" s="202" t="s">
        <v>254</v>
      </c>
      <c r="R7" s="202" t="s">
        <v>1294</v>
      </c>
      <c r="S7" s="202" t="s">
        <v>208</v>
      </c>
      <c r="U7" s="155"/>
      <c r="V7" s="155"/>
      <c r="W7" s="155"/>
      <c r="X7" s="155"/>
      <c r="Y7" s="155"/>
      <c r="Z7" s="155"/>
      <c r="AA7" s="155"/>
      <c r="AB7" s="155"/>
      <c r="AC7" s="155"/>
      <c r="AE7" s="76">
        <f t="shared" ref="AE7:AE70" si="4">T7*$AE$3^(AE$5-$AE$5)</f>
        <v>0</v>
      </c>
      <c r="AF7" s="76">
        <f t="shared" ref="AF7:AF70" si="5">U7*$AE$3^(AF$5-$AE$5)</f>
        <v>0</v>
      </c>
      <c r="AG7" s="76">
        <f t="shared" ref="AG7:AG70" si="6">V7*$AE$3^(AG$5-$AE$5)</f>
        <v>0</v>
      </c>
      <c r="AH7" s="76">
        <f t="shared" ref="AH7:AH70" si="7">W7*$AE$3^(AH$5-$AE$5)</f>
        <v>0</v>
      </c>
      <c r="AI7" s="76">
        <f t="shared" ref="AI7:AI70" si="8">X7*$AE$3^(AI$5-$AE$5)</f>
        <v>0</v>
      </c>
      <c r="AJ7" s="76">
        <f t="shared" ref="AJ7:AJ70" si="9">Y7*$AE$3^(AJ$5-$AE$5)</f>
        <v>0</v>
      </c>
      <c r="AK7" s="76">
        <f t="shared" ref="AK7:AK70" si="10">Z7*$AE$3^(AK$5-$AE$5)</f>
        <v>0</v>
      </c>
      <c r="AL7" s="76">
        <f t="shared" ref="AL7:AL70" si="11">AA7*$AE$3^(AL$5-$AE$5)</f>
        <v>0</v>
      </c>
      <c r="AM7" s="76">
        <f t="shared" ref="AM7:AM70" si="12">AB7*$AE$3^(AM$5-$AE$5)</f>
        <v>0</v>
      </c>
      <c r="AN7" s="76">
        <f t="shared" ref="AN7:AN70" si="13">AC7*$AE$3^(AN$5-$AE$5)</f>
        <v>0</v>
      </c>
      <c r="AP7" s="202" t="s">
        <v>254</v>
      </c>
      <c r="AQ7" s="202" t="s">
        <v>208</v>
      </c>
      <c r="AR7" s="155" cm="1">
        <f t="array" ref="AR7">_xlfn.IFS($AQ7=$AP$1,$AQ$1*AE7,$AQ7=$AP$2,$AQ$2*AE7,$AQ7=$AP$3,$AQ$3*AE7,$AQ7=$AP$4,$AQ$4*AE7)</f>
        <v>0</v>
      </c>
      <c r="AS7" s="155" cm="1">
        <f t="array" ref="AS7">_xlfn.IFS($AQ7=$AP$1,$AQ$1*AF7,$AQ7=$AP$2,$AQ$2*AF7,$AQ7=$AP$3,$AQ$3*AF7,$AQ7=$AP$4,$AQ$4*AF7)</f>
        <v>0</v>
      </c>
      <c r="AT7" s="155" cm="1">
        <f t="array" ref="AT7">_xlfn.IFS($AQ7=$AP$1,$AQ$1*AG7,$AQ7=$AP$2,$AQ$2*AG7,$AQ7=$AP$3,$AQ$3*AG7,$AQ7=$AP$4,$AQ$4*AG7)</f>
        <v>0</v>
      </c>
      <c r="AU7" s="155" cm="1">
        <f t="array" ref="AU7">_xlfn.IFS($AQ7=$AP$1,$AQ$1*AH7,$AQ7=$AP$2,$AQ$2*AH7,$AQ7=$AP$3,$AQ$3*AH7,$AQ7=$AP$4,$AQ$4*AH7)</f>
        <v>0</v>
      </c>
      <c r="AV7" s="155" cm="1">
        <f t="array" ref="AV7">_xlfn.IFS($AQ7=$AP$1,$AQ$1*AI7,$AQ7=$AP$2,$AQ$2*AI7,$AQ7=$AP$3,$AQ$3*AI7,$AQ7=$AP$4,$AQ$4*AI7)</f>
        <v>0</v>
      </c>
      <c r="AW7" s="155" cm="1">
        <f t="array" ref="AW7">_xlfn.IFS($AQ7=$AP$1,$AQ$1*AJ7,$AQ7=$AP$2,$AQ$2*AJ7,$AQ7=$AP$3,$AQ$3*AJ7,$AQ7=$AP$4,$AQ$4*AJ7)</f>
        <v>0</v>
      </c>
      <c r="AX7" s="155" cm="1">
        <f t="array" ref="AX7">_xlfn.IFS($AQ7=$AP$1,$AQ$1*AK7,$AQ7=$AP$2,$AQ$2*AK7,$AQ7=$AP$3,$AQ$3*AK7,$AQ7=$AP$4,$AQ$4*AK7)</f>
        <v>0</v>
      </c>
      <c r="AY7" s="155" cm="1">
        <f t="array" ref="AY7">_xlfn.IFS($AQ7=$AP$1,$AQ$1*AL7,$AQ7=$AP$2,$AQ$2*AL7,$AQ7=$AP$3,$AQ$3*AL7,$AQ7=$AP$4,$AQ$4*AL7)</f>
        <v>0</v>
      </c>
      <c r="AZ7" s="155" cm="1">
        <f t="array" ref="AZ7">_xlfn.IFS($AQ7=$AP$1,$AQ$1*AM7,$AQ7=$AP$2,$AQ$2*AM7,$AQ7=$AP$3,$AQ$3*AM7,$AQ7=$AP$4,$AQ$4*AM7)</f>
        <v>0</v>
      </c>
      <c r="BA7" s="155" cm="1">
        <f t="array" ref="BA7">_xlfn.IFS($AQ7=$AP$1,$AQ$1*AN7,$AQ7=$AP$2,$AQ$2*AN7,$AQ7=$AP$3,$AQ$3*AN7,$AQ7=$AP$4,$AQ$4*AN7)</f>
        <v>0</v>
      </c>
      <c r="BB7" s="155"/>
      <c r="BC7" s="155" t="str">
        <f>Table2[[#This Row],[FN Parent  '#]]</f>
        <v>FN012964</v>
      </c>
      <c r="BD7" s="155"/>
      <c r="BF7" s="155" t="str">
        <f t="shared" ref="BF7:BF70" si="14">IFERROR(AR7/$BD7,"")</f>
        <v/>
      </c>
      <c r="BG7" s="155" t="str">
        <f t="shared" ref="BG7:BG70" si="15">IFERROR(AS7/$BD7,"")</f>
        <v/>
      </c>
      <c r="BH7" s="155" t="str">
        <f t="shared" ref="BH7:BH70" si="16">IFERROR(AT7/$BD7,"")</f>
        <v/>
      </c>
      <c r="BI7" s="155" t="str">
        <f t="shared" ref="BI7:BI70" si="17">IFERROR(AU7/$BD7,"")</f>
        <v/>
      </c>
      <c r="BJ7" s="155" t="str">
        <f t="shared" ref="BJ7:BJ70" si="18">IFERROR(AV7/$BD7,"")</f>
        <v/>
      </c>
      <c r="BK7" s="155" t="str">
        <f t="shared" ref="BK7:BK70" si="19">IFERROR(AW7/$BD7,"")</f>
        <v/>
      </c>
      <c r="BL7" s="155" t="str">
        <f t="shared" ref="BL7:BL70" si="20">IFERROR(AX7/$BD7,"")</f>
        <v/>
      </c>
      <c r="BM7" s="155" t="str">
        <f t="shared" ref="BM7:BM70" si="21">IFERROR(AY7/$BD7,"")</f>
        <v/>
      </c>
      <c r="BN7" s="155" t="str">
        <f t="shared" ref="BN7:BN70" si="22">IFERROR(AZ7/$BD7,"")</f>
        <v/>
      </c>
      <c r="BO7" s="155" t="str">
        <f t="shared" ref="BO7:BO70" si="23">IFERROR(BA7/$BD7,"")</f>
        <v/>
      </c>
      <c r="BP7" s="155">
        <f t="shared" ref="BP7:BP70" si="24">NPV($BP$2,BF7:BO7)/((1-(1+$BP$2)^-10)/$BP$2)</f>
        <v>0</v>
      </c>
      <c r="BR7" s="206" t="s">
        <v>209</v>
      </c>
      <c r="BS7" s="155">
        <f t="shared" si="2"/>
        <v>210.70819163580771</v>
      </c>
      <c r="BT7" s="155">
        <f t="shared" si="3"/>
        <v>9</v>
      </c>
    </row>
    <row r="8" spans="1:72">
      <c r="A8" s="155" t="s">
        <v>254</v>
      </c>
      <c r="B8" s="155" t="s">
        <v>1294</v>
      </c>
      <c r="C8" s="155" t="s">
        <v>207</v>
      </c>
      <c r="D8" s="155">
        <v>5</v>
      </c>
      <c r="E8" s="189">
        <v>0</v>
      </c>
      <c r="F8" s="67"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514.524</v>
      </c>
      <c r="N8" s="67">
        <v>0</v>
      </c>
      <c r="O8" s="67">
        <v>0</v>
      </c>
      <c r="Q8" s="201" t="s">
        <v>254</v>
      </c>
      <c r="R8" s="201" t="s">
        <v>1294</v>
      </c>
      <c r="S8" s="201" t="s">
        <v>207</v>
      </c>
      <c r="T8" s="76">
        <f>SUM($E8:F8)</f>
        <v>0</v>
      </c>
      <c r="U8" s="76">
        <f>SUM($E8:G8)</f>
        <v>0</v>
      </c>
      <c r="V8" s="76">
        <f>SUM($E8:H8)</f>
        <v>0</v>
      </c>
      <c r="W8" s="76">
        <f>SUM($E8:I8)</f>
        <v>0</v>
      </c>
      <c r="X8" s="76">
        <f>SUM($E8:J8)</f>
        <v>0</v>
      </c>
      <c r="Y8" s="76">
        <f>SUM($E8:K8)</f>
        <v>0</v>
      </c>
      <c r="Z8" s="76">
        <f>SUM($E8:L8)</f>
        <v>0</v>
      </c>
      <c r="AA8" s="76">
        <f>SUM($E8:M8)</f>
        <v>514.524</v>
      </c>
      <c r="AB8" s="76">
        <f>SUM($E8:N8)</f>
        <v>514.524</v>
      </c>
      <c r="AC8" s="76">
        <f>SUM($E8:O8)</f>
        <v>514.524</v>
      </c>
      <c r="AE8" s="76">
        <f t="shared" si="4"/>
        <v>0</v>
      </c>
      <c r="AF8" s="76">
        <f t="shared" si="5"/>
        <v>0</v>
      </c>
      <c r="AG8" s="76">
        <f t="shared" si="6"/>
        <v>0</v>
      </c>
      <c r="AH8" s="76">
        <f t="shared" si="7"/>
        <v>0</v>
      </c>
      <c r="AI8" s="76">
        <f t="shared" si="8"/>
        <v>0</v>
      </c>
      <c r="AJ8" s="76">
        <f t="shared" si="9"/>
        <v>0</v>
      </c>
      <c r="AK8" s="76">
        <f t="shared" si="10"/>
        <v>0</v>
      </c>
      <c r="AL8" s="76">
        <f t="shared" si="11"/>
        <v>595.09435671926644</v>
      </c>
      <c r="AM8" s="76">
        <f t="shared" si="12"/>
        <v>607.59133821037096</v>
      </c>
      <c r="AN8" s="76">
        <f t="shared" si="13"/>
        <v>620.35075631278869</v>
      </c>
      <c r="AP8" s="201" t="s">
        <v>254</v>
      </c>
      <c r="AQ8" s="201" t="s">
        <v>207</v>
      </c>
      <c r="AR8" s="155" cm="1">
        <f t="array" ref="AR8">_xlfn.IFS($AQ8=$AP$1,$AQ$1*AE8,$AQ8=$AP$2,$AQ$2*AE8,$AQ8=$AP$3,$AQ$3*AE8,$AQ8=$AP$4,$AQ$4*AE8)</f>
        <v>0</v>
      </c>
      <c r="AS8" s="155" cm="1">
        <f t="array" ref="AS8">_xlfn.IFS($AQ8=$AP$1,$AQ$1*AF8,$AQ8=$AP$2,$AQ$2*AF8,$AQ8=$AP$3,$AQ$3*AF8,$AQ8=$AP$4,$AQ$4*AF8)</f>
        <v>0</v>
      </c>
      <c r="AT8" s="155" cm="1">
        <f t="array" ref="AT8">_xlfn.IFS($AQ8=$AP$1,$AQ$1*AG8,$AQ8=$AP$2,$AQ$2*AG8,$AQ8=$AP$3,$AQ$3*AG8,$AQ8=$AP$4,$AQ$4*AG8)</f>
        <v>0</v>
      </c>
      <c r="AU8" s="155" cm="1">
        <f t="array" ref="AU8">_xlfn.IFS($AQ8=$AP$1,$AQ$1*AH8,$AQ8=$AP$2,$AQ$2*AH8,$AQ8=$AP$3,$AQ$3*AH8,$AQ8=$AP$4,$AQ$4*AH8)</f>
        <v>0</v>
      </c>
      <c r="AV8" s="155" cm="1">
        <f t="array" ref="AV8">_xlfn.IFS($AQ8=$AP$1,$AQ$1*AI8,$AQ8=$AP$2,$AQ$2*AI8,$AQ8=$AP$3,$AQ$3*AI8,$AQ8=$AP$4,$AQ$4*AI8)</f>
        <v>0</v>
      </c>
      <c r="AW8" s="155" cm="1">
        <f t="array" ref="AW8">_xlfn.IFS($AQ8=$AP$1,$AQ$1*AJ8,$AQ8=$AP$2,$AQ$2*AJ8,$AQ8=$AP$3,$AQ$3*AJ8,$AQ8=$AP$4,$AQ$4*AJ8)</f>
        <v>0</v>
      </c>
      <c r="AX8" s="155" cm="1">
        <f t="array" ref="AX8">_xlfn.IFS($AQ8=$AP$1,$AQ$1*AK8,$AQ8=$AP$2,$AQ$2*AK8,$AQ8=$AP$3,$AQ$3*AK8,$AQ8=$AP$4,$AQ$4*AK8)</f>
        <v>0</v>
      </c>
      <c r="AY8" s="155" cm="1">
        <f t="array" ref="AY8">_xlfn.IFS($AQ8=$AP$1,$AQ$1*AL8,$AQ8=$AP$2,$AQ$2*AL8,$AQ8=$AP$3,$AQ$3*AL8,$AQ8=$AP$4,$AQ$4*AL8)</f>
        <v>47.959896689075471</v>
      </c>
      <c r="AZ8" s="155" cm="1">
        <f t="array" ref="AZ8">_xlfn.IFS($AQ8=$AP$1,$AQ$1*AM8,$AQ8=$AP$2,$AQ$2*AM8,$AQ8=$AP$3,$AQ$3*AM8,$AQ8=$AP$4,$AQ$4*AM8)</f>
        <v>48.967054519546046</v>
      </c>
      <c r="BA8" s="155" cm="1">
        <f t="array" ref="BA8">_xlfn.IFS($AQ8=$AP$1,$AQ$1*AN8,$AQ8=$AP$2,$AQ$2*AN8,$AQ8=$AP$3,$AQ$3*AN8,$AQ8=$AP$4,$AQ$4*AN8)</f>
        <v>49.995362664456508</v>
      </c>
      <c r="BB8" s="155">
        <f>Table2[[#This Row],[FINAL Project System Capacity (MW)]]</f>
        <v>5</v>
      </c>
      <c r="BC8" s="155" t="str">
        <f>Table2[[#This Row],[FN Parent  '#]]</f>
        <v>FN012964</v>
      </c>
      <c r="BD8" s="155">
        <f t="shared" ref="BD8:BD70" si="25">BB8</f>
        <v>5</v>
      </c>
      <c r="BF8" s="155">
        <f t="shared" si="14"/>
        <v>0</v>
      </c>
      <c r="BG8" s="155">
        <f t="shared" si="15"/>
        <v>0</v>
      </c>
      <c r="BH8" s="155">
        <f t="shared" si="16"/>
        <v>0</v>
      </c>
      <c r="BI8" s="155">
        <f t="shared" si="17"/>
        <v>0</v>
      </c>
      <c r="BJ8" s="155">
        <f t="shared" si="18"/>
        <v>0</v>
      </c>
      <c r="BK8" s="155">
        <f t="shared" si="19"/>
        <v>0</v>
      </c>
      <c r="BL8" s="155">
        <f t="shared" si="20"/>
        <v>0</v>
      </c>
      <c r="BM8" s="155">
        <f t="shared" si="21"/>
        <v>9.5919793378150935</v>
      </c>
      <c r="BN8" s="155">
        <f t="shared" si="22"/>
        <v>9.7934109039092085</v>
      </c>
      <c r="BO8" s="155">
        <f t="shared" si="23"/>
        <v>9.9990725328913008</v>
      </c>
      <c r="BP8" s="155">
        <f t="shared" si="24"/>
        <v>2.2881369567020928</v>
      </c>
      <c r="BR8" s="206" t="s">
        <v>211</v>
      </c>
      <c r="BS8" s="155">
        <f t="shared" si="2"/>
        <v>284.39595491482328</v>
      </c>
      <c r="BT8" s="155">
        <f t="shared" si="3"/>
        <v>9</v>
      </c>
    </row>
    <row r="9" spans="1:72">
      <c r="A9" s="155" t="s">
        <v>209</v>
      </c>
      <c r="B9" s="155" t="s">
        <v>1000</v>
      </c>
      <c r="C9" s="155" t="s">
        <v>208</v>
      </c>
      <c r="D9" s="155">
        <v>9</v>
      </c>
      <c r="E9" s="189">
        <v>32.100320000000004</v>
      </c>
      <c r="F9" s="67">
        <v>5.9917999999999996</v>
      </c>
      <c r="G9" s="67">
        <v>9.1395599999999995</v>
      </c>
      <c r="H9" s="67">
        <v>244.38677000000001</v>
      </c>
      <c r="I9" s="67">
        <v>57.120690000000003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v>0</v>
      </c>
      <c r="Q9" s="202" t="s">
        <v>209</v>
      </c>
      <c r="R9" s="202" t="s">
        <v>1000</v>
      </c>
      <c r="S9" s="202" t="s">
        <v>208</v>
      </c>
      <c r="T9" s="76">
        <f>SUM($E9:F10)</f>
        <v>131.54848999999999</v>
      </c>
      <c r="U9" s="76">
        <f>SUM($E9:G10)</f>
        <v>509.04136000000005</v>
      </c>
      <c r="V9" s="76">
        <f>SUM($E9:H10)</f>
        <v>831.73169000000007</v>
      </c>
      <c r="W9" s="76">
        <f>SUM($E9:I10)</f>
        <v>935.15008</v>
      </c>
      <c r="X9" s="76">
        <f>SUM($E9:J10)</f>
        <v>935.15008</v>
      </c>
      <c r="Y9" s="76">
        <f>SUM($E9:K10)</f>
        <v>935.15008</v>
      </c>
      <c r="Z9" s="76">
        <f>SUM($E9:L10)</f>
        <v>935.15008</v>
      </c>
      <c r="AA9" s="76">
        <f>SUM($E9:M10)</f>
        <v>935.15008</v>
      </c>
      <c r="AB9" s="76">
        <f>SUM($E9:N10)</f>
        <v>935.15008</v>
      </c>
      <c r="AC9" s="76">
        <f>SUM($E9:O10)</f>
        <v>935.15008</v>
      </c>
      <c r="AE9" s="76">
        <f t="shared" si="4"/>
        <v>131.54848999999999</v>
      </c>
      <c r="AF9" s="76">
        <f t="shared" si="5"/>
        <v>519.73122855999998</v>
      </c>
      <c r="AG9" s="76">
        <f t="shared" si="6"/>
        <v>867.03121465528989</v>
      </c>
      <c r="AH9" s="76">
        <f t="shared" si="7"/>
        <v>995.31039902073053</v>
      </c>
      <c r="AI9" s="76">
        <f t="shared" si="8"/>
        <v>1016.2119174001657</v>
      </c>
      <c r="AJ9" s="76">
        <f t="shared" si="9"/>
        <v>1037.5523676655691</v>
      </c>
      <c r="AK9" s="76">
        <f t="shared" si="10"/>
        <v>1059.340967386546</v>
      </c>
      <c r="AL9" s="76">
        <f t="shared" si="11"/>
        <v>1081.5871277016633</v>
      </c>
      <c r="AM9" s="76">
        <f t="shared" si="12"/>
        <v>1104.300457383398</v>
      </c>
      <c r="AN9" s="76">
        <f t="shared" si="13"/>
        <v>1127.4907669884492</v>
      </c>
      <c r="AP9" s="202" t="s">
        <v>209</v>
      </c>
      <c r="AQ9" s="202" t="s">
        <v>208</v>
      </c>
      <c r="AR9" s="155" cm="1">
        <f t="array" ref="AR9">_xlfn.IFS($AQ9=$AP$1,$AQ$1*AE9,$AQ9=$AP$2,$AQ$2*AE9,$AQ9=$AP$3,$AQ$3*AE9,$AQ9=$AP$4,$AQ$4*AE9)</f>
        <v>18.586835690285767</v>
      </c>
      <c r="AS9" s="155" cm="1">
        <f t="array" ref="AS9">_xlfn.IFS($AQ9=$AP$1,$AQ$1*AF9,$AQ9=$AP$2,$AQ$2*AF9,$AQ9=$AP$3,$AQ$3*AF9,$AQ9=$AP$4,$AQ$4*AF9)</f>
        <v>73.434206263827718</v>
      </c>
      <c r="AT9" s="155" cm="1">
        <f t="array" ref="AT9">_xlfn.IFS($AQ9=$AP$1,$AQ$1*AG9,$AQ9=$AP$2,$AQ$2*AG9,$AQ9=$AP$3,$AQ$3*AG9,$AQ9=$AP$4,$AQ$4*AG9)</f>
        <v>122.50514411185385</v>
      </c>
      <c r="AU9" s="155" cm="1">
        <f t="array" ref="AU9">_xlfn.IFS($AQ9=$AP$1,$AQ$1*AH9,$AQ9=$AP$2,$AQ$2*AH9,$AQ9=$AP$3,$AQ$3*AH9,$AQ9=$AP$4,$AQ$4*AH9)</f>
        <v>140.63005092214351</v>
      </c>
      <c r="AV9" s="155" cm="1">
        <f t="array" ref="AV9">_xlfn.IFS($AQ9=$AP$1,$AQ$1*AI9,$AQ9=$AP$2,$AQ$2*AI9,$AQ9=$AP$3,$AQ$3*AI9,$AQ9=$AP$4,$AQ$4*AI9)</f>
        <v>143.5832819915085</v>
      </c>
      <c r="AW9" s="155" cm="1">
        <f t="array" ref="AW9">_xlfn.IFS($AQ9=$AP$1,$AQ$1*AJ9,$AQ9=$AP$2,$AQ$2*AJ9,$AQ9=$AP$3,$AQ$3*AJ9,$AQ9=$AP$4,$AQ$4*AJ9)</f>
        <v>146.59853091333017</v>
      </c>
      <c r="AX9" s="155" cm="1">
        <f t="array" ref="AX9">_xlfn.IFS($AQ9=$AP$1,$AQ$1*AK9,$AQ9=$AP$2,$AQ$2*AK9,$AQ9=$AP$3,$AQ$3*AK9,$AQ9=$AP$4,$AQ$4*AK9)</f>
        <v>149.67710006251008</v>
      </c>
      <c r="AY9" s="155" cm="1">
        <f t="array" ref="AY9">_xlfn.IFS($AQ9=$AP$1,$AQ$1*AL9,$AQ9=$AP$2,$AQ$2*AL9,$AQ9=$AP$3,$AQ$3*AL9,$AQ9=$AP$4,$AQ$4*AL9)</f>
        <v>152.82031916382277</v>
      </c>
      <c r="AZ9" s="155" cm="1">
        <f t="array" ref="AZ9">_xlfn.IFS($AQ9=$AP$1,$AQ$1*AM9,$AQ9=$AP$2,$AQ$2*AM9,$AQ9=$AP$3,$AQ$3*AM9,$AQ9=$AP$4,$AQ$4*AM9)</f>
        <v>156.02954586626302</v>
      </c>
      <c r="BA9" s="155" cm="1">
        <f t="array" ref="BA9">_xlfn.IFS($AQ9=$AP$1,$AQ$1*AN9,$AQ9=$AP$2,$AQ$2*AN9,$AQ9=$AP$3,$AQ$3*AN9,$AQ9=$AP$4,$AQ$4*AN9)</f>
        <v>159.30616632945453</v>
      </c>
      <c r="BB9" s="155">
        <f>Table2[[#This Row],[FINAL Project System Capacity (MW)]]</f>
        <v>9</v>
      </c>
      <c r="BC9" s="155" t="str">
        <f>Table2[[#This Row],[FN Parent  '#]]</f>
        <v>FN005818</v>
      </c>
      <c r="BD9" s="155">
        <f t="shared" si="25"/>
        <v>9</v>
      </c>
      <c r="BE9" s="155">
        <f t="shared" ref="BE9:BE69" si="26">BD9</f>
        <v>9</v>
      </c>
      <c r="BF9" s="155">
        <f t="shared" si="14"/>
        <v>2.0652039655873073</v>
      </c>
      <c r="BG9" s="155">
        <f t="shared" si="15"/>
        <v>8.1593562515364138</v>
      </c>
      <c r="BH9" s="155">
        <f t="shared" si="16"/>
        <v>13.611682679094873</v>
      </c>
      <c r="BI9" s="155">
        <f t="shared" si="17"/>
        <v>15.625561213571501</v>
      </c>
      <c r="BJ9" s="155">
        <f t="shared" si="18"/>
        <v>15.9536979990565</v>
      </c>
      <c r="BK9" s="155">
        <f t="shared" si="19"/>
        <v>16.288725657036686</v>
      </c>
      <c r="BL9" s="155">
        <f t="shared" si="20"/>
        <v>16.630788895834453</v>
      </c>
      <c r="BM9" s="155">
        <f t="shared" si="21"/>
        <v>16.980035462646974</v>
      </c>
      <c r="BN9" s="155">
        <f t="shared" si="22"/>
        <v>17.336616207362557</v>
      </c>
      <c r="BO9" s="155">
        <f t="shared" si="23"/>
        <v>17.70068514771717</v>
      </c>
      <c r="BP9" s="155">
        <f t="shared" si="24"/>
        <v>13.25375914139101</v>
      </c>
      <c r="BR9" s="206" t="s">
        <v>213</v>
      </c>
      <c r="BS9" s="155">
        <f t="shared" si="2"/>
        <v>456.7250619862798</v>
      </c>
      <c r="BT9" s="155">
        <f t="shared" si="3"/>
        <v>9</v>
      </c>
    </row>
    <row r="10" spans="1:72">
      <c r="A10" s="155" t="s">
        <v>209</v>
      </c>
      <c r="B10" s="155" t="s">
        <v>1000</v>
      </c>
      <c r="C10" s="155" t="s">
        <v>208</v>
      </c>
      <c r="D10" s="155">
        <v>9</v>
      </c>
      <c r="E10" s="189">
        <v>42.230040000000002</v>
      </c>
      <c r="F10" s="67">
        <v>51.226329999999997</v>
      </c>
      <c r="G10" s="67">
        <v>368.35331000000002</v>
      </c>
      <c r="H10" s="67">
        <v>78.303560000000004</v>
      </c>
      <c r="I10" s="67">
        <v>46.297699999999999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v>0</v>
      </c>
      <c r="Q10" s="201" t="s">
        <v>209</v>
      </c>
      <c r="R10" s="201" t="s">
        <v>1000</v>
      </c>
      <c r="S10" s="201" t="s">
        <v>208</v>
      </c>
      <c r="U10" s="155"/>
      <c r="V10" s="155"/>
      <c r="W10" s="155"/>
      <c r="X10" s="155"/>
      <c r="Y10" s="155"/>
      <c r="Z10" s="155"/>
      <c r="AA10" s="155"/>
      <c r="AB10" s="155"/>
      <c r="AC10" s="155"/>
      <c r="AE10" s="76">
        <f t="shared" si="4"/>
        <v>0</v>
      </c>
      <c r="AF10" s="76">
        <f t="shared" si="5"/>
        <v>0</v>
      </c>
      <c r="AG10" s="76">
        <f t="shared" si="6"/>
        <v>0</v>
      </c>
      <c r="AH10" s="76">
        <f t="shared" si="7"/>
        <v>0</v>
      </c>
      <c r="AI10" s="76">
        <f t="shared" si="8"/>
        <v>0</v>
      </c>
      <c r="AJ10" s="76">
        <f t="shared" si="9"/>
        <v>0</v>
      </c>
      <c r="AK10" s="76">
        <f t="shared" si="10"/>
        <v>0</v>
      </c>
      <c r="AL10" s="76">
        <f t="shared" si="11"/>
        <v>0</v>
      </c>
      <c r="AM10" s="76">
        <f t="shared" si="12"/>
        <v>0</v>
      </c>
      <c r="AN10" s="76">
        <f t="shared" si="13"/>
        <v>0</v>
      </c>
      <c r="AP10" s="201" t="s">
        <v>209</v>
      </c>
      <c r="AQ10" s="201" t="s">
        <v>208</v>
      </c>
      <c r="AR10" s="155" cm="1">
        <f t="array" ref="AR10">_xlfn.IFS($AQ10=$AP$1,$AQ$1*AE10,$AQ10=$AP$2,$AQ$2*AE10,$AQ10=$AP$3,$AQ$3*AE10,$AQ10=$AP$4,$AQ$4*AE10)</f>
        <v>0</v>
      </c>
      <c r="AS10" s="155" cm="1">
        <f t="array" ref="AS10">_xlfn.IFS($AQ10=$AP$1,$AQ$1*AF10,$AQ10=$AP$2,$AQ$2*AF10,$AQ10=$AP$3,$AQ$3*AF10,$AQ10=$AP$4,$AQ$4*AF10)</f>
        <v>0</v>
      </c>
      <c r="AT10" s="155" cm="1">
        <f t="array" ref="AT10">_xlfn.IFS($AQ10=$AP$1,$AQ$1*AG10,$AQ10=$AP$2,$AQ$2*AG10,$AQ10=$AP$3,$AQ$3*AG10,$AQ10=$AP$4,$AQ$4*AG10)</f>
        <v>0</v>
      </c>
      <c r="AU10" s="155" cm="1">
        <f t="array" ref="AU10">_xlfn.IFS($AQ10=$AP$1,$AQ$1*AH10,$AQ10=$AP$2,$AQ$2*AH10,$AQ10=$AP$3,$AQ$3*AH10,$AQ10=$AP$4,$AQ$4*AH10)</f>
        <v>0</v>
      </c>
      <c r="AV10" s="155" cm="1">
        <f t="array" ref="AV10">_xlfn.IFS($AQ10=$AP$1,$AQ$1*AI10,$AQ10=$AP$2,$AQ$2*AI10,$AQ10=$AP$3,$AQ$3*AI10,$AQ10=$AP$4,$AQ$4*AI10)</f>
        <v>0</v>
      </c>
      <c r="AW10" s="155" cm="1">
        <f t="array" ref="AW10">_xlfn.IFS($AQ10=$AP$1,$AQ$1*AJ10,$AQ10=$AP$2,$AQ$2*AJ10,$AQ10=$AP$3,$AQ$3*AJ10,$AQ10=$AP$4,$AQ$4*AJ10)</f>
        <v>0</v>
      </c>
      <c r="AX10" s="155" cm="1">
        <f t="array" ref="AX10">_xlfn.IFS($AQ10=$AP$1,$AQ$1*AK10,$AQ10=$AP$2,$AQ$2*AK10,$AQ10=$AP$3,$AQ$3*AK10,$AQ10=$AP$4,$AQ$4*AK10)</f>
        <v>0</v>
      </c>
      <c r="AY10" s="155" cm="1">
        <f t="array" ref="AY10">_xlfn.IFS($AQ10=$AP$1,$AQ$1*AL10,$AQ10=$AP$2,$AQ$2*AL10,$AQ10=$AP$3,$AQ$3*AL10,$AQ10=$AP$4,$AQ$4*AL10)</f>
        <v>0</v>
      </c>
      <c r="AZ10" s="155" cm="1">
        <f t="array" ref="AZ10">_xlfn.IFS($AQ10=$AP$1,$AQ$1*AM10,$AQ10=$AP$2,$AQ$2*AM10,$AQ10=$AP$3,$AQ$3*AM10,$AQ10=$AP$4,$AQ$4*AM10)</f>
        <v>0</v>
      </c>
      <c r="BA10" s="155" cm="1">
        <f t="array" ref="BA10">_xlfn.IFS($AQ10=$AP$1,$AQ$1*AN10,$AQ10=$AP$2,$AQ$2*AN10,$AQ10=$AP$3,$AQ$3*AN10,$AQ10=$AP$4,$AQ$4*AN10)</f>
        <v>0</v>
      </c>
      <c r="BB10" s="155"/>
      <c r="BC10" s="155" t="str">
        <f>Table2[[#This Row],[FN Parent  '#]]</f>
        <v>FN005818</v>
      </c>
      <c r="BD10" s="155">
        <f t="shared" si="25"/>
        <v>0</v>
      </c>
      <c r="BF10" s="155" t="str">
        <f t="shared" si="14"/>
        <v/>
      </c>
      <c r="BG10" s="155" t="str">
        <f t="shared" si="15"/>
        <v/>
      </c>
      <c r="BH10" s="155" t="str">
        <f t="shared" si="16"/>
        <v/>
      </c>
      <c r="BI10" s="155" t="str">
        <f t="shared" si="17"/>
        <v/>
      </c>
      <c r="BJ10" s="155" t="str">
        <f t="shared" si="18"/>
        <v/>
      </c>
      <c r="BK10" s="155" t="str">
        <f t="shared" si="19"/>
        <v/>
      </c>
      <c r="BL10" s="155" t="str">
        <f t="shared" si="20"/>
        <v/>
      </c>
      <c r="BM10" s="155" t="str">
        <f t="shared" si="21"/>
        <v/>
      </c>
      <c r="BN10" s="155" t="str">
        <f t="shared" si="22"/>
        <v/>
      </c>
      <c r="BO10" s="155" t="str">
        <f t="shared" si="23"/>
        <v/>
      </c>
      <c r="BP10" s="155">
        <f t="shared" si="24"/>
        <v>0</v>
      </c>
      <c r="BR10" s="206" t="s">
        <v>215</v>
      </c>
      <c r="BS10" s="155">
        <f t="shared" si="2"/>
        <v>66.054113599171501</v>
      </c>
      <c r="BT10" s="155">
        <f t="shared" si="3"/>
        <v>9</v>
      </c>
    </row>
    <row r="11" spans="1:72">
      <c r="A11" s="155" t="s">
        <v>209</v>
      </c>
      <c r="B11" s="155" t="s">
        <v>1000</v>
      </c>
      <c r="C11" s="155" t="s">
        <v>207</v>
      </c>
      <c r="D11" s="155">
        <v>9</v>
      </c>
      <c r="E11" s="189">
        <v>6816.4575599999998</v>
      </c>
      <c r="F11" s="67">
        <v>308.15928000000002</v>
      </c>
      <c r="G11" s="67">
        <v>1889.39328</v>
      </c>
      <c r="H11" s="67">
        <v>4032.2507599999999</v>
      </c>
      <c r="I11" s="67">
        <v>7458.5022900000004</v>
      </c>
      <c r="J11" s="67">
        <v>6118.6821300000001</v>
      </c>
      <c r="K11" s="67">
        <v>524.19281000000001</v>
      </c>
      <c r="L11" s="67">
        <v>0</v>
      </c>
      <c r="M11" s="67">
        <v>0</v>
      </c>
      <c r="N11" s="67">
        <v>0</v>
      </c>
      <c r="O11" s="67">
        <v>0</v>
      </c>
      <c r="Q11" s="202" t="s">
        <v>209</v>
      </c>
      <c r="R11" s="202" t="s">
        <v>1000</v>
      </c>
      <c r="S11" s="202" t="s">
        <v>207</v>
      </c>
      <c r="T11" s="76">
        <f>SUM($E11:F11)</f>
        <v>7124.6168399999997</v>
      </c>
      <c r="U11" s="76">
        <f>SUM($E11:G11)</f>
        <v>9014.010119999999</v>
      </c>
      <c r="V11" s="76">
        <f>SUM($E11:H11)</f>
        <v>13046.260879999998</v>
      </c>
      <c r="W11" s="76">
        <f>SUM($E11:I11)</f>
        <v>20504.763169999998</v>
      </c>
      <c r="X11" s="76">
        <f>SUM($E11:J11)</f>
        <v>26623.445299999999</v>
      </c>
      <c r="Y11" s="76">
        <f>SUM($E11:K11)</f>
        <v>27147.63811</v>
      </c>
      <c r="Z11" s="76">
        <f>SUM($E11:L11)</f>
        <v>27147.63811</v>
      </c>
      <c r="AA11" s="76">
        <f>SUM($E11:M11)</f>
        <v>27147.63811</v>
      </c>
      <c r="AB11" s="76">
        <f>SUM($E11:N11)</f>
        <v>27147.63811</v>
      </c>
      <c r="AC11" s="76">
        <f>SUM($E11:O11)</f>
        <v>27147.63811</v>
      </c>
      <c r="AE11" s="76">
        <f t="shared" si="4"/>
        <v>7124.6168399999997</v>
      </c>
      <c r="AF11" s="76">
        <f t="shared" si="5"/>
        <v>9203.3043325199978</v>
      </c>
      <c r="AG11" s="76">
        <f t="shared" si="6"/>
        <v>13599.957238008074</v>
      </c>
      <c r="AH11" s="76">
        <f t="shared" si="7"/>
        <v>21823.880945995617</v>
      </c>
      <c r="AI11" s="76">
        <f t="shared" si="8"/>
        <v>28931.251758125745</v>
      </c>
      <c r="AJ11" s="76">
        <f t="shared" si="9"/>
        <v>30120.401847753179</v>
      </c>
      <c r="AK11" s="76">
        <f t="shared" si="10"/>
        <v>30752.930286555995</v>
      </c>
      <c r="AL11" s="76">
        <f t="shared" si="11"/>
        <v>31398.741822573666</v>
      </c>
      <c r="AM11" s="76">
        <f t="shared" si="12"/>
        <v>32058.11540084771</v>
      </c>
      <c r="AN11" s="76">
        <f t="shared" si="13"/>
        <v>32731.335824265505</v>
      </c>
      <c r="AP11" s="202" t="s">
        <v>209</v>
      </c>
      <c r="AQ11" s="202" t="s">
        <v>207</v>
      </c>
      <c r="AR11" s="155" cm="1">
        <f t="array" ref="AR11">_xlfn.IFS($AQ11=$AP$1,$AQ$1*AE11,$AQ11=$AP$2,$AQ$2*AE11,$AQ11=$AP$3,$AQ$3*AE11,$AQ11=$AP$4,$AQ$4*AE11)</f>
        <v>574.18774642630513</v>
      </c>
      <c r="AS11" s="155" cm="1">
        <f t="array" ref="AS11">_xlfn.IFS($AQ11=$AP$1,$AQ$1*AF11,$AQ11=$AP$2,$AQ$2*AF11,$AQ11=$AP$3,$AQ$3*AF11,$AQ11=$AP$4,$AQ$4*AF11)</f>
        <v>741.71351148269014</v>
      </c>
      <c r="AT11" s="155" cm="1">
        <f t="array" ref="AT11">_xlfn.IFS($AQ11=$AP$1,$AQ$1*AG11,$AQ11=$AP$2,$AQ$2*AG11,$AQ11=$AP$3,$AQ$3*AG11,$AQ11=$AP$4,$AQ$4*AG11)</f>
        <v>1096.0489487861319</v>
      </c>
      <c r="AU11" s="155" cm="1">
        <f t="array" ref="AU11">_xlfn.IFS($AQ11=$AP$1,$AQ$1*AH11,$AQ11=$AP$2,$AQ$2*AH11,$AQ11=$AP$3,$AQ$3*AH11,$AQ11=$AP$4,$AQ$4*AH11)</f>
        <v>1758.8321309159981</v>
      </c>
      <c r="AV11" s="155" cm="1">
        <f t="array" ref="AV11">_xlfn.IFS($AQ11=$AP$1,$AQ$1*AI11,$AQ11=$AP$2,$AQ$2*AI11,$AQ11=$AP$3,$AQ$3*AI11,$AQ11=$AP$4,$AQ$4*AI11)</f>
        <v>2331.6299839487647</v>
      </c>
      <c r="AW11" s="155" cm="1">
        <f t="array" ref="AW11">_xlfn.IFS($AQ11=$AP$1,$AQ$1*AJ11,$AQ11=$AP$2,$AQ$2*AJ11,$AQ11=$AP$3,$AQ$3*AJ11,$AQ11=$AP$4,$AQ$4*AJ11)</f>
        <v>2427.4660724654655</v>
      </c>
      <c r="AX11" s="155" cm="1">
        <f t="array" ref="AX11">_xlfn.IFS($AQ11=$AP$1,$AQ$1*AK11,$AQ11=$AP$2,$AQ$2*AK11,$AQ11=$AP$3,$AQ$3*AK11,$AQ11=$AP$4,$AQ$4*AK11)</f>
        <v>2478.4428599872399</v>
      </c>
      <c r="AY11" s="155" cm="1">
        <f t="array" ref="AY11">_xlfn.IFS($AQ11=$AP$1,$AQ$1*AL11,$AQ11=$AP$2,$AQ$2*AL11,$AQ11=$AP$3,$AQ$3*AL11,$AQ11=$AP$4,$AQ$4*AL11)</f>
        <v>2530.4901600469716</v>
      </c>
      <c r="AZ11" s="155" cm="1">
        <f t="array" ref="AZ11">_xlfn.IFS($AQ11=$AP$1,$AQ$1*AM11,$AQ11=$AP$2,$AQ$2*AM11,$AQ11=$AP$3,$AQ$3*AM11,$AQ11=$AP$4,$AQ$4*AM11)</f>
        <v>2583.6304534079577</v>
      </c>
      <c r="BA11" s="155" cm="1">
        <f t="array" ref="BA11">_xlfn.IFS($AQ11=$AP$1,$AQ$1*AN11,$AQ11=$AP$2,$AQ$2*AN11,$AQ11=$AP$3,$AQ$3*AN11,$AQ11=$AP$4,$AQ$4*AN11)</f>
        <v>2637.8866929295245</v>
      </c>
      <c r="BB11" s="155">
        <f>Table2[[#This Row],[FINAL Project System Capacity (MW)]]</f>
        <v>9</v>
      </c>
      <c r="BC11" s="155" t="str">
        <f>Table2[[#This Row],[FN Parent  '#]]</f>
        <v>FN005818</v>
      </c>
      <c r="BD11" s="155">
        <f t="shared" si="25"/>
        <v>9</v>
      </c>
      <c r="BF11" s="155">
        <f t="shared" si="14"/>
        <v>63.79863849181168</v>
      </c>
      <c r="BG11" s="155">
        <f t="shared" si="15"/>
        <v>82.412612386965577</v>
      </c>
      <c r="BH11" s="155">
        <f t="shared" si="16"/>
        <v>121.78321653179243</v>
      </c>
      <c r="BI11" s="155">
        <f t="shared" si="17"/>
        <v>195.42579232399979</v>
      </c>
      <c r="BJ11" s="155">
        <f t="shared" si="18"/>
        <v>259.06999821652943</v>
      </c>
      <c r="BK11" s="155">
        <f t="shared" si="19"/>
        <v>269.71845249616285</v>
      </c>
      <c r="BL11" s="155">
        <f t="shared" si="20"/>
        <v>275.38253999858222</v>
      </c>
      <c r="BM11" s="155">
        <f t="shared" si="21"/>
        <v>281.16557333855241</v>
      </c>
      <c r="BN11" s="155">
        <f t="shared" si="22"/>
        <v>287.07005037866196</v>
      </c>
      <c r="BO11" s="155">
        <f t="shared" si="23"/>
        <v>293.09852143661385</v>
      </c>
      <c r="BP11" s="155">
        <f t="shared" si="24"/>
        <v>197.45443249441669</v>
      </c>
      <c r="BR11" s="206" t="s">
        <v>217</v>
      </c>
      <c r="BS11" s="155">
        <f t="shared" si="2"/>
        <v>117.53408127314479</v>
      </c>
      <c r="BT11" s="155">
        <f t="shared" si="3"/>
        <v>9</v>
      </c>
    </row>
    <row r="12" spans="1:72">
      <c r="A12" s="155" t="s">
        <v>211</v>
      </c>
      <c r="B12" s="155" t="s">
        <v>1020</v>
      </c>
      <c r="C12" s="155" t="s">
        <v>208</v>
      </c>
      <c r="D12" s="155">
        <v>9</v>
      </c>
      <c r="E12" s="189">
        <v>34.823799999999999</v>
      </c>
      <c r="F12" s="67">
        <v>1.07752</v>
      </c>
      <c r="G12" s="67">
        <v>284.35559000000001</v>
      </c>
      <c r="H12" s="67">
        <v>269.99623000000003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v>0</v>
      </c>
      <c r="Q12" s="201" t="s">
        <v>211</v>
      </c>
      <c r="R12" s="201" t="s">
        <v>1020</v>
      </c>
      <c r="S12" s="201" t="s">
        <v>208</v>
      </c>
      <c r="T12" s="76">
        <f>SUM($E12:F13)</f>
        <v>1606.0051100000001</v>
      </c>
      <c r="U12" s="76">
        <f>SUM($E12:G13)</f>
        <v>2196.78962</v>
      </c>
      <c r="V12" s="76">
        <f>SUM($E12:H13)</f>
        <v>2582.3712499999997</v>
      </c>
      <c r="W12" s="76">
        <f>SUM($E12:I13)</f>
        <v>2582.3712499999997</v>
      </c>
      <c r="X12" s="76">
        <f>SUM($E12:J13)</f>
        <v>2582.3712499999997</v>
      </c>
      <c r="Y12" s="76">
        <f>SUM($E12:K13)</f>
        <v>2582.3712499999997</v>
      </c>
      <c r="Z12" s="76">
        <f>SUM($E12:L13)</f>
        <v>2582.3712499999997</v>
      </c>
      <c r="AA12" s="76">
        <f>SUM($E12:M13)</f>
        <v>2582.3712499999997</v>
      </c>
      <c r="AB12" s="76">
        <f>SUM($E12:N13)</f>
        <v>2582.3712499999997</v>
      </c>
      <c r="AC12" s="76">
        <f>SUM($E12:O13)</f>
        <v>2582.3712499999997</v>
      </c>
      <c r="AE12" s="76">
        <f t="shared" si="4"/>
        <v>1606.0051100000001</v>
      </c>
      <c r="AF12" s="76">
        <f t="shared" si="5"/>
        <v>2242.92220202</v>
      </c>
      <c r="AG12" s="76">
        <f t="shared" si="6"/>
        <v>2691.9696682212489</v>
      </c>
      <c r="AH12" s="76">
        <f t="shared" si="7"/>
        <v>2748.5010312538952</v>
      </c>
      <c r="AI12" s="76">
        <f t="shared" si="8"/>
        <v>2806.2195529102264</v>
      </c>
      <c r="AJ12" s="76">
        <f t="shared" si="9"/>
        <v>2865.1501635213408</v>
      </c>
      <c r="AK12" s="76">
        <f t="shared" si="10"/>
        <v>2925.3183169552885</v>
      </c>
      <c r="AL12" s="76">
        <f t="shared" si="11"/>
        <v>2986.7500016113495</v>
      </c>
      <c r="AM12" s="76">
        <f t="shared" si="12"/>
        <v>3049.4717516451874</v>
      </c>
      <c r="AN12" s="76">
        <f t="shared" si="13"/>
        <v>3113.5106584297355</v>
      </c>
      <c r="AP12" s="201" t="s">
        <v>211</v>
      </c>
      <c r="AQ12" s="201" t="s">
        <v>208</v>
      </c>
      <c r="AR12" s="155" cm="1">
        <f t="array" ref="AR12">_xlfn.IFS($AQ12=$AP$1,$AQ$1*AE12,$AQ12=$AP$2,$AQ$2*AE12,$AQ12=$AP$3,$AQ$3*AE12,$AQ12=$AP$4,$AQ$4*AE12)</f>
        <v>226.91672931653815</v>
      </c>
      <c r="AS12" s="155" cm="1">
        <f t="array" ref="AS12">_xlfn.IFS($AQ12=$AP$1,$AQ$1*AF12,$AQ12=$AP$2,$AQ$2*AF12,$AQ12=$AP$3,$AQ$3*AF12,$AQ12=$AP$4,$AQ$4*AF12)</f>
        <v>316.90843760380437</v>
      </c>
      <c r="AT12" s="155" cm="1">
        <f t="array" ref="AT12">_xlfn.IFS($AQ12=$AP$1,$AQ$1*AG12,$AQ12=$AP$2,$AQ$2*AG12,$AQ12=$AP$3,$AQ$3*AG12,$AQ12=$AP$4,$AQ$4*AG12)</f>
        <v>380.35554726976682</v>
      </c>
      <c r="AU12" s="155" cm="1">
        <f t="array" ref="AU12">_xlfn.IFS($AQ12=$AP$1,$AQ$1*AH12,$AQ12=$AP$2,$AQ$2*AH12,$AQ12=$AP$3,$AQ$3*AH12,$AQ12=$AP$4,$AQ$4*AH12)</f>
        <v>388.34301376243195</v>
      </c>
      <c r="AV12" s="155" cm="1">
        <f t="array" ref="AV12">_xlfn.IFS($AQ12=$AP$1,$AQ$1*AI12,$AQ12=$AP$2,$AQ$2*AI12,$AQ12=$AP$3,$AQ$3*AI12,$AQ12=$AP$4,$AQ$4*AI12)</f>
        <v>396.49821705144296</v>
      </c>
      <c r="AW12" s="155" cm="1">
        <f t="array" ref="AW12">_xlfn.IFS($AQ12=$AP$1,$AQ$1*AJ12,$AQ12=$AP$2,$AQ$2*AJ12,$AQ12=$AP$3,$AQ$3*AJ12,$AQ12=$AP$4,$AQ$4*AJ12)</f>
        <v>404.82467960952317</v>
      </c>
      <c r="AX12" s="155" cm="1">
        <f t="array" ref="AX12">_xlfn.IFS($AQ12=$AP$1,$AQ$1*AK12,$AQ12=$AP$2,$AQ$2*AK12,$AQ12=$AP$3,$AQ$3*AK12,$AQ12=$AP$4,$AQ$4*AK12)</f>
        <v>413.32599788132313</v>
      </c>
      <c r="AY12" s="155" cm="1">
        <f t="array" ref="AY12">_xlfn.IFS($AQ12=$AP$1,$AQ$1*AL12,$AQ12=$AP$2,$AQ$2*AL12,$AQ12=$AP$3,$AQ$3*AL12,$AQ12=$AP$4,$AQ$4*AL12)</f>
        <v>422.00584383683088</v>
      </c>
      <c r="AZ12" s="155" cm="1">
        <f t="array" ref="AZ12">_xlfn.IFS($AQ12=$AP$1,$AQ$1*AM12,$AQ12=$AP$2,$AQ$2*AM12,$AQ12=$AP$3,$AQ$3*AM12,$AQ12=$AP$4,$AQ$4*AM12)</f>
        <v>430.86796655740426</v>
      </c>
      <c r="BA12" s="155" cm="1">
        <f t="array" ref="BA12">_xlfn.IFS($AQ12=$AP$1,$AQ$1*AN12,$AQ12=$AP$2,$AQ$2*AN12,$AQ12=$AP$3,$AQ$3*AN12,$AQ12=$AP$4,$AQ$4*AN12)</f>
        <v>439.91619385510967</v>
      </c>
      <c r="BB12" s="155">
        <f>Table2[[#This Row],[FINAL Project System Capacity (MW)]]</f>
        <v>9</v>
      </c>
      <c r="BC12" s="155" t="str">
        <f>Table2[[#This Row],[FN Parent  '#]]</f>
        <v>FN005832</v>
      </c>
      <c r="BD12" s="155">
        <f t="shared" si="25"/>
        <v>9</v>
      </c>
      <c r="BE12" s="155">
        <f t="shared" si="26"/>
        <v>9</v>
      </c>
      <c r="BF12" s="155">
        <f t="shared" si="14"/>
        <v>25.212969924059795</v>
      </c>
      <c r="BG12" s="155">
        <f t="shared" si="15"/>
        <v>35.212048622644929</v>
      </c>
      <c r="BH12" s="155">
        <f t="shared" si="16"/>
        <v>42.261727474418535</v>
      </c>
      <c r="BI12" s="155">
        <f t="shared" si="17"/>
        <v>43.149223751381328</v>
      </c>
      <c r="BJ12" s="155">
        <f t="shared" si="18"/>
        <v>44.055357450160329</v>
      </c>
      <c r="BK12" s="155">
        <f t="shared" si="19"/>
        <v>44.980519956613684</v>
      </c>
      <c r="BL12" s="155">
        <f t="shared" si="20"/>
        <v>45.925110875702572</v>
      </c>
      <c r="BM12" s="155">
        <f t="shared" si="21"/>
        <v>46.889538204092318</v>
      </c>
      <c r="BN12" s="155">
        <f t="shared" si="22"/>
        <v>47.874218506378249</v>
      </c>
      <c r="BO12" s="155">
        <f t="shared" si="23"/>
        <v>48.879577095012188</v>
      </c>
      <c r="BP12" s="155">
        <f t="shared" si="24"/>
        <v>41.296398290235494</v>
      </c>
      <c r="BR12" s="206" t="s">
        <v>1587</v>
      </c>
      <c r="BS12" s="155">
        <f t="shared" si="2"/>
        <v>506.52704505416489</v>
      </c>
      <c r="BT12" s="155">
        <f t="shared" si="3"/>
        <v>9</v>
      </c>
    </row>
    <row r="13" spans="1:72">
      <c r="A13" s="155" t="s">
        <v>211</v>
      </c>
      <c r="B13" s="155" t="s">
        <v>1020</v>
      </c>
      <c r="C13" s="155" t="s">
        <v>208</v>
      </c>
      <c r="D13" s="155">
        <v>9</v>
      </c>
      <c r="E13" s="189">
        <v>679.17283999999995</v>
      </c>
      <c r="F13" s="67">
        <v>890.93095000000005</v>
      </c>
      <c r="G13" s="67">
        <v>306.42892000000001</v>
      </c>
      <c r="H13" s="67">
        <v>115.58540000000001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v>0</v>
      </c>
      <c r="Q13" s="202" t="s">
        <v>211</v>
      </c>
      <c r="R13" s="202" t="s">
        <v>1020</v>
      </c>
      <c r="S13" s="202" t="s">
        <v>208</v>
      </c>
      <c r="U13" s="155"/>
      <c r="V13" s="155"/>
      <c r="W13" s="155"/>
      <c r="X13" s="155"/>
      <c r="Y13" s="155"/>
      <c r="Z13" s="155"/>
      <c r="AA13" s="155"/>
      <c r="AB13" s="155"/>
      <c r="AC13" s="155"/>
      <c r="AE13" s="76">
        <f t="shared" si="4"/>
        <v>0</v>
      </c>
      <c r="AF13" s="76">
        <f t="shared" si="5"/>
        <v>0</v>
      </c>
      <c r="AG13" s="76">
        <f t="shared" si="6"/>
        <v>0</v>
      </c>
      <c r="AH13" s="76">
        <f t="shared" si="7"/>
        <v>0</v>
      </c>
      <c r="AI13" s="76">
        <f t="shared" si="8"/>
        <v>0</v>
      </c>
      <c r="AJ13" s="76">
        <f t="shared" si="9"/>
        <v>0</v>
      </c>
      <c r="AK13" s="76">
        <f t="shared" si="10"/>
        <v>0</v>
      </c>
      <c r="AL13" s="76">
        <f t="shared" si="11"/>
        <v>0</v>
      </c>
      <c r="AM13" s="76">
        <f t="shared" si="12"/>
        <v>0</v>
      </c>
      <c r="AN13" s="76">
        <f t="shared" si="13"/>
        <v>0</v>
      </c>
      <c r="AP13" s="202" t="s">
        <v>211</v>
      </c>
      <c r="AQ13" s="202" t="s">
        <v>208</v>
      </c>
      <c r="AR13" s="155" cm="1">
        <f t="array" ref="AR13">_xlfn.IFS($AQ13=$AP$1,$AQ$1*AE13,$AQ13=$AP$2,$AQ$2*AE13,$AQ13=$AP$3,$AQ$3*AE13,$AQ13=$AP$4,$AQ$4*AE13)</f>
        <v>0</v>
      </c>
      <c r="AS13" s="155" cm="1">
        <f t="array" ref="AS13">_xlfn.IFS($AQ13=$AP$1,$AQ$1*AF13,$AQ13=$AP$2,$AQ$2*AF13,$AQ13=$AP$3,$AQ$3*AF13,$AQ13=$AP$4,$AQ$4*AF13)</f>
        <v>0</v>
      </c>
      <c r="AT13" s="155" cm="1">
        <f t="array" ref="AT13">_xlfn.IFS($AQ13=$AP$1,$AQ$1*AG13,$AQ13=$AP$2,$AQ$2*AG13,$AQ13=$AP$3,$AQ$3*AG13,$AQ13=$AP$4,$AQ$4*AG13)</f>
        <v>0</v>
      </c>
      <c r="AU13" s="155" cm="1">
        <f t="array" ref="AU13">_xlfn.IFS($AQ13=$AP$1,$AQ$1*AH13,$AQ13=$AP$2,$AQ$2*AH13,$AQ13=$AP$3,$AQ$3*AH13,$AQ13=$AP$4,$AQ$4*AH13)</f>
        <v>0</v>
      </c>
      <c r="AV13" s="155" cm="1">
        <f t="array" ref="AV13">_xlfn.IFS($AQ13=$AP$1,$AQ$1*AI13,$AQ13=$AP$2,$AQ$2*AI13,$AQ13=$AP$3,$AQ$3*AI13,$AQ13=$AP$4,$AQ$4*AI13)</f>
        <v>0</v>
      </c>
      <c r="AW13" s="155" cm="1">
        <f t="array" ref="AW13">_xlfn.IFS($AQ13=$AP$1,$AQ$1*AJ13,$AQ13=$AP$2,$AQ$2*AJ13,$AQ13=$AP$3,$AQ$3*AJ13,$AQ13=$AP$4,$AQ$4*AJ13)</f>
        <v>0</v>
      </c>
      <c r="AX13" s="155" cm="1">
        <f t="array" ref="AX13">_xlfn.IFS($AQ13=$AP$1,$AQ$1*AK13,$AQ13=$AP$2,$AQ$2*AK13,$AQ13=$AP$3,$AQ$3*AK13,$AQ13=$AP$4,$AQ$4*AK13)</f>
        <v>0</v>
      </c>
      <c r="AY13" s="155" cm="1">
        <f t="array" ref="AY13">_xlfn.IFS($AQ13=$AP$1,$AQ$1*AL13,$AQ13=$AP$2,$AQ$2*AL13,$AQ13=$AP$3,$AQ$3*AL13,$AQ13=$AP$4,$AQ$4*AL13)</f>
        <v>0</v>
      </c>
      <c r="AZ13" s="155" cm="1">
        <f t="array" ref="AZ13">_xlfn.IFS($AQ13=$AP$1,$AQ$1*AM13,$AQ13=$AP$2,$AQ$2*AM13,$AQ13=$AP$3,$AQ$3*AM13,$AQ13=$AP$4,$AQ$4*AM13)</f>
        <v>0</v>
      </c>
      <c r="BA13" s="155" cm="1">
        <f t="array" ref="BA13">_xlfn.IFS($AQ13=$AP$1,$AQ$1*AN13,$AQ13=$AP$2,$AQ$2*AN13,$AQ13=$AP$3,$AQ$3*AN13,$AQ13=$AP$4,$AQ$4*AN13)</f>
        <v>0</v>
      </c>
      <c r="BB13" s="155"/>
      <c r="BC13" s="155" t="str">
        <f>Table2[[#This Row],[FN Parent  '#]]</f>
        <v>FN005832</v>
      </c>
      <c r="BD13" s="155">
        <f t="shared" si="25"/>
        <v>0</v>
      </c>
      <c r="BF13" s="155" t="str">
        <f t="shared" si="14"/>
        <v/>
      </c>
      <c r="BG13" s="155" t="str">
        <f t="shared" si="15"/>
        <v/>
      </c>
      <c r="BH13" s="155" t="str">
        <f t="shared" si="16"/>
        <v/>
      </c>
      <c r="BI13" s="155" t="str">
        <f t="shared" si="17"/>
        <v/>
      </c>
      <c r="BJ13" s="155" t="str">
        <f t="shared" si="18"/>
        <v/>
      </c>
      <c r="BK13" s="155" t="str">
        <f t="shared" si="19"/>
        <v/>
      </c>
      <c r="BL13" s="155" t="str">
        <f t="shared" si="20"/>
        <v/>
      </c>
      <c r="BM13" s="155" t="str">
        <f t="shared" si="21"/>
        <v/>
      </c>
      <c r="BN13" s="155" t="str">
        <f t="shared" si="22"/>
        <v/>
      </c>
      <c r="BO13" s="155" t="str">
        <f t="shared" si="23"/>
        <v/>
      </c>
      <c r="BP13" s="155">
        <f t="shared" si="24"/>
        <v>0</v>
      </c>
      <c r="BR13" s="206" t="s">
        <v>221</v>
      </c>
      <c r="BS13" s="155">
        <f t="shared" si="2"/>
        <v>66.054113599171501</v>
      </c>
      <c r="BT13" s="155">
        <f t="shared" si="3"/>
        <v>9</v>
      </c>
    </row>
    <row r="14" spans="1:72">
      <c r="A14" s="155" t="s">
        <v>211</v>
      </c>
      <c r="B14" s="155" t="s">
        <v>1020</v>
      </c>
      <c r="C14" s="155" t="s">
        <v>207</v>
      </c>
      <c r="D14" s="155">
        <v>9</v>
      </c>
      <c r="E14" s="189">
        <v>10027.06064</v>
      </c>
      <c r="F14" s="67">
        <v>4693.8744500000003</v>
      </c>
      <c r="G14" s="67">
        <v>7585.3435399999998</v>
      </c>
      <c r="H14" s="67">
        <v>4306.9788900000003</v>
      </c>
      <c r="I14" s="67">
        <v>456.69373999999999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v>0</v>
      </c>
      <c r="Q14" s="201" t="s">
        <v>211</v>
      </c>
      <c r="R14" s="201" t="s">
        <v>1020</v>
      </c>
      <c r="S14" s="201" t="s">
        <v>207</v>
      </c>
      <c r="T14" s="76">
        <f>SUM($E14:F14)</f>
        <v>14720.935089999999</v>
      </c>
      <c r="U14" s="76">
        <f>SUM($E14:G14)</f>
        <v>22306.278630000001</v>
      </c>
      <c r="V14" s="76">
        <f>SUM($E14:H14)</f>
        <v>26613.257519999999</v>
      </c>
      <c r="W14" s="76">
        <f>SUM($E14:I14)</f>
        <v>27069.951259999998</v>
      </c>
      <c r="X14" s="76">
        <f>SUM($E14:J14)</f>
        <v>27069.951259999998</v>
      </c>
      <c r="Y14" s="76">
        <f>SUM($E14:K14)</f>
        <v>27069.951259999998</v>
      </c>
      <c r="Z14" s="76">
        <f>SUM($E14:L14)</f>
        <v>27069.951259999998</v>
      </c>
      <c r="AA14" s="76">
        <f>SUM($E14:M14)</f>
        <v>27069.951259999998</v>
      </c>
      <c r="AB14" s="76">
        <f>SUM($E14:N14)</f>
        <v>27069.951259999998</v>
      </c>
      <c r="AC14" s="76">
        <f>SUM($E14:O14)</f>
        <v>27069.951259999998</v>
      </c>
      <c r="AE14" s="76">
        <f t="shared" si="4"/>
        <v>14720.935089999999</v>
      </c>
      <c r="AF14" s="76">
        <f t="shared" si="5"/>
        <v>22774.710481229999</v>
      </c>
      <c r="AG14" s="76">
        <f t="shared" si="6"/>
        <v>27742.75078240631</v>
      </c>
      <c r="AH14" s="76">
        <f t="shared" si="7"/>
        <v>28811.422429715589</v>
      </c>
      <c r="AI14" s="76">
        <f t="shared" si="8"/>
        <v>29416.462300739611</v>
      </c>
      <c r="AJ14" s="76">
        <f t="shared" si="9"/>
        <v>30034.208009055139</v>
      </c>
      <c r="AK14" s="76">
        <f t="shared" si="10"/>
        <v>30664.926377245294</v>
      </c>
      <c r="AL14" s="76">
        <f t="shared" si="11"/>
        <v>31308.889831167442</v>
      </c>
      <c r="AM14" s="76">
        <f t="shared" si="12"/>
        <v>31966.376517621953</v>
      </c>
      <c r="AN14" s="76">
        <f t="shared" si="13"/>
        <v>32637.670424492007</v>
      </c>
      <c r="AP14" s="201" t="s">
        <v>211</v>
      </c>
      <c r="AQ14" s="201" t="s">
        <v>207</v>
      </c>
      <c r="AR14" s="155" cm="1">
        <f t="array" ref="AR14">_xlfn.IFS($AQ14=$AP$1,$AQ$1*AE14,$AQ14=$AP$2,$AQ$2*AE14,$AQ14=$AP$3,$AQ$3*AE14,$AQ14=$AP$4,$AQ$4*AE14)</f>
        <v>1186.3908943368549</v>
      </c>
      <c r="AS14" s="155" cm="1">
        <f t="array" ref="AS14">_xlfn.IFS($AQ14=$AP$1,$AQ$1*AF14,$AQ14=$AP$2,$AQ$2*AF14,$AQ14=$AP$3,$AQ$3*AF14,$AQ14=$AP$4,$AQ$4*AF14)</f>
        <v>1835.4614683712596</v>
      </c>
      <c r="AT14" s="155" cm="1">
        <f t="array" ref="AT14">_xlfn.IFS($AQ14=$AP$1,$AQ$1*AG14,$AQ14=$AP$2,$AQ$2*AG14,$AQ14=$AP$3,$AQ$3*AG14,$AQ14=$AP$4,$AQ$4*AG14)</f>
        <v>2235.8462088771771</v>
      </c>
      <c r="AU14" s="155" cm="1">
        <f t="array" ref="AU14">_xlfn.IFS($AQ14=$AP$1,$AQ$1*AH14,$AQ14=$AP$2,$AQ$2*AH14,$AQ14=$AP$3,$AQ$3*AH14,$AQ14=$AP$4,$AQ$4*AH14)</f>
        <v>2321.9726881838455</v>
      </c>
      <c r="AV14" s="155" cm="1">
        <f t="array" ref="AV14">_xlfn.IFS($AQ14=$AP$1,$AQ$1*AI14,$AQ14=$AP$2,$AQ$2*AI14,$AQ14=$AP$3,$AQ$3*AI14,$AQ14=$AP$4,$AQ$4*AI14)</f>
        <v>2370.7341146357057</v>
      </c>
      <c r="AW14" s="155" cm="1">
        <f t="array" ref="AW14">_xlfn.IFS($AQ14=$AP$1,$AQ$1*AJ14,$AQ14=$AP$2,$AQ$2*AJ14,$AQ14=$AP$3,$AQ$3*AJ14,$AQ14=$AP$4,$AQ$4*AJ14)</f>
        <v>2420.5195310430554</v>
      </c>
      <c r="AX14" s="155" cm="1">
        <f t="array" ref="AX14">_xlfn.IFS($AQ14=$AP$1,$AQ$1*AK14,$AQ14=$AP$2,$AQ$2*AK14,$AQ14=$AP$3,$AQ$3*AK14,$AQ14=$AP$4,$AQ$4*AK14)</f>
        <v>2471.3504411949593</v>
      </c>
      <c r="AY14" s="155" cm="1">
        <f t="array" ref="AY14">_xlfn.IFS($AQ14=$AP$1,$AQ$1*AL14,$AQ14=$AP$2,$AQ$2*AL14,$AQ14=$AP$3,$AQ$3*AL14,$AQ14=$AP$4,$AQ$4*AL14)</f>
        <v>2523.2488004600532</v>
      </c>
      <c r="AZ14" s="155" cm="1">
        <f t="array" ref="AZ14">_xlfn.IFS($AQ14=$AP$1,$AQ$1*AM14,$AQ14=$AP$2,$AQ$2*AM14,$AQ14=$AP$3,$AQ$3*AM14,$AQ14=$AP$4,$AQ$4*AM14)</f>
        <v>2576.2370252697137</v>
      </c>
      <c r="BA14" s="155" cm="1">
        <f t="array" ref="BA14">_xlfn.IFS($AQ14=$AP$1,$AQ$1*AN14,$AQ14=$AP$2,$AQ$2*AN14,$AQ14=$AP$3,$AQ$3*AN14,$AQ14=$AP$4,$AQ$4*AN14)</f>
        <v>2630.3380028003771</v>
      </c>
      <c r="BB14" s="155">
        <f>Table2[[#This Row],[FINAL Project System Capacity (MW)]]</f>
        <v>9</v>
      </c>
      <c r="BC14" s="155" t="str">
        <f>Table2[[#This Row],[FN Parent  '#]]</f>
        <v>FN005832</v>
      </c>
      <c r="BD14" s="155">
        <f t="shared" si="25"/>
        <v>9</v>
      </c>
      <c r="BF14" s="155">
        <f t="shared" si="14"/>
        <v>131.82121048187275</v>
      </c>
      <c r="BG14" s="155">
        <f t="shared" si="15"/>
        <v>203.94016315236217</v>
      </c>
      <c r="BH14" s="155">
        <f t="shared" si="16"/>
        <v>248.42735654190858</v>
      </c>
      <c r="BI14" s="155">
        <f t="shared" si="17"/>
        <v>257.99696535376063</v>
      </c>
      <c r="BJ14" s="155">
        <f t="shared" si="18"/>
        <v>263.41490162618953</v>
      </c>
      <c r="BK14" s="155">
        <f t="shared" si="19"/>
        <v>268.94661456033947</v>
      </c>
      <c r="BL14" s="155">
        <f t="shared" si="20"/>
        <v>274.5944934661066</v>
      </c>
      <c r="BM14" s="155">
        <f t="shared" si="21"/>
        <v>280.36097782889482</v>
      </c>
      <c r="BN14" s="155">
        <f t="shared" si="22"/>
        <v>286.24855836330153</v>
      </c>
      <c r="BO14" s="155">
        <f t="shared" si="23"/>
        <v>292.25977808893077</v>
      </c>
      <c r="BP14" s="155">
        <f t="shared" si="24"/>
        <v>243.09955662458779</v>
      </c>
      <c r="BR14" s="206" t="s">
        <v>223</v>
      </c>
      <c r="BS14" s="155">
        <f t="shared" si="2"/>
        <v>216.84510375899393</v>
      </c>
      <c r="BT14" s="155">
        <f t="shared" si="3"/>
        <v>9</v>
      </c>
    </row>
    <row r="15" spans="1:72">
      <c r="A15" s="155" t="s">
        <v>213</v>
      </c>
      <c r="B15" s="155" t="s">
        <v>988</v>
      </c>
      <c r="C15" s="155" t="s">
        <v>208</v>
      </c>
      <c r="D15" s="155">
        <v>9</v>
      </c>
      <c r="E15" s="189">
        <v>467.92327999999998</v>
      </c>
      <c r="F15" s="67">
        <v>230.56236000000001</v>
      </c>
      <c r="G15" s="67">
        <v>95.273229999999998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v>0</v>
      </c>
      <c r="Q15" s="202" t="s">
        <v>213</v>
      </c>
      <c r="R15" s="202" t="s">
        <v>988</v>
      </c>
      <c r="S15" s="202" t="s">
        <v>208</v>
      </c>
      <c r="T15" s="76">
        <f>SUM($E15:F16)</f>
        <v>7958.7808599999998</v>
      </c>
      <c r="U15" s="76">
        <f>SUM($E15:G16)</f>
        <v>8121.0542699999996</v>
      </c>
      <c r="V15" s="76">
        <f>SUM($E15:H16)</f>
        <v>8121.0542699999996</v>
      </c>
      <c r="W15" s="76">
        <f>SUM($E15:I16)</f>
        <v>8121.0542699999996</v>
      </c>
      <c r="X15" s="76">
        <f>SUM($E15:J16)</f>
        <v>8121.0542699999996</v>
      </c>
      <c r="Y15" s="76">
        <f>SUM($E15:K16)</f>
        <v>8121.0542699999996</v>
      </c>
      <c r="Z15" s="76">
        <f>SUM($E15:L16)</f>
        <v>8121.0542699999996</v>
      </c>
      <c r="AA15" s="76">
        <f>SUM($E15:M16)</f>
        <v>8121.0542699999996</v>
      </c>
      <c r="AB15" s="76">
        <f>SUM($E15:N16)</f>
        <v>8121.0542699999996</v>
      </c>
      <c r="AC15" s="76">
        <f>SUM($E15:O16)</f>
        <v>8121.0542699999996</v>
      </c>
      <c r="AE15" s="76">
        <f t="shared" si="4"/>
        <v>7958.7808599999998</v>
      </c>
      <c r="AF15" s="76">
        <f t="shared" si="5"/>
        <v>8291.596409669999</v>
      </c>
      <c r="AG15" s="76">
        <f t="shared" si="6"/>
        <v>8465.7199342730673</v>
      </c>
      <c r="AH15" s="76">
        <f t="shared" si="7"/>
        <v>8643.5000528928012</v>
      </c>
      <c r="AI15" s="76">
        <f t="shared" si="8"/>
        <v>8825.0135540035481</v>
      </c>
      <c r="AJ15" s="76">
        <f t="shared" si="9"/>
        <v>9010.3388386376228</v>
      </c>
      <c r="AK15" s="76">
        <f t="shared" si="10"/>
        <v>9199.5559542490118</v>
      </c>
      <c r="AL15" s="76">
        <f t="shared" si="11"/>
        <v>9392.74662928824</v>
      </c>
      <c r="AM15" s="76">
        <f t="shared" si="12"/>
        <v>9589.9943085032901</v>
      </c>
      <c r="AN15" s="76">
        <f t="shared" si="13"/>
        <v>9791.3841889818577</v>
      </c>
      <c r="AP15" s="202" t="s">
        <v>213</v>
      </c>
      <c r="AQ15" s="202" t="s">
        <v>208</v>
      </c>
      <c r="AR15" s="155" cm="1">
        <f t="array" ref="AR15">_xlfn.IFS($AQ15=$AP$1,$AQ$1*AE15,$AQ15=$AP$2,$AQ$2*AE15,$AQ15=$AP$3,$AQ$3*AE15,$AQ15=$AP$4,$AQ$4*AE15)</f>
        <v>1124.5172950279496</v>
      </c>
      <c r="AS15" s="155" cm="1">
        <f t="array" ref="AS15">_xlfn.IFS($AQ15=$AP$1,$AQ$1*AF15,$AQ15=$AP$2,$AQ$2*AF15,$AQ15=$AP$3,$AQ$3*AF15,$AQ15=$AP$4,$AQ$4*AF15)</f>
        <v>1171.541688366774</v>
      </c>
      <c r="AT15" s="155" cm="1">
        <f t="array" ref="AT15">_xlfn.IFS($AQ15=$AP$1,$AQ$1*AG15,$AQ15=$AP$2,$AQ$2*AG15,$AQ15=$AP$3,$AQ$3*AG15,$AQ15=$AP$4,$AQ$4*AG15)</f>
        <v>1196.144063822476</v>
      </c>
      <c r="AU15" s="155" cm="1">
        <f t="array" ref="AU15">_xlfn.IFS($AQ15=$AP$1,$AQ$1*AH15,$AQ15=$AP$2,$AQ$2*AH15,$AQ15=$AP$3,$AQ$3*AH15,$AQ15=$AP$4,$AQ$4*AH15)</f>
        <v>1221.263089162748</v>
      </c>
      <c r="AV15" s="155" cm="1">
        <f t="array" ref="AV15">_xlfn.IFS($AQ15=$AP$1,$AQ$1*AI15,$AQ15=$AP$2,$AQ$2*AI15,$AQ15=$AP$3,$AQ$3*AI15,$AQ15=$AP$4,$AQ$4*AI15)</f>
        <v>1246.9096140351653</v>
      </c>
      <c r="AW15" s="155" cm="1">
        <f t="array" ref="AW15">_xlfn.IFS($AQ15=$AP$1,$AQ$1*AJ15,$AQ15=$AP$2,$AQ$2*AJ15,$AQ15=$AP$3,$AQ$3*AJ15,$AQ15=$AP$4,$AQ$4*AJ15)</f>
        <v>1273.0947159299039</v>
      </c>
      <c r="AX15" s="155" cm="1">
        <f t="array" ref="AX15">_xlfn.IFS($AQ15=$AP$1,$AQ$1*AK15,$AQ15=$AP$2,$AQ$2*AK15,$AQ15=$AP$3,$AQ$3*AK15,$AQ15=$AP$4,$AQ$4*AK15)</f>
        <v>1299.8297049644318</v>
      </c>
      <c r="AY15" s="155" cm="1">
        <f t="array" ref="AY15">_xlfn.IFS($AQ15=$AP$1,$AQ$1*AL15,$AQ15=$AP$2,$AQ$2*AL15,$AQ15=$AP$3,$AQ$3*AL15,$AQ15=$AP$4,$AQ$4*AL15)</f>
        <v>1327.1261287686846</v>
      </c>
      <c r="AZ15" s="155" cm="1">
        <f t="array" ref="AZ15">_xlfn.IFS($AQ15=$AP$1,$AQ$1*AM15,$AQ15=$AP$2,$AQ$2*AM15,$AQ15=$AP$3,$AQ$3*AM15,$AQ15=$AP$4,$AQ$4*AM15)</f>
        <v>1354.9957774728266</v>
      </c>
      <c r="BA15" s="155" cm="1">
        <f t="array" ref="BA15">_xlfn.IFS($AQ15=$AP$1,$AQ$1*AN15,$AQ15=$AP$2,$AQ$2*AN15,$AQ15=$AP$3,$AQ$3*AN15,$AQ15=$AP$4,$AQ$4*AN15)</f>
        <v>1383.4506887997557</v>
      </c>
      <c r="BB15" s="155">
        <f>Table2[[#This Row],[FINAL Project System Capacity (MW)]]</f>
        <v>9</v>
      </c>
      <c r="BC15" s="155" t="str">
        <f>Table2[[#This Row],[FN Parent  '#]]</f>
        <v>FN005771</v>
      </c>
      <c r="BD15" s="155">
        <f t="shared" si="25"/>
        <v>9</v>
      </c>
      <c r="BE15" s="155">
        <f t="shared" si="26"/>
        <v>9</v>
      </c>
      <c r="BF15" s="155">
        <f t="shared" si="14"/>
        <v>124.94636611421662</v>
      </c>
      <c r="BG15" s="155">
        <f t="shared" si="15"/>
        <v>130.17129870741934</v>
      </c>
      <c r="BH15" s="155">
        <f t="shared" si="16"/>
        <v>132.90489598027511</v>
      </c>
      <c r="BI15" s="155">
        <f t="shared" si="17"/>
        <v>135.6958987958609</v>
      </c>
      <c r="BJ15" s="155">
        <f t="shared" si="18"/>
        <v>138.54551267057391</v>
      </c>
      <c r="BK15" s="155">
        <f t="shared" si="19"/>
        <v>141.454968436656</v>
      </c>
      <c r="BL15" s="155">
        <f t="shared" si="20"/>
        <v>144.42552277382575</v>
      </c>
      <c r="BM15" s="155">
        <f t="shared" si="21"/>
        <v>147.45845875207607</v>
      </c>
      <c r="BN15" s="155">
        <f t="shared" si="22"/>
        <v>150.55508638586963</v>
      </c>
      <c r="BO15" s="155">
        <f t="shared" si="23"/>
        <v>153.71674319997285</v>
      </c>
      <c r="BP15" s="155">
        <f t="shared" si="24"/>
        <v>138.32360944745639</v>
      </c>
      <c r="BR15" s="206" t="s">
        <v>225</v>
      </c>
      <c r="BS15" s="155">
        <f t="shared" si="2"/>
        <v>21.756982238006472</v>
      </c>
      <c r="BT15" s="155">
        <f t="shared" si="3"/>
        <v>4.5726141319818359</v>
      </c>
    </row>
    <row r="16" spans="1:72">
      <c r="A16" s="155" t="s">
        <v>213</v>
      </c>
      <c r="B16" s="155" t="s">
        <v>988</v>
      </c>
      <c r="C16" s="155" t="s">
        <v>208</v>
      </c>
      <c r="D16" s="155">
        <v>9</v>
      </c>
      <c r="E16" s="189">
        <v>6839.6095999999998</v>
      </c>
      <c r="F16" s="67">
        <v>420.68561999999997</v>
      </c>
      <c r="G16" s="67">
        <v>67.00018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Q16" s="201" t="s">
        <v>213</v>
      </c>
      <c r="R16" s="201" t="s">
        <v>988</v>
      </c>
      <c r="S16" s="201" t="s">
        <v>208</v>
      </c>
      <c r="U16" s="155"/>
      <c r="V16" s="155"/>
      <c r="W16" s="155"/>
      <c r="X16" s="155"/>
      <c r="Y16" s="155"/>
      <c r="Z16" s="155"/>
      <c r="AA16" s="155"/>
      <c r="AB16" s="155"/>
      <c r="AC16" s="155"/>
      <c r="AE16" s="76">
        <f t="shared" si="4"/>
        <v>0</v>
      </c>
      <c r="AF16" s="76">
        <f t="shared" si="5"/>
        <v>0</v>
      </c>
      <c r="AG16" s="76">
        <f t="shared" si="6"/>
        <v>0</v>
      </c>
      <c r="AH16" s="76">
        <f t="shared" si="7"/>
        <v>0</v>
      </c>
      <c r="AI16" s="76">
        <f t="shared" si="8"/>
        <v>0</v>
      </c>
      <c r="AJ16" s="76">
        <f t="shared" si="9"/>
        <v>0</v>
      </c>
      <c r="AK16" s="76">
        <f t="shared" si="10"/>
        <v>0</v>
      </c>
      <c r="AL16" s="76">
        <f t="shared" si="11"/>
        <v>0</v>
      </c>
      <c r="AM16" s="76">
        <f t="shared" si="12"/>
        <v>0</v>
      </c>
      <c r="AN16" s="76">
        <f t="shared" si="13"/>
        <v>0</v>
      </c>
      <c r="AP16" s="201" t="s">
        <v>213</v>
      </c>
      <c r="AQ16" s="201" t="s">
        <v>208</v>
      </c>
      <c r="AR16" s="155" cm="1">
        <f t="array" ref="AR16">_xlfn.IFS($AQ16=$AP$1,$AQ$1*AE16,$AQ16=$AP$2,$AQ$2*AE16,$AQ16=$AP$3,$AQ$3*AE16,$AQ16=$AP$4,$AQ$4*AE16)</f>
        <v>0</v>
      </c>
      <c r="AS16" s="155" cm="1">
        <f t="array" ref="AS16">_xlfn.IFS($AQ16=$AP$1,$AQ$1*AF16,$AQ16=$AP$2,$AQ$2*AF16,$AQ16=$AP$3,$AQ$3*AF16,$AQ16=$AP$4,$AQ$4*AF16)</f>
        <v>0</v>
      </c>
      <c r="AT16" s="155" cm="1">
        <f t="array" ref="AT16">_xlfn.IFS($AQ16=$AP$1,$AQ$1*AG16,$AQ16=$AP$2,$AQ$2*AG16,$AQ16=$AP$3,$AQ$3*AG16,$AQ16=$AP$4,$AQ$4*AG16)</f>
        <v>0</v>
      </c>
      <c r="AU16" s="155" cm="1">
        <f t="array" ref="AU16">_xlfn.IFS($AQ16=$AP$1,$AQ$1*AH16,$AQ16=$AP$2,$AQ$2*AH16,$AQ16=$AP$3,$AQ$3*AH16,$AQ16=$AP$4,$AQ$4*AH16)</f>
        <v>0</v>
      </c>
      <c r="AV16" s="155" cm="1">
        <f t="array" ref="AV16">_xlfn.IFS($AQ16=$AP$1,$AQ$1*AI16,$AQ16=$AP$2,$AQ$2*AI16,$AQ16=$AP$3,$AQ$3*AI16,$AQ16=$AP$4,$AQ$4*AI16)</f>
        <v>0</v>
      </c>
      <c r="AW16" s="155" cm="1">
        <f t="array" ref="AW16">_xlfn.IFS($AQ16=$AP$1,$AQ$1*AJ16,$AQ16=$AP$2,$AQ$2*AJ16,$AQ16=$AP$3,$AQ$3*AJ16,$AQ16=$AP$4,$AQ$4*AJ16)</f>
        <v>0</v>
      </c>
      <c r="AX16" s="155" cm="1">
        <f t="array" ref="AX16">_xlfn.IFS($AQ16=$AP$1,$AQ$1*AK16,$AQ16=$AP$2,$AQ$2*AK16,$AQ16=$AP$3,$AQ$3*AK16,$AQ16=$AP$4,$AQ$4*AK16)</f>
        <v>0</v>
      </c>
      <c r="AY16" s="155" cm="1">
        <f t="array" ref="AY16">_xlfn.IFS($AQ16=$AP$1,$AQ$1*AL16,$AQ16=$AP$2,$AQ$2*AL16,$AQ16=$AP$3,$AQ$3*AL16,$AQ16=$AP$4,$AQ$4*AL16)</f>
        <v>0</v>
      </c>
      <c r="AZ16" s="155" cm="1">
        <f t="array" ref="AZ16">_xlfn.IFS($AQ16=$AP$1,$AQ$1*AM16,$AQ16=$AP$2,$AQ$2*AM16,$AQ16=$AP$3,$AQ$3*AM16,$AQ16=$AP$4,$AQ$4*AM16)</f>
        <v>0</v>
      </c>
      <c r="BA16" s="155" cm="1">
        <f t="array" ref="BA16">_xlfn.IFS($AQ16=$AP$1,$AQ$1*AN16,$AQ16=$AP$2,$AQ$2*AN16,$AQ16=$AP$3,$AQ$3*AN16,$AQ16=$AP$4,$AQ$4*AN16)</f>
        <v>0</v>
      </c>
      <c r="BB16" s="155"/>
      <c r="BC16" s="155" t="str">
        <f>Table2[[#This Row],[FN Parent  '#]]</f>
        <v>FN005771</v>
      </c>
      <c r="BD16" s="155">
        <f t="shared" si="25"/>
        <v>0</v>
      </c>
      <c r="BF16" s="155" t="str">
        <f t="shared" si="14"/>
        <v/>
      </c>
      <c r="BG16" s="155" t="str">
        <f t="shared" si="15"/>
        <v/>
      </c>
      <c r="BH16" s="155" t="str">
        <f t="shared" si="16"/>
        <v/>
      </c>
      <c r="BI16" s="155" t="str">
        <f t="shared" si="17"/>
        <v/>
      </c>
      <c r="BJ16" s="155" t="str">
        <f t="shared" si="18"/>
        <v/>
      </c>
      <c r="BK16" s="155" t="str">
        <f t="shared" si="19"/>
        <v/>
      </c>
      <c r="BL16" s="155" t="str">
        <f t="shared" si="20"/>
        <v/>
      </c>
      <c r="BM16" s="155" t="str">
        <f t="shared" si="21"/>
        <v/>
      </c>
      <c r="BN16" s="155" t="str">
        <f t="shared" si="22"/>
        <v/>
      </c>
      <c r="BO16" s="155" t="str">
        <f t="shared" si="23"/>
        <v/>
      </c>
      <c r="BP16" s="155">
        <f t="shared" si="24"/>
        <v>0</v>
      </c>
      <c r="BR16" s="206" t="s">
        <v>226</v>
      </c>
      <c r="BS16" s="155">
        <f t="shared" si="2"/>
        <v>68.041152133813355</v>
      </c>
      <c r="BT16" s="155">
        <f t="shared" si="3"/>
        <v>11.2</v>
      </c>
    </row>
    <row r="17" spans="1:72">
      <c r="A17" s="155" t="s">
        <v>213</v>
      </c>
      <c r="B17" s="155" t="s">
        <v>988</v>
      </c>
      <c r="C17" s="155" t="s">
        <v>207</v>
      </c>
      <c r="D17" s="155">
        <v>9</v>
      </c>
      <c r="E17" s="189">
        <v>29499.272400000002</v>
      </c>
      <c r="F17" s="67">
        <v>2626.9404500000001</v>
      </c>
      <c r="G17" s="67">
        <v>645.84970999999996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v>0</v>
      </c>
      <c r="Q17" s="202" t="s">
        <v>213</v>
      </c>
      <c r="R17" s="202" t="s">
        <v>988</v>
      </c>
      <c r="S17" s="202" t="s">
        <v>207</v>
      </c>
      <c r="T17" s="76">
        <f>SUM($E17:F17)</f>
        <v>32126.212850000004</v>
      </c>
      <c r="U17" s="76">
        <f>SUM($E17:G17)</f>
        <v>32772.062560000006</v>
      </c>
      <c r="V17" s="76">
        <f>SUM($E17:H17)</f>
        <v>32772.062560000006</v>
      </c>
      <c r="W17" s="76">
        <f>SUM($E17:I17)</f>
        <v>32772.062560000006</v>
      </c>
      <c r="X17" s="76">
        <f>SUM($E17:J17)</f>
        <v>32772.062560000006</v>
      </c>
      <c r="Y17" s="76">
        <f>SUM($E17:K17)</f>
        <v>32772.062560000006</v>
      </c>
      <c r="Z17" s="76">
        <f>SUM($E17:L17)</f>
        <v>32772.062560000006</v>
      </c>
      <c r="AA17" s="76">
        <f>SUM($E17:M17)</f>
        <v>32772.062560000006</v>
      </c>
      <c r="AB17" s="76">
        <f>SUM($E17:N17)</f>
        <v>32772.062560000006</v>
      </c>
      <c r="AC17" s="76">
        <f>SUM($E17:O17)</f>
        <v>32772.062560000006</v>
      </c>
      <c r="AE17" s="76">
        <f t="shared" si="4"/>
        <v>32126.212850000004</v>
      </c>
      <c r="AF17" s="76">
        <f t="shared" si="5"/>
        <v>33460.275873760002</v>
      </c>
      <c r="AG17" s="76">
        <f t="shared" si="6"/>
        <v>34162.941667108957</v>
      </c>
      <c r="AH17" s="76">
        <f t="shared" si="7"/>
        <v>34880.363442118243</v>
      </c>
      <c r="AI17" s="76">
        <f t="shared" si="8"/>
        <v>35612.851074402723</v>
      </c>
      <c r="AJ17" s="76">
        <f t="shared" si="9"/>
        <v>36360.720946965172</v>
      </c>
      <c r="AK17" s="76">
        <f t="shared" si="10"/>
        <v>37124.296086851435</v>
      </c>
      <c r="AL17" s="76">
        <f t="shared" si="11"/>
        <v>37903.906304675314</v>
      </c>
      <c r="AM17" s="76">
        <f t="shared" si="12"/>
        <v>38699.888337073491</v>
      </c>
      <c r="AN17" s="76">
        <f t="shared" si="13"/>
        <v>39512.585992152024</v>
      </c>
      <c r="AP17" s="202" t="s">
        <v>213</v>
      </c>
      <c r="AQ17" s="202" t="s">
        <v>207</v>
      </c>
      <c r="AR17" s="155" cm="1">
        <f t="array" ref="AR17">_xlfn.IFS($AQ17=$AP$1,$AQ$1*AE17,$AQ17=$AP$2,$AQ$2*AE17,$AQ17=$AP$3,$AQ$3*AE17,$AQ17=$AP$4,$AQ$4*AE17)</f>
        <v>2589.1185690139241</v>
      </c>
      <c r="AS17" s="155" cm="1">
        <f t="array" ref="AS17">_xlfn.IFS($AQ17=$AP$1,$AQ$1*AF17,$AQ17=$AP$2,$AQ$2*AF17,$AQ17=$AP$3,$AQ$3*AF17,$AQ17=$AP$4,$AQ$4*AF17)</f>
        <v>2696.6334934520805</v>
      </c>
      <c r="AT17" s="155" cm="1">
        <f t="array" ref="AT17">_xlfn.IFS($AQ17=$AP$1,$AQ$1*AG17,$AQ17=$AP$2,$AQ$2*AG17,$AQ17=$AP$3,$AQ$3*AG17,$AQ17=$AP$4,$AQ$4*AG17)</f>
        <v>2753.2627968145739</v>
      </c>
      <c r="AU17" s="155" cm="1">
        <f t="array" ref="AU17">_xlfn.IFS($AQ17=$AP$1,$AQ$1*AH17,$AQ17=$AP$2,$AQ$2*AH17,$AQ17=$AP$3,$AQ$3*AH17,$AQ17=$AP$4,$AQ$4*AH17)</f>
        <v>2811.0813155476799</v>
      </c>
      <c r="AV17" s="155" cm="1">
        <f t="array" ref="AV17">_xlfn.IFS($AQ17=$AP$1,$AQ$1*AI17,$AQ17=$AP$2,$AQ$2*AI17,$AQ17=$AP$3,$AQ$3*AI17,$AQ17=$AP$4,$AQ$4*AI17)</f>
        <v>2870.1140231741806</v>
      </c>
      <c r="AW17" s="155" cm="1">
        <f t="array" ref="AW17">_xlfn.IFS($AQ17=$AP$1,$AQ$1*AJ17,$AQ17=$AP$2,$AQ$2*AJ17,$AQ17=$AP$3,$AQ$3*AJ17,$AQ17=$AP$4,$AQ$4*AJ17)</f>
        <v>2930.3864176608381</v>
      </c>
      <c r="AX17" s="155" cm="1">
        <f t="array" ref="AX17">_xlfn.IFS($AQ17=$AP$1,$AQ$1*AK17,$AQ17=$AP$2,$AQ$2*AK17,$AQ17=$AP$3,$AQ$3*AK17,$AQ17=$AP$4,$AQ$4*AK17)</f>
        <v>2991.9245324317149</v>
      </c>
      <c r="AY17" s="155" cm="1">
        <f t="array" ref="AY17">_xlfn.IFS($AQ17=$AP$1,$AQ$1*AL17,$AQ17=$AP$2,$AQ$2*AL17,$AQ17=$AP$3,$AQ$3*AL17,$AQ17=$AP$4,$AQ$4*AL17)</f>
        <v>3054.7549476127811</v>
      </c>
      <c r="AZ17" s="155" cm="1">
        <f t="array" ref="AZ17">_xlfn.IFS($AQ17=$AP$1,$AQ$1*AM17,$AQ17=$AP$2,$AQ$2*AM17,$AQ17=$AP$3,$AQ$3*AM17,$AQ17=$AP$4,$AQ$4*AM17)</f>
        <v>3118.9048015126491</v>
      </c>
      <c r="BA17" s="155" cm="1">
        <f t="array" ref="BA17">_xlfn.IFS($AQ17=$AP$1,$AQ$1*AN17,$AQ17=$AP$2,$AQ$2*AN17,$AQ17=$AP$3,$AQ$3*AN17,$AQ17=$AP$4,$AQ$4*AN17)</f>
        <v>3184.4018023444137</v>
      </c>
      <c r="BB17" s="155">
        <f>Table2[[#This Row],[FINAL Project System Capacity (MW)]]</f>
        <v>9</v>
      </c>
      <c r="BC17" s="155" t="str">
        <f>Table2[[#This Row],[FN Parent  '#]]</f>
        <v>FN005771</v>
      </c>
      <c r="BD17" s="155">
        <f t="shared" si="25"/>
        <v>9</v>
      </c>
      <c r="BF17" s="155">
        <f t="shared" si="14"/>
        <v>287.67984100154712</v>
      </c>
      <c r="BG17" s="155">
        <f t="shared" si="15"/>
        <v>299.62594371689784</v>
      </c>
      <c r="BH17" s="155">
        <f t="shared" si="16"/>
        <v>305.91808853495263</v>
      </c>
      <c r="BI17" s="155">
        <f t="shared" si="17"/>
        <v>312.34236839418668</v>
      </c>
      <c r="BJ17" s="155">
        <f t="shared" si="18"/>
        <v>318.90155813046454</v>
      </c>
      <c r="BK17" s="155">
        <f t="shared" si="19"/>
        <v>325.59849085120425</v>
      </c>
      <c r="BL17" s="155">
        <f t="shared" si="20"/>
        <v>332.43605915907943</v>
      </c>
      <c r="BM17" s="155">
        <f t="shared" si="21"/>
        <v>339.41721640142009</v>
      </c>
      <c r="BN17" s="155">
        <f t="shared" si="22"/>
        <v>346.54497794584989</v>
      </c>
      <c r="BO17" s="155">
        <f t="shared" si="23"/>
        <v>353.82242248271262</v>
      </c>
      <c r="BP17" s="155">
        <f t="shared" si="24"/>
        <v>318.40145253882343</v>
      </c>
      <c r="BR17" s="206" t="s">
        <v>224</v>
      </c>
      <c r="BS17" s="155">
        <f t="shared" si="2"/>
        <v>13.747304519822606</v>
      </c>
      <c r="BT17" s="155">
        <f t="shared" si="3"/>
        <v>26.5</v>
      </c>
    </row>
    <row r="18" spans="1:72">
      <c r="A18" s="155" t="s">
        <v>215</v>
      </c>
      <c r="B18" s="155" t="s">
        <v>1004</v>
      </c>
      <c r="C18" s="155" t="s">
        <v>208</v>
      </c>
      <c r="D18" s="155">
        <v>9</v>
      </c>
      <c r="E18" s="189">
        <v>0</v>
      </c>
      <c r="F18" s="67">
        <v>0</v>
      </c>
      <c r="G18" s="67">
        <v>0</v>
      </c>
      <c r="H18" s="67">
        <v>0</v>
      </c>
      <c r="I18" s="67">
        <v>40</v>
      </c>
      <c r="J18" s="67">
        <v>150</v>
      </c>
      <c r="K18" s="67">
        <v>150</v>
      </c>
      <c r="L18" s="67">
        <v>0</v>
      </c>
      <c r="M18" s="67">
        <v>0</v>
      </c>
      <c r="N18" s="67">
        <v>0</v>
      </c>
      <c r="O18" s="67">
        <v>0</v>
      </c>
      <c r="Q18" s="201" t="s">
        <v>215</v>
      </c>
      <c r="R18" s="201" t="s">
        <v>1004</v>
      </c>
      <c r="S18" s="201" t="s">
        <v>208</v>
      </c>
      <c r="T18" s="76">
        <f>SUM($E18:F19)</f>
        <v>0</v>
      </c>
      <c r="U18" s="76">
        <f>SUM($E18:G19)</f>
        <v>0</v>
      </c>
      <c r="V18" s="76">
        <f>SUM($E18:H19)</f>
        <v>0</v>
      </c>
      <c r="W18" s="76">
        <f>SUM($E18:I19)</f>
        <v>90</v>
      </c>
      <c r="X18" s="76">
        <f>SUM($E18:J19)</f>
        <v>290</v>
      </c>
      <c r="Y18" s="76">
        <f>SUM($E18:K19)</f>
        <v>2140</v>
      </c>
      <c r="Z18" s="76">
        <f>SUM($E18:L19)</f>
        <v>2740</v>
      </c>
      <c r="AA18" s="76">
        <f>SUM($E18:M19)</f>
        <v>2740</v>
      </c>
      <c r="AB18" s="76">
        <f>SUM($E18:N19)</f>
        <v>2740</v>
      </c>
      <c r="AC18" s="76">
        <f>SUM($E18:O19)</f>
        <v>2740</v>
      </c>
      <c r="AE18" s="76">
        <f t="shared" si="4"/>
        <v>0</v>
      </c>
      <c r="AF18" s="76">
        <f t="shared" si="5"/>
        <v>0</v>
      </c>
      <c r="AG18" s="76">
        <f t="shared" si="6"/>
        <v>0</v>
      </c>
      <c r="AH18" s="76">
        <f t="shared" si="7"/>
        <v>95.789903489999972</v>
      </c>
      <c r="AI18" s="76">
        <f t="shared" si="8"/>
        <v>315.13813915948987</v>
      </c>
      <c r="AJ18" s="76">
        <f t="shared" si="9"/>
        <v>2374.3376750866746</v>
      </c>
      <c r="AK18" s="76">
        <f t="shared" si="10"/>
        <v>3103.8806633467175</v>
      </c>
      <c r="AL18" s="76">
        <f t="shared" si="11"/>
        <v>3169.0621572769983</v>
      </c>
      <c r="AM18" s="76">
        <f t="shared" si="12"/>
        <v>3235.6124625798147</v>
      </c>
      <c r="AN18" s="76">
        <f t="shared" si="13"/>
        <v>3303.5603242939901</v>
      </c>
      <c r="AP18" s="201" t="s">
        <v>215</v>
      </c>
      <c r="AQ18" s="201" t="s">
        <v>208</v>
      </c>
      <c r="AR18" s="155" cm="1">
        <f t="array" ref="AR18">_xlfn.IFS($AQ18=$AP$1,$AQ$1*AE18,$AQ18=$AP$2,$AQ$2*AE18,$AQ18=$AP$3,$AQ$3*AE18,$AQ18=$AP$4,$AQ$4*AE18)</f>
        <v>0</v>
      </c>
      <c r="AS18" s="155" cm="1">
        <f t="array" ref="AS18">_xlfn.IFS($AQ18=$AP$1,$AQ$1*AF18,$AQ18=$AP$2,$AQ$2*AF18,$AQ18=$AP$3,$AQ$3*AF18,$AQ18=$AP$4,$AQ$4*AF18)</f>
        <v>0</v>
      </c>
      <c r="AT18" s="155" cm="1">
        <f t="array" ref="AT18">_xlfn.IFS($AQ18=$AP$1,$AQ$1*AG18,$AQ18=$AP$2,$AQ$2*AG18,$AQ18=$AP$3,$AQ$3*AG18,$AQ18=$AP$4,$AQ$4*AG18)</f>
        <v>0</v>
      </c>
      <c r="AU18" s="155" cm="1">
        <f t="array" ref="AU18">_xlfn.IFS($AQ18=$AP$1,$AQ$1*AH18,$AQ18=$AP$2,$AQ$2*AH18,$AQ18=$AP$3,$AQ$3*AH18,$AQ18=$AP$4,$AQ$4*AH18)</f>
        <v>13.534409987959275</v>
      </c>
      <c r="AV18" s="155" cm="1">
        <f t="array" ref="AV18">_xlfn.IFS($AQ18=$AP$1,$AQ$1*AI18,$AQ18=$AP$2,$AQ$2*AI18,$AQ18=$AP$3,$AQ$3*AI18,$AQ18=$AP$4,$AQ$4*AI18)</f>
        <v>44.526705037054015</v>
      </c>
      <c r="AW18" s="155" cm="1">
        <f t="array" ref="AW18">_xlfn.IFS($AQ18=$AP$1,$AQ$1*AJ18,$AQ18=$AP$2,$AQ$2*AJ18,$AQ18=$AP$3,$AQ$3*AJ18,$AQ18=$AP$4,$AQ$4*AJ18)</f>
        <v>335.47647897814062</v>
      </c>
      <c r="AX18" s="155" cm="1">
        <f t="array" ref="AX18">_xlfn.IFS($AQ18=$AP$1,$AQ$1*AK18,$AQ18=$AP$2,$AQ$2*AK18,$AQ18=$AP$3,$AQ$3*AK18,$AQ18=$AP$4,$AQ$4*AK18)</f>
        <v>438.5555462619194</v>
      </c>
      <c r="AY18" s="155" cm="1">
        <f t="array" ref="AY18">_xlfn.IFS($AQ18=$AP$1,$AQ$1*AL18,$AQ18=$AP$2,$AQ$2*AL18,$AQ18=$AP$3,$AQ$3*AL18,$AQ18=$AP$4,$AQ$4*AL18)</f>
        <v>447.76521273341967</v>
      </c>
      <c r="AZ18" s="155" cm="1">
        <f t="array" ref="AZ18">_xlfn.IFS($AQ18=$AP$1,$AQ$1*AM18,$AQ18=$AP$2,$AQ$2*AM18,$AQ18=$AP$3,$AQ$3*AM18,$AQ18=$AP$4,$AQ$4*AM18)</f>
        <v>457.16828220082141</v>
      </c>
      <c r="BA18" s="155" cm="1">
        <f t="array" ref="BA18">_xlfn.IFS($AQ18=$AP$1,$AQ$1*AN18,$AQ18=$AP$2,$AQ$2*AN18,$AQ18=$AP$3,$AQ$3*AN18,$AQ18=$AP$4,$AQ$4*AN18)</f>
        <v>466.76881612703852</v>
      </c>
      <c r="BB18" s="155">
        <f>Table2[[#This Row],[FINAL Project System Capacity (MW)]]</f>
        <v>9</v>
      </c>
      <c r="BC18" s="155" t="str">
        <f>Table2[[#This Row],[FN Parent  '#]]</f>
        <v>FN005819</v>
      </c>
      <c r="BD18" s="155">
        <f t="shared" si="25"/>
        <v>9</v>
      </c>
      <c r="BE18" s="155">
        <f t="shared" si="26"/>
        <v>9</v>
      </c>
      <c r="BF18" s="155">
        <f t="shared" si="14"/>
        <v>0</v>
      </c>
      <c r="BG18" s="155">
        <f t="shared" si="15"/>
        <v>0</v>
      </c>
      <c r="BH18" s="155">
        <f t="shared" si="16"/>
        <v>0</v>
      </c>
      <c r="BI18" s="155">
        <f t="shared" si="17"/>
        <v>1.503823331995475</v>
      </c>
      <c r="BJ18" s="155">
        <f t="shared" si="18"/>
        <v>4.9474116707837794</v>
      </c>
      <c r="BK18" s="155">
        <f t="shared" si="19"/>
        <v>37.275164330904516</v>
      </c>
      <c r="BL18" s="155">
        <f t="shared" si="20"/>
        <v>48.728394029102155</v>
      </c>
      <c r="BM18" s="155">
        <f t="shared" si="21"/>
        <v>49.751690303713296</v>
      </c>
      <c r="BN18" s="155">
        <f t="shared" si="22"/>
        <v>50.796475800091265</v>
      </c>
      <c r="BO18" s="155">
        <f t="shared" si="23"/>
        <v>51.863201791893168</v>
      </c>
      <c r="BP18" s="155">
        <f t="shared" si="24"/>
        <v>20.405716798562239</v>
      </c>
      <c r="BR18" s="206" t="s">
        <v>16</v>
      </c>
      <c r="BS18" s="155">
        <f t="shared" si="2"/>
        <v>190.62726548955015</v>
      </c>
      <c r="BT18" s="155">
        <f t="shared" si="3"/>
        <v>6.4</v>
      </c>
    </row>
    <row r="19" spans="1:72">
      <c r="A19" s="155" t="s">
        <v>215</v>
      </c>
      <c r="B19" s="155" t="s">
        <v>1004</v>
      </c>
      <c r="C19" s="155" t="s">
        <v>208</v>
      </c>
      <c r="D19" s="155">
        <v>9</v>
      </c>
      <c r="E19" s="189">
        <v>0</v>
      </c>
      <c r="F19" s="67">
        <v>0</v>
      </c>
      <c r="G19" s="67">
        <v>0</v>
      </c>
      <c r="H19" s="67">
        <v>0</v>
      </c>
      <c r="I19" s="67">
        <v>50</v>
      </c>
      <c r="J19" s="67">
        <v>50</v>
      </c>
      <c r="K19" s="67">
        <v>1700</v>
      </c>
      <c r="L19" s="67">
        <v>600</v>
      </c>
      <c r="M19" s="67">
        <v>0</v>
      </c>
      <c r="N19" s="67">
        <v>0</v>
      </c>
      <c r="O19" s="67">
        <v>0</v>
      </c>
      <c r="Q19" s="202" t="s">
        <v>215</v>
      </c>
      <c r="R19" s="202" t="s">
        <v>1004</v>
      </c>
      <c r="S19" s="202" t="s">
        <v>208</v>
      </c>
      <c r="U19" s="155"/>
      <c r="V19" s="155"/>
      <c r="W19" s="155"/>
      <c r="X19" s="155"/>
      <c r="Y19" s="155"/>
      <c r="Z19" s="155"/>
      <c r="AA19" s="155"/>
      <c r="AB19" s="155"/>
      <c r="AC19" s="155"/>
      <c r="AE19" s="76">
        <f t="shared" si="4"/>
        <v>0</v>
      </c>
      <c r="AF19" s="76">
        <f t="shared" si="5"/>
        <v>0</v>
      </c>
      <c r="AG19" s="76">
        <f t="shared" si="6"/>
        <v>0</v>
      </c>
      <c r="AH19" s="76">
        <f t="shared" si="7"/>
        <v>0</v>
      </c>
      <c r="AI19" s="76">
        <f t="shared" si="8"/>
        <v>0</v>
      </c>
      <c r="AJ19" s="76">
        <f t="shared" si="9"/>
        <v>0</v>
      </c>
      <c r="AK19" s="76">
        <f t="shared" si="10"/>
        <v>0</v>
      </c>
      <c r="AL19" s="76">
        <f t="shared" si="11"/>
        <v>0</v>
      </c>
      <c r="AM19" s="76">
        <f t="shared" si="12"/>
        <v>0</v>
      </c>
      <c r="AN19" s="76">
        <f t="shared" si="13"/>
        <v>0</v>
      </c>
      <c r="AP19" s="202" t="s">
        <v>215</v>
      </c>
      <c r="AQ19" s="202" t="s">
        <v>208</v>
      </c>
      <c r="AR19" s="155" cm="1">
        <f t="array" ref="AR19">_xlfn.IFS($AQ19=$AP$1,$AQ$1*AE19,$AQ19=$AP$2,$AQ$2*AE19,$AQ19=$AP$3,$AQ$3*AE19,$AQ19=$AP$4,$AQ$4*AE19)</f>
        <v>0</v>
      </c>
      <c r="AS19" s="155" cm="1">
        <f t="array" ref="AS19">_xlfn.IFS($AQ19=$AP$1,$AQ$1*AF19,$AQ19=$AP$2,$AQ$2*AF19,$AQ19=$AP$3,$AQ$3*AF19,$AQ19=$AP$4,$AQ$4*AF19)</f>
        <v>0</v>
      </c>
      <c r="AT19" s="155" cm="1">
        <f t="array" ref="AT19">_xlfn.IFS($AQ19=$AP$1,$AQ$1*AG19,$AQ19=$AP$2,$AQ$2*AG19,$AQ19=$AP$3,$AQ$3*AG19,$AQ19=$AP$4,$AQ$4*AG19)</f>
        <v>0</v>
      </c>
      <c r="AU19" s="155" cm="1">
        <f t="array" ref="AU19">_xlfn.IFS($AQ19=$AP$1,$AQ$1*AH19,$AQ19=$AP$2,$AQ$2*AH19,$AQ19=$AP$3,$AQ$3*AH19,$AQ19=$AP$4,$AQ$4*AH19)</f>
        <v>0</v>
      </c>
      <c r="AV19" s="155" cm="1">
        <f t="array" ref="AV19">_xlfn.IFS($AQ19=$AP$1,$AQ$1*AI19,$AQ19=$AP$2,$AQ$2*AI19,$AQ19=$AP$3,$AQ$3*AI19,$AQ19=$AP$4,$AQ$4*AI19)</f>
        <v>0</v>
      </c>
      <c r="AW19" s="155" cm="1">
        <f t="array" ref="AW19">_xlfn.IFS($AQ19=$AP$1,$AQ$1*AJ19,$AQ19=$AP$2,$AQ$2*AJ19,$AQ19=$AP$3,$AQ$3*AJ19,$AQ19=$AP$4,$AQ$4*AJ19)</f>
        <v>0</v>
      </c>
      <c r="AX19" s="155" cm="1">
        <f t="array" ref="AX19">_xlfn.IFS($AQ19=$AP$1,$AQ$1*AK19,$AQ19=$AP$2,$AQ$2*AK19,$AQ19=$AP$3,$AQ$3*AK19,$AQ19=$AP$4,$AQ$4*AK19)</f>
        <v>0</v>
      </c>
      <c r="AY19" s="155" cm="1">
        <f t="array" ref="AY19">_xlfn.IFS($AQ19=$AP$1,$AQ$1*AL19,$AQ19=$AP$2,$AQ$2*AL19,$AQ19=$AP$3,$AQ$3*AL19,$AQ19=$AP$4,$AQ$4*AL19)</f>
        <v>0</v>
      </c>
      <c r="AZ19" s="155" cm="1">
        <f t="array" ref="AZ19">_xlfn.IFS($AQ19=$AP$1,$AQ$1*AM19,$AQ19=$AP$2,$AQ$2*AM19,$AQ19=$AP$3,$AQ$3*AM19,$AQ19=$AP$4,$AQ$4*AM19)</f>
        <v>0</v>
      </c>
      <c r="BA19" s="155" cm="1">
        <f t="array" ref="BA19">_xlfn.IFS($AQ19=$AP$1,$AQ$1*AN19,$AQ19=$AP$2,$AQ$2*AN19,$AQ19=$AP$3,$AQ$3*AN19,$AQ19=$AP$4,$AQ$4*AN19)</f>
        <v>0</v>
      </c>
      <c r="BB19" s="155"/>
      <c r="BC19" s="155" t="str">
        <f>Table2[[#This Row],[FN Parent  '#]]</f>
        <v>FN005819</v>
      </c>
      <c r="BD19" s="155">
        <f t="shared" si="25"/>
        <v>0</v>
      </c>
      <c r="BF19" s="155" t="str">
        <f t="shared" si="14"/>
        <v/>
      </c>
      <c r="BG19" s="155" t="str">
        <f t="shared" si="15"/>
        <v/>
      </c>
      <c r="BH19" s="155" t="str">
        <f t="shared" si="16"/>
        <v/>
      </c>
      <c r="BI19" s="155" t="str">
        <f t="shared" si="17"/>
        <v/>
      </c>
      <c r="BJ19" s="155" t="str">
        <f t="shared" si="18"/>
        <v/>
      </c>
      <c r="BK19" s="155" t="str">
        <f t="shared" si="19"/>
        <v/>
      </c>
      <c r="BL19" s="155" t="str">
        <f t="shared" si="20"/>
        <v/>
      </c>
      <c r="BM19" s="155" t="str">
        <f t="shared" si="21"/>
        <v/>
      </c>
      <c r="BN19" s="155" t="str">
        <f t="shared" si="22"/>
        <v/>
      </c>
      <c r="BO19" s="155" t="str">
        <f t="shared" si="23"/>
        <v/>
      </c>
      <c r="BP19" s="155">
        <f t="shared" si="24"/>
        <v>0</v>
      </c>
      <c r="BR19" s="206" t="s">
        <v>227</v>
      </c>
      <c r="BS19" s="155">
        <f t="shared" si="2"/>
        <v>55.02644318933438</v>
      </c>
      <c r="BT19" s="155">
        <f t="shared" si="3"/>
        <v>10</v>
      </c>
    </row>
    <row r="20" spans="1:72">
      <c r="A20" s="155" t="s">
        <v>215</v>
      </c>
      <c r="B20" s="155" t="s">
        <v>1004</v>
      </c>
      <c r="C20" s="155" t="s">
        <v>207</v>
      </c>
      <c r="D20" s="155">
        <v>9</v>
      </c>
      <c r="E20" s="189">
        <v>0</v>
      </c>
      <c r="F20" s="67">
        <v>0</v>
      </c>
      <c r="G20" s="67">
        <v>51</v>
      </c>
      <c r="H20" s="67">
        <v>250</v>
      </c>
      <c r="I20" s="67">
        <v>10</v>
      </c>
      <c r="J20" s="67">
        <v>2164</v>
      </c>
      <c r="K20" s="67">
        <v>1814</v>
      </c>
      <c r="L20" s="67">
        <v>4274</v>
      </c>
      <c r="M20" s="67">
        <v>3834</v>
      </c>
      <c r="N20" s="67">
        <v>63</v>
      </c>
      <c r="O20" s="67">
        <v>0</v>
      </c>
      <c r="Q20" s="201" t="s">
        <v>215</v>
      </c>
      <c r="R20" s="201" t="s">
        <v>1004</v>
      </c>
      <c r="S20" s="201" t="s">
        <v>207</v>
      </c>
      <c r="T20" s="76">
        <f>SUM($E20:F20)</f>
        <v>0</v>
      </c>
      <c r="U20" s="76">
        <f>SUM($E20:G20)</f>
        <v>51</v>
      </c>
      <c r="V20" s="76">
        <f>SUM($E20:H20)</f>
        <v>301</v>
      </c>
      <c r="W20" s="76">
        <f>SUM($E20:I20)</f>
        <v>311</v>
      </c>
      <c r="X20" s="76">
        <f>SUM($E20:J20)</f>
        <v>2475</v>
      </c>
      <c r="Y20" s="76">
        <f>SUM($E20:K20)</f>
        <v>4289</v>
      </c>
      <c r="Z20" s="76">
        <f>SUM($E20:L20)</f>
        <v>8563</v>
      </c>
      <c r="AA20" s="76">
        <f>SUM($E20:M20)</f>
        <v>12397</v>
      </c>
      <c r="AB20" s="76">
        <f>SUM($E20:N20)</f>
        <v>12460</v>
      </c>
      <c r="AC20" s="76">
        <f>SUM($E20:O20)</f>
        <v>12460</v>
      </c>
      <c r="AE20" s="76">
        <f t="shared" si="4"/>
        <v>0</v>
      </c>
      <c r="AF20" s="76">
        <f t="shared" si="5"/>
        <v>52.070999999999998</v>
      </c>
      <c r="AG20" s="76">
        <f t="shared" si="6"/>
        <v>313.77474099999989</v>
      </c>
      <c r="AH20" s="76">
        <f t="shared" si="7"/>
        <v>331.00733317099991</v>
      </c>
      <c r="AI20" s="76">
        <f t="shared" si="8"/>
        <v>2689.5410152404738</v>
      </c>
      <c r="AJ20" s="76">
        <f t="shared" si="9"/>
        <v>4758.6608824517516</v>
      </c>
      <c r="AK20" s="76">
        <f t="shared" si="10"/>
        <v>9700.1934745393955</v>
      </c>
      <c r="AL20" s="76">
        <f t="shared" si="11"/>
        <v>14338.271373636111</v>
      </c>
      <c r="AM20" s="76">
        <f t="shared" si="12"/>
        <v>14713.770541512587</v>
      </c>
      <c r="AN20" s="76">
        <f t="shared" si="13"/>
        <v>15022.75972288435</v>
      </c>
      <c r="AP20" s="201" t="s">
        <v>215</v>
      </c>
      <c r="AQ20" s="201" t="s">
        <v>207</v>
      </c>
      <c r="AR20" s="155" cm="1">
        <f t="array" ref="AR20">_xlfn.IFS($AQ20=$AP$1,$AQ$1*AE20,$AQ20=$AP$2,$AQ$2*AE20,$AQ20=$AP$3,$AQ$3*AE20,$AQ20=$AP$4,$AQ$4*AE20)</f>
        <v>0</v>
      </c>
      <c r="AS20" s="155" cm="1">
        <f t="array" ref="AS20">_xlfn.IFS($AQ20=$AP$1,$AQ$1*AF20,$AQ20=$AP$2,$AQ$2*AF20,$AQ20=$AP$3,$AQ$3*AF20,$AQ20=$AP$4,$AQ$4*AF20)</f>
        <v>4.196510607602602</v>
      </c>
      <c r="AT20" s="155" cm="1">
        <f t="array" ref="AT20">_xlfn.IFS($AQ20=$AP$1,$AQ$1*AG20,$AQ20=$AP$2,$AQ$2*AG20,$AQ20=$AP$3,$AQ$3*AG20,$AQ20=$AP$4,$AQ$4*AG20)</f>
        <v>25.287761498804684</v>
      </c>
      <c r="AU20" s="155" cm="1">
        <f t="array" ref="AU20">_xlfn.IFS($AQ20=$AP$1,$AQ$1*AH20,$AQ20=$AP$2,$AQ$2*AH20,$AQ20=$AP$3,$AQ$3*AH20,$AQ20=$AP$4,$AQ$4*AH20)</f>
        <v>26.676572081318774</v>
      </c>
      <c r="AV20" s="155" cm="1">
        <f t="array" ref="AV20">_xlfn.IFS($AQ20=$AP$1,$AQ$1*AI20,$AQ20=$AP$2,$AQ$2*AI20,$AQ20=$AP$3,$AQ$3*AI20,$AQ20=$AP$4,$AQ$4*AI20)</f>
        <v>216.7557258366254</v>
      </c>
      <c r="AW20" s="155" cm="1">
        <f t="array" ref="AW20">_xlfn.IFS($AQ20=$AP$1,$AQ$1*AJ20,$AQ20=$AP$2,$AQ$2*AJ20,$AQ20=$AP$3,$AQ$3*AJ20,$AQ20=$AP$4,$AQ$4*AJ20)</f>
        <v>383.5104159934001</v>
      </c>
      <c r="AX20" s="155" cm="1">
        <f t="array" ref="AX20">_xlfn.IFS($AQ20=$AP$1,$AQ$1*AK20,$AQ20=$AP$2,$AQ$2*AK20,$AQ20=$AP$3,$AQ$3*AK20,$AQ20=$AP$4,$AQ$4*AK20)</f>
        <v>781.75884487914811</v>
      </c>
      <c r="AY20" s="155" cm="1">
        <f t="array" ref="AY20">_xlfn.IFS($AQ20=$AP$1,$AQ$1*AL20,$AQ20=$AP$2,$AQ$2*AL20,$AQ20=$AP$3,$AQ$3*AL20,$AQ20=$AP$4,$AQ$4*AL20)</f>
        <v>1155.5512264820857</v>
      </c>
      <c r="AZ20" s="155" cm="1">
        <f t="array" ref="AZ20">_xlfn.IFS($AQ20=$AP$1,$AQ$1*AM20,$AQ20=$AP$2,$AQ$2*AM20,$AQ20=$AP$3,$AQ$3*AM20,$AQ20=$AP$4,$AQ$4*AM20)</f>
        <v>1185.8134884155916</v>
      </c>
      <c r="BA20" s="155" cm="1">
        <f t="array" ref="BA20">_xlfn.IFS($AQ20=$AP$1,$AQ$1*AN20,$AQ20=$AP$2,$AQ$2*AN20,$AQ20=$AP$3,$AQ$3*AN20,$AQ20=$AP$4,$AQ$4*AN20)</f>
        <v>1210.7155716723187</v>
      </c>
      <c r="BB20" s="155">
        <f>Table2[[#This Row],[FINAL Project System Capacity (MW)]]</f>
        <v>9</v>
      </c>
      <c r="BC20" s="155" t="str">
        <f>Table2[[#This Row],[FN Parent  '#]]</f>
        <v>FN005819</v>
      </c>
      <c r="BD20" s="155">
        <f t="shared" si="25"/>
        <v>9</v>
      </c>
      <c r="BF20" s="155">
        <f t="shared" si="14"/>
        <v>0</v>
      </c>
      <c r="BG20" s="155">
        <f t="shared" si="15"/>
        <v>0.4662789564002891</v>
      </c>
      <c r="BH20" s="155">
        <f t="shared" si="16"/>
        <v>2.8097512776449651</v>
      </c>
      <c r="BI20" s="155">
        <f t="shared" si="17"/>
        <v>2.9640635645909748</v>
      </c>
      <c r="BJ20" s="155">
        <f t="shared" si="18"/>
        <v>24.083969537402822</v>
      </c>
      <c r="BK20" s="155">
        <f t="shared" si="19"/>
        <v>42.612268443711123</v>
      </c>
      <c r="BL20" s="155">
        <f t="shared" si="20"/>
        <v>86.8620938754609</v>
      </c>
      <c r="BM20" s="155">
        <f t="shared" si="21"/>
        <v>128.39458072023174</v>
      </c>
      <c r="BN20" s="155">
        <f t="shared" si="22"/>
        <v>131.75705426839906</v>
      </c>
      <c r="BO20" s="155">
        <f t="shared" si="23"/>
        <v>134.5239524080354</v>
      </c>
      <c r="BP20" s="155">
        <f t="shared" si="24"/>
        <v>45.64839680060927</v>
      </c>
      <c r="BR20" s="206" t="s">
        <v>233</v>
      </c>
      <c r="BS20" s="155">
        <f t="shared" si="2"/>
        <v>65.519671246015676</v>
      </c>
      <c r="BT20" s="155">
        <f t="shared" si="3"/>
        <v>85</v>
      </c>
    </row>
    <row r="21" spans="1:72">
      <c r="A21" s="155" t="s">
        <v>217</v>
      </c>
      <c r="B21" s="155" t="s">
        <v>1028</v>
      </c>
      <c r="C21" s="155" t="s">
        <v>208</v>
      </c>
      <c r="D21" s="155">
        <v>9</v>
      </c>
      <c r="E21" s="189">
        <v>0</v>
      </c>
      <c r="F21" s="67">
        <v>10</v>
      </c>
      <c r="G21" s="67">
        <v>10</v>
      </c>
      <c r="H21" s="67">
        <v>221</v>
      </c>
      <c r="I21" s="67">
        <v>359</v>
      </c>
      <c r="J21" s="67">
        <v>150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Q21" s="202" t="s">
        <v>217</v>
      </c>
      <c r="R21" s="202" t="s">
        <v>1028</v>
      </c>
      <c r="S21" s="202" t="s">
        <v>208</v>
      </c>
      <c r="T21" s="76">
        <f>SUM($E21:F22)</f>
        <v>30</v>
      </c>
      <c r="U21" s="76">
        <f>SUM($E21:G22)</f>
        <v>60</v>
      </c>
      <c r="V21" s="76">
        <f>SUM($E21:H22)</f>
        <v>331</v>
      </c>
      <c r="W21" s="76">
        <f>SUM($E21:I22)</f>
        <v>740</v>
      </c>
      <c r="X21" s="76">
        <f>SUM($E21:J22)</f>
        <v>2570</v>
      </c>
      <c r="Y21" s="76">
        <f>SUM($E21:K22)</f>
        <v>3170</v>
      </c>
      <c r="Z21" s="76">
        <f>SUM($E21:L22)</f>
        <v>3170</v>
      </c>
      <c r="AA21" s="76">
        <f>SUM($E21:M22)</f>
        <v>3170</v>
      </c>
      <c r="AB21" s="76">
        <f>SUM($E21:N22)</f>
        <v>3170</v>
      </c>
      <c r="AC21" s="76">
        <f>SUM($E21:O22)</f>
        <v>3170</v>
      </c>
      <c r="AE21" s="76">
        <f t="shared" si="4"/>
        <v>30</v>
      </c>
      <c r="AF21" s="76">
        <f t="shared" si="5"/>
        <v>61.259999999999991</v>
      </c>
      <c r="AG21" s="76">
        <f t="shared" si="6"/>
        <v>345.0479709999999</v>
      </c>
      <c r="AH21" s="76">
        <f t="shared" si="7"/>
        <v>787.60587313999974</v>
      </c>
      <c r="AI21" s="76">
        <f t="shared" si="8"/>
        <v>2792.7759228961686</v>
      </c>
      <c r="AJ21" s="76">
        <f t="shared" si="9"/>
        <v>3517.126369170448</v>
      </c>
      <c r="AK21" s="76">
        <f t="shared" si="10"/>
        <v>3590.9860229230271</v>
      </c>
      <c r="AL21" s="76">
        <f t="shared" si="11"/>
        <v>3666.3967294044101</v>
      </c>
      <c r="AM21" s="76">
        <f t="shared" si="12"/>
        <v>3743.3910607219022</v>
      </c>
      <c r="AN21" s="76">
        <f t="shared" si="13"/>
        <v>3822.0022729970615</v>
      </c>
      <c r="AP21" s="202" t="s">
        <v>217</v>
      </c>
      <c r="AQ21" s="202" t="s">
        <v>208</v>
      </c>
      <c r="AR21" s="155" cm="1">
        <f t="array" ref="AR21">_xlfn.IFS($AQ21=$AP$1,$AQ$1*AE21,$AQ21=$AP$2,$AQ$2*AE21,$AQ21=$AP$3,$AQ$3*AE21,$AQ21=$AP$4,$AQ$4*AE21)</f>
        <v>4.2387797131580385</v>
      </c>
      <c r="AS21" s="155" cm="1">
        <f t="array" ref="AS21">_xlfn.IFS($AQ21=$AP$1,$AQ$1*AF21,$AQ21=$AP$2,$AQ$2*AF21,$AQ21=$AP$3,$AQ$3*AF21,$AQ21=$AP$4,$AQ$4*AF21)</f>
        <v>8.6555881742687131</v>
      </c>
      <c r="AT21" s="155" cm="1">
        <f t="array" ref="AT21">_xlfn.IFS($AQ21=$AP$1,$AQ$1*AG21,$AQ21=$AP$2,$AQ$2*AG21,$AQ21=$AP$3,$AQ$3*AG21,$AQ21=$AP$4,$AQ$4*AG21)</f>
        <v>48.752744651371422</v>
      </c>
      <c r="AU21" s="155" cm="1">
        <f t="array" ref="AU21">_xlfn.IFS($AQ21=$AP$1,$AQ$1*AH21,$AQ21=$AP$2,$AQ$2*AH21,$AQ21=$AP$3,$AQ$3*AH21,$AQ21=$AP$4,$AQ$4*AH21)</f>
        <v>111.28292656766516</v>
      </c>
      <c r="AV21" s="155" cm="1">
        <f t="array" ref="AV21">_xlfn.IFS($AQ21=$AP$1,$AQ$1*AI21,$AQ21=$AP$2,$AQ$2*AI21,$AQ21=$AP$3,$AQ$3*AI21,$AQ21=$AP$4,$AQ$4*AI21)</f>
        <v>394.59873084561661</v>
      </c>
      <c r="AW21" s="155" cm="1">
        <f t="array" ref="AW21">_xlfn.IFS($AQ21=$AP$1,$AQ$1*AJ21,$AQ21=$AP$2,$AQ$2*AJ21,$AQ21=$AP$3,$AQ$3*AJ21,$AQ21=$AP$4,$AQ$4*AJ21)</f>
        <v>496.94413007509615</v>
      </c>
      <c r="AX21" s="155" cm="1">
        <f t="array" ref="AX21">_xlfn.IFS($AQ21=$AP$1,$AQ$1*AK21,$AQ21=$AP$2,$AQ$2*AK21,$AQ21=$AP$3,$AQ$3*AK21,$AQ21=$AP$4,$AQ$4*AK21)</f>
        <v>507.37995680667314</v>
      </c>
      <c r="AY21" s="155" cm="1">
        <f t="array" ref="AY21">_xlfn.IFS($AQ21=$AP$1,$AQ$1*AL21,$AQ21=$AP$2,$AQ$2*AL21,$AQ21=$AP$3,$AQ$3*AL21,$AQ21=$AP$4,$AQ$4*AL21)</f>
        <v>518.03493589961317</v>
      </c>
      <c r="AZ21" s="155" cm="1">
        <f t="array" ref="AZ21">_xlfn.IFS($AQ21=$AP$1,$AQ$1*AM21,$AQ21=$AP$2,$AQ$2*AM21,$AQ21=$AP$3,$AQ$3*AM21,$AQ21=$AP$4,$AQ$4*AM21)</f>
        <v>528.91366955350497</v>
      </c>
      <c r="BA21" s="155" cm="1">
        <f t="array" ref="BA21">_xlfn.IFS($AQ21=$AP$1,$AQ$1*AN21,$AQ21=$AP$2,$AQ$2*AN21,$AQ21=$AP$3,$AQ$3*AN21,$AQ21=$AP$4,$AQ$4*AN21)</f>
        <v>540.02085661412855</v>
      </c>
      <c r="BB21" s="155">
        <f>Table2[[#This Row],[FINAL Project System Capacity (MW)]]</f>
        <v>9</v>
      </c>
      <c r="BC21" s="155" t="str">
        <f>Table2[[#This Row],[FN Parent  '#]]</f>
        <v>FN005842</v>
      </c>
      <c r="BD21" s="155">
        <f t="shared" si="25"/>
        <v>9</v>
      </c>
      <c r="BE21" s="155">
        <f t="shared" si="26"/>
        <v>9</v>
      </c>
      <c r="BF21" s="155">
        <f t="shared" si="14"/>
        <v>0.47097552368422652</v>
      </c>
      <c r="BG21" s="155">
        <f t="shared" si="15"/>
        <v>0.9617320193631903</v>
      </c>
      <c r="BH21" s="155">
        <f t="shared" si="16"/>
        <v>5.4169716279301579</v>
      </c>
      <c r="BI21" s="155">
        <f t="shared" si="17"/>
        <v>12.364769618629461</v>
      </c>
      <c r="BJ21" s="155">
        <f t="shared" si="18"/>
        <v>43.844303427290733</v>
      </c>
      <c r="BK21" s="155">
        <f t="shared" si="19"/>
        <v>55.216014452788464</v>
      </c>
      <c r="BL21" s="155">
        <f t="shared" si="20"/>
        <v>56.375550756297017</v>
      </c>
      <c r="BM21" s="155">
        <f t="shared" si="21"/>
        <v>57.559437322179242</v>
      </c>
      <c r="BN21" s="155">
        <f t="shared" si="22"/>
        <v>58.768185505944999</v>
      </c>
      <c r="BO21" s="155">
        <f t="shared" si="23"/>
        <v>60.00231740156984</v>
      </c>
      <c r="BP21" s="155">
        <f t="shared" si="24"/>
        <v>30.588968583964078</v>
      </c>
      <c r="BR21" s="206" t="s">
        <v>229</v>
      </c>
      <c r="BS21" s="155">
        <f t="shared" si="2"/>
        <v>59.104364278363875</v>
      </c>
      <c r="BT21" s="155">
        <f t="shared" si="3"/>
        <v>40</v>
      </c>
    </row>
    <row r="22" spans="1:72">
      <c r="A22" s="155" t="s">
        <v>217</v>
      </c>
      <c r="B22" s="155" t="s">
        <v>1028</v>
      </c>
      <c r="C22" s="155" t="s">
        <v>208</v>
      </c>
      <c r="D22" s="155">
        <v>9</v>
      </c>
      <c r="E22" s="189">
        <v>0</v>
      </c>
      <c r="F22" s="67">
        <v>20</v>
      </c>
      <c r="G22" s="67">
        <v>20</v>
      </c>
      <c r="H22" s="67">
        <v>50</v>
      </c>
      <c r="I22" s="67">
        <v>50</v>
      </c>
      <c r="J22" s="67">
        <v>1680</v>
      </c>
      <c r="K22" s="67">
        <v>600</v>
      </c>
      <c r="L22" s="67">
        <v>0</v>
      </c>
      <c r="M22" s="67">
        <v>0</v>
      </c>
      <c r="N22" s="67">
        <v>0</v>
      </c>
      <c r="O22" s="67">
        <v>0</v>
      </c>
      <c r="Q22" s="201" t="s">
        <v>217</v>
      </c>
      <c r="R22" s="201" t="s">
        <v>1028</v>
      </c>
      <c r="S22" s="201" t="s">
        <v>208</v>
      </c>
      <c r="U22" s="155"/>
      <c r="V22" s="155"/>
      <c r="W22" s="155"/>
      <c r="X22" s="155"/>
      <c r="Y22" s="155"/>
      <c r="Z22" s="155"/>
      <c r="AA22" s="155"/>
      <c r="AB22" s="155"/>
      <c r="AC22" s="155"/>
      <c r="AE22" s="76">
        <f t="shared" si="4"/>
        <v>0</v>
      </c>
      <c r="AF22" s="76">
        <f t="shared" si="5"/>
        <v>0</v>
      </c>
      <c r="AG22" s="76">
        <f t="shared" si="6"/>
        <v>0</v>
      </c>
      <c r="AH22" s="76">
        <f t="shared" si="7"/>
        <v>0</v>
      </c>
      <c r="AI22" s="76">
        <f t="shared" si="8"/>
        <v>0</v>
      </c>
      <c r="AJ22" s="76">
        <f t="shared" si="9"/>
        <v>0</v>
      </c>
      <c r="AK22" s="76">
        <f t="shared" si="10"/>
        <v>0</v>
      </c>
      <c r="AL22" s="76">
        <f t="shared" si="11"/>
        <v>0</v>
      </c>
      <c r="AM22" s="76">
        <f t="shared" si="12"/>
        <v>0</v>
      </c>
      <c r="AN22" s="76">
        <f t="shared" si="13"/>
        <v>0</v>
      </c>
      <c r="AP22" s="201" t="s">
        <v>217</v>
      </c>
      <c r="AQ22" s="201" t="s">
        <v>208</v>
      </c>
      <c r="AR22" s="155" cm="1">
        <f t="array" ref="AR22">_xlfn.IFS($AQ22=$AP$1,$AQ$1*AE22,$AQ22=$AP$2,$AQ$2*AE22,$AQ22=$AP$3,$AQ$3*AE22,$AQ22=$AP$4,$AQ$4*AE22)</f>
        <v>0</v>
      </c>
      <c r="AS22" s="155" cm="1">
        <f t="array" ref="AS22">_xlfn.IFS($AQ22=$AP$1,$AQ$1*AF22,$AQ22=$AP$2,$AQ$2*AF22,$AQ22=$AP$3,$AQ$3*AF22,$AQ22=$AP$4,$AQ$4*AF22)</f>
        <v>0</v>
      </c>
      <c r="AT22" s="155" cm="1">
        <f t="array" ref="AT22">_xlfn.IFS($AQ22=$AP$1,$AQ$1*AG22,$AQ22=$AP$2,$AQ$2*AG22,$AQ22=$AP$3,$AQ$3*AG22,$AQ22=$AP$4,$AQ$4*AG22)</f>
        <v>0</v>
      </c>
      <c r="AU22" s="155" cm="1">
        <f t="array" ref="AU22">_xlfn.IFS($AQ22=$AP$1,$AQ$1*AH22,$AQ22=$AP$2,$AQ$2*AH22,$AQ22=$AP$3,$AQ$3*AH22,$AQ22=$AP$4,$AQ$4*AH22)</f>
        <v>0</v>
      </c>
      <c r="AV22" s="155" cm="1">
        <f t="array" ref="AV22">_xlfn.IFS($AQ22=$AP$1,$AQ$1*AI22,$AQ22=$AP$2,$AQ$2*AI22,$AQ22=$AP$3,$AQ$3*AI22,$AQ22=$AP$4,$AQ$4*AI22)</f>
        <v>0</v>
      </c>
      <c r="AW22" s="155" cm="1">
        <f t="array" ref="AW22">_xlfn.IFS($AQ22=$AP$1,$AQ$1*AJ22,$AQ22=$AP$2,$AQ$2*AJ22,$AQ22=$AP$3,$AQ$3*AJ22,$AQ22=$AP$4,$AQ$4*AJ22)</f>
        <v>0</v>
      </c>
      <c r="AX22" s="155" cm="1">
        <f t="array" ref="AX22">_xlfn.IFS($AQ22=$AP$1,$AQ$1*AK22,$AQ22=$AP$2,$AQ$2*AK22,$AQ22=$AP$3,$AQ$3*AK22,$AQ22=$AP$4,$AQ$4*AK22)</f>
        <v>0</v>
      </c>
      <c r="AY22" s="155" cm="1">
        <f t="array" ref="AY22">_xlfn.IFS($AQ22=$AP$1,$AQ$1*AL22,$AQ22=$AP$2,$AQ$2*AL22,$AQ22=$AP$3,$AQ$3*AL22,$AQ22=$AP$4,$AQ$4*AL22)</f>
        <v>0</v>
      </c>
      <c r="AZ22" s="155" cm="1">
        <f t="array" ref="AZ22">_xlfn.IFS($AQ22=$AP$1,$AQ$1*AM22,$AQ22=$AP$2,$AQ$2*AM22,$AQ22=$AP$3,$AQ$3*AM22,$AQ22=$AP$4,$AQ$4*AM22)</f>
        <v>0</v>
      </c>
      <c r="BA22" s="155" cm="1">
        <f t="array" ref="BA22">_xlfn.IFS($AQ22=$AP$1,$AQ$1*AN22,$AQ22=$AP$2,$AQ$2*AN22,$AQ22=$AP$3,$AQ$3*AN22,$AQ22=$AP$4,$AQ$4*AN22)</f>
        <v>0</v>
      </c>
      <c r="BB22" s="155"/>
      <c r="BC22" s="155" t="str">
        <f>Table2[[#This Row],[FN Parent  '#]]</f>
        <v>FN005842</v>
      </c>
      <c r="BD22" s="155">
        <f t="shared" si="25"/>
        <v>0</v>
      </c>
      <c r="BF22" s="155" t="str">
        <f t="shared" si="14"/>
        <v/>
      </c>
      <c r="BG22" s="155" t="str">
        <f t="shared" si="15"/>
        <v/>
      </c>
      <c r="BH22" s="155" t="str">
        <f t="shared" si="16"/>
        <v/>
      </c>
      <c r="BI22" s="155" t="str">
        <f t="shared" si="17"/>
        <v/>
      </c>
      <c r="BJ22" s="155" t="str">
        <f t="shared" si="18"/>
        <v/>
      </c>
      <c r="BK22" s="155" t="str">
        <f t="shared" si="19"/>
        <v/>
      </c>
      <c r="BL22" s="155" t="str">
        <f t="shared" si="20"/>
        <v/>
      </c>
      <c r="BM22" s="155" t="str">
        <f t="shared" si="21"/>
        <v/>
      </c>
      <c r="BN22" s="155" t="str">
        <f t="shared" si="22"/>
        <v/>
      </c>
      <c r="BO22" s="155" t="str">
        <f t="shared" si="23"/>
        <v/>
      </c>
      <c r="BP22" s="155">
        <f t="shared" si="24"/>
        <v>0</v>
      </c>
      <c r="BR22" s="206" t="s">
        <v>230</v>
      </c>
      <c r="BS22" s="155">
        <f t="shared" si="2"/>
        <v>11.107715739602224</v>
      </c>
      <c r="BT22" s="155">
        <f t="shared" si="3"/>
        <v>10</v>
      </c>
    </row>
    <row r="23" spans="1:72">
      <c r="A23" s="155" t="s">
        <v>217</v>
      </c>
      <c r="B23" s="155" t="s">
        <v>1028</v>
      </c>
      <c r="C23" s="155" t="s">
        <v>207</v>
      </c>
      <c r="D23" s="155">
        <v>9</v>
      </c>
      <c r="E23" s="189">
        <v>0</v>
      </c>
      <c r="F23" s="67">
        <v>120</v>
      </c>
      <c r="G23" s="67">
        <v>480</v>
      </c>
      <c r="H23" s="67">
        <v>1790</v>
      </c>
      <c r="I23" s="67">
        <v>600</v>
      </c>
      <c r="J23" s="67">
        <v>600</v>
      </c>
      <c r="K23" s="67">
        <v>6980</v>
      </c>
      <c r="L23" s="67">
        <v>8850</v>
      </c>
      <c r="M23" s="67">
        <v>580</v>
      </c>
      <c r="N23" s="67">
        <v>0</v>
      </c>
      <c r="O23" s="67">
        <v>0</v>
      </c>
      <c r="Q23" s="202" t="s">
        <v>217</v>
      </c>
      <c r="R23" s="202" t="s">
        <v>1028</v>
      </c>
      <c r="S23" s="202" t="s">
        <v>207</v>
      </c>
      <c r="T23" s="76">
        <f>SUM($E23:F23)</f>
        <v>120</v>
      </c>
      <c r="U23" s="76">
        <f>SUM($E23:G23)</f>
        <v>600</v>
      </c>
      <c r="V23" s="76">
        <f>SUM($E23:H23)</f>
        <v>2390</v>
      </c>
      <c r="W23" s="76">
        <f>SUM($E23:I23)</f>
        <v>2990</v>
      </c>
      <c r="X23" s="76">
        <f>SUM($E23:J23)</f>
        <v>3590</v>
      </c>
      <c r="Y23" s="76">
        <f>SUM($E23:K23)</f>
        <v>10570</v>
      </c>
      <c r="Z23" s="76">
        <f>SUM($E23:L23)</f>
        <v>19420</v>
      </c>
      <c r="AA23" s="76">
        <f>SUM($E23:M23)</f>
        <v>20000</v>
      </c>
      <c r="AB23" s="76">
        <f>SUM($E23:N23)</f>
        <v>20000</v>
      </c>
      <c r="AC23" s="76">
        <f>SUM($E23:O23)</f>
        <v>20000</v>
      </c>
      <c r="AE23" s="76">
        <f t="shared" si="4"/>
        <v>120</v>
      </c>
      <c r="AF23" s="76">
        <f t="shared" si="5"/>
        <v>612.59999999999991</v>
      </c>
      <c r="AG23" s="76">
        <f t="shared" si="6"/>
        <v>2491.4339899999995</v>
      </c>
      <c r="AH23" s="76">
        <f t="shared" si="7"/>
        <v>3182.3534603899989</v>
      </c>
      <c r="AI23" s="76">
        <f t="shared" si="8"/>
        <v>3901.1928261467879</v>
      </c>
      <c r="AJ23" s="76">
        <f t="shared" si="9"/>
        <v>11727.452909189789</v>
      </c>
      <c r="AK23" s="76">
        <f t="shared" si="10"/>
        <v>21999.03740226031</v>
      </c>
      <c r="AL23" s="76">
        <f t="shared" si="11"/>
        <v>23131.840564065678</v>
      </c>
      <c r="AM23" s="76">
        <f t="shared" si="12"/>
        <v>23617.609215911056</v>
      </c>
      <c r="AN23" s="76">
        <f t="shared" si="13"/>
        <v>24113.579009445184</v>
      </c>
      <c r="AP23" s="202" t="s">
        <v>217</v>
      </c>
      <c r="AQ23" s="202" t="s">
        <v>207</v>
      </c>
      <c r="AR23" s="155" cm="1">
        <f t="array" ref="AR23">_xlfn.IFS($AQ23=$AP$1,$AQ$1*AE23,$AQ23=$AP$2,$AQ$2*AE23,$AQ23=$AP$3,$AQ$3*AE23,$AQ23=$AP$4,$AQ$4*AE23)</f>
        <v>9.6710505446853787</v>
      </c>
      <c r="AS23" s="155" cm="1">
        <f t="array" ref="AS23">_xlfn.IFS($AQ23=$AP$1,$AQ$1*AF23,$AQ23=$AP$2,$AQ$2*AF23,$AQ23=$AP$3,$AQ$3*AF23,$AQ23=$AP$4,$AQ$4*AF23)</f>
        <v>49.370713030618845</v>
      </c>
      <c r="AT23" s="155" cm="1">
        <f t="array" ref="AT23">_xlfn.IFS($AQ23=$AP$1,$AQ$1*AG23,$AQ23=$AP$2,$AQ$2*AG23,$AQ23=$AP$3,$AQ$3*AG23,$AQ23=$AP$4,$AQ$4*AG23)</f>
        <v>200.78986705030965</v>
      </c>
      <c r="AU23" s="155" cm="1">
        <f t="array" ref="AU23">_xlfn.IFS($AQ23=$AP$1,$AQ$1*AH23,$AQ23=$AP$2,$AQ$2*AH23,$AQ23=$AP$3,$AQ$3*AH23,$AQ23=$AP$4,$AQ$4*AH23)</f>
        <v>256.47250972071748</v>
      </c>
      <c r="AV23" s="155" cm="1">
        <f t="array" ref="AV23">_xlfn.IFS($AQ23=$AP$1,$AQ$1*AI23,$AQ23=$AP$2,$AQ$2*AI23,$AQ23=$AP$3,$AQ$3*AI23,$AQ23=$AP$4,$AQ$4*AI23)</f>
        <v>314.40527505191318</v>
      </c>
      <c r="AW23" s="155" cm="1">
        <f t="array" ref="AW23">_xlfn.IFS($AQ23=$AP$1,$AQ$1*AJ23,$AQ23=$AP$2,$AQ$2*AJ23,$AQ23=$AP$3,$AQ$3*AJ23,$AQ23=$AP$4,$AQ$4*AJ23)</f>
        <v>945.13991537660024</v>
      </c>
      <c r="AX23" s="155" cm="1">
        <f t="array" ref="AX23">_xlfn.IFS($AQ23=$AP$1,$AQ$1*AK23,$AQ23=$AP$2,$AQ$2*AK23,$AQ23=$AP$3,$AQ$3*AK23,$AQ23=$AP$4,$AQ$4*AK23)</f>
        <v>1772.9483554306964</v>
      </c>
      <c r="AY23" s="155" cm="1">
        <f t="array" ref="AY23">_xlfn.IFS($AQ23=$AP$1,$AQ$1*AL23,$AQ23=$AP$2,$AQ$2*AL23,$AQ23=$AP$3,$AQ$3*AL23,$AQ23=$AP$4,$AQ$4*AL23)</f>
        <v>1864.2433273890224</v>
      </c>
      <c r="AZ23" s="155" cm="1">
        <f t="array" ref="AZ23">_xlfn.IFS($AQ23=$AP$1,$AQ$1*AM23,$AQ23=$AP$2,$AQ$2*AM23,$AQ23=$AP$3,$AQ$3*AM23,$AQ23=$AP$4,$AQ$4*AM23)</f>
        <v>1903.3924372641918</v>
      </c>
      <c r="BA23" s="155" cm="1">
        <f t="array" ref="BA23">_xlfn.IFS($AQ23=$AP$1,$AQ$1*AN23,$AQ23=$AP$2,$AQ$2*AN23,$AQ23=$AP$3,$AQ$3*AN23,$AQ23=$AP$4,$AQ$4*AN23)</f>
        <v>1943.3636784467394</v>
      </c>
      <c r="BB23" s="155">
        <f>Table2[[#This Row],[FINAL Project System Capacity (MW)]]</f>
        <v>9</v>
      </c>
      <c r="BC23" s="155" t="str">
        <f>Table2[[#This Row],[FN Parent  '#]]</f>
        <v>FN005842</v>
      </c>
      <c r="BD23" s="155">
        <f t="shared" si="25"/>
        <v>9</v>
      </c>
      <c r="BF23" s="155">
        <f t="shared" si="14"/>
        <v>1.0745611716317087</v>
      </c>
      <c r="BG23" s="155">
        <f t="shared" si="15"/>
        <v>5.485634781179872</v>
      </c>
      <c r="BH23" s="155">
        <f t="shared" si="16"/>
        <v>22.309985227812184</v>
      </c>
      <c r="BI23" s="155">
        <f t="shared" si="17"/>
        <v>28.496945524524165</v>
      </c>
      <c r="BJ23" s="155">
        <f t="shared" si="18"/>
        <v>34.933919450212578</v>
      </c>
      <c r="BK23" s="155">
        <f t="shared" si="19"/>
        <v>105.01554615295558</v>
      </c>
      <c r="BL23" s="155">
        <f t="shared" si="20"/>
        <v>196.99426171452183</v>
      </c>
      <c r="BM23" s="155">
        <f t="shared" si="21"/>
        <v>207.13814748766916</v>
      </c>
      <c r="BN23" s="155">
        <f t="shared" si="22"/>
        <v>211.48804858491019</v>
      </c>
      <c r="BO23" s="155">
        <f t="shared" si="23"/>
        <v>215.92929760519326</v>
      </c>
      <c r="BP23" s="155">
        <f t="shared" si="24"/>
        <v>86.945112689180718</v>
      </c>
      <c r="BR23" s="206" t="s">
        <v>231</v>
      </c>
      <c r="BS23" s="155">
        <f t="shared" si="2"/>
        <v>135.74509227261558</v>
      </c>
      <c r="BT23" s="155">
        <f t="shared" si="3"/>
        <v>1.5</v>
      </c>
    </row>
    <row r="24" spans="1:72">
      <c r="A24" s="155" t="s">
        <v>1587</v>
      </c>
      <c r="B24" s="155" t="s">
        <v>992</v>
      </c>
      <c r="C24" s="155" t="s">
        <v>208</v>
      </c>
      <c r="D24" s="155">
        <v>9</v>
      </c>
      <c r="E24" s="189">
        <v>14784.81408</v>
      </c>
      <c r="F24" s="67">
        <v>532.90121999999997</v>
      </c>
      <c r="G24" s="67">
        <v>399.13598000000002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v>0</v>
      </c>
      <c r="Q24" s="201" t="s">
        <v>1587</v>
      </c>
      <c r="R24" s="201" t="s">
        <v>992</v>
      </c>
      <c r="S24" s="201" t="s">
        <v>208</v>
      </c>
      <c r="T24" s="76">
        <f>SUM($E24:F24)</f>
        <v>15317.7153</v>
      </c>
      <c r="U24" s="76">
        <f>SUM($E24:G24)</f>
        <v>15716.851279999999</v>
      </c>
      <c r="V24" s="76">
        <f>SUM($E24:H24)</f>
        <v>15716.851279999999</v>
      </c>
      <c r="W24" s="76">
        <f>SUM($E24:I24)</f>
        <v>15716.851279999999</v>
      </c>
      <c r="X24" s="76">
        <f>SUM($E24:J24)</f>
        <v>15716.851279999999</v>
      </c>
      <c r="Y24" s="76">
        <f>SUM($E24:K24)</f>
        <v>15716.851279999999</v>
      </c>
      <c r="Z24" s="76">
        <f>SUM($E24:L24)</f>
        <v>15716.851279999999</v>
      </c>
      <c r="AA24" s="76">
        <f>SUM($E24:M24)</f>
        <v>15716.851279999999</v>
      </c>
      <c r="AB24" s="76">
        <f>SUM($E24:N24)</f>
        <v>15716.851279999999</v>
      </c>
      <c r="AC24" s="76">
        <f>SUM($E24:O24)</f>
        <v>15716.851279999999</v>
      </c>
      <c r="AE24" s="76">
        <f t="shared" si="4"/>
        <v>15317.7153</v>
      </c>
      <c r="AF24" s="76">
        <f t="shared" si="5"/>
        <v>16046.905156879997</v>
      </c>
      <c r="AG24" s="76">
        <f t="shared" si="6"/>
        <v>16383.890165174475</v>
      </c>
      <c r="AH24" s="76">
        <f t="shared" si="7"/>
        <v>16727.951858643137</v>
      </c>
      <c r="AI24" s="76">
        <f t="shared" si="8"/>
        <v>17079.238847674642</v>
      </c>
      <c r="AJ24" s="76">
        <f t="shared" si="9"/>
        <v>17437.902863475807</v>
      </c>
      <c r="AK24" s="76">
        <f t="shared" si="10"/>
        <v>17804.098823608798</v>
      </c>
      <c r="AL24" s="76">
        <f t="shared" si="11"/>
        <v>18177.984898904579</v>
      </c>
      <c r="AM24" s="76">
        <f t="shared" si="12"/>
        <v>18559.722581781571</v>
      </c>
      <c r="AN24" s="76">
        <f t="shared" si="13"/>
        <v>18949.476755998981</v>
      </c>
      <c r="AP24" s="201" t="s">
        <v>1587</v>
      </c>
      <c r="AQ24" s="201" t="s">
        <v>208</v>
      </c>
      <c r="AR24" s="155" cm="1">
        <f t="array" ref="AR24">_xlfn.IFS($AQ24=$AP$1,$AQ$1*AE24,$AQ24=$AP$2,$AQ$2*AE24,$AQ24=$AP$3,$AQ$3*AE24,$AQ24=$AP$4,$AQ$4*AE24)</f>
        <v>2164.2806955190167</v>
      </c>
      <c r="AS24" s="155" cm="1">
        <f t="array" ref="AS24">_xlfn.IFS($AQ24=$AP$1,$AQ$1*AF24,$AQ24=$AP$2,$AQ$2*AF24,$AQ24=$AP$3,$AQ$3*AF24,$AQ24=$AP$4,$AQ$4*AF24)</f>
        <v>2267.3098679318014</v>
      </c>
      <c r="AT24" s="155" cm="1">
        <f t="array" ref="AT24">_xlfn.IFS($AQ24=$AP$1,$AQ$1*AG24,$AQ24=$AP$2,$AQ$2*AG24,$AQ24=$AP$3,$AQ$3*AG24,$AQ24=$AP$4,$AQ$4*AG24)</f>
        <v>2314.9233751583688</v>
      </c>
      <c r="AU24" s="155" cm="1">
        <f t="array" ref="AU24">_xlfn.IFS($AQ24=$AP$1,$AQ$1*AH24,$AQ24=$AP$2,$AQ$2*AH24,$AQ24=$AP$3,$AQ$3*AH24,$AQ24=$AP$4,$AQ$4*AH24)</f>
        <v>2363.5367660366942</v>
      </c>
      <c r="AV24" s="155" cm="1">
        <f t="array" ref="AV24">_xlfn.IFS($AQ24=$AP$1,$AQ$1*AI24,$AQ24=$AP$2,$AQ$2*AI24,$AQ24=$AP$3,$AQ$3*AI24,$AQ24=$AP$4,$AQ$4*AI24)</f>
        <v>2413.1710381234648</v>
      </c>
      <c r="AW24" s="155" cm="1">
        <f t="array" ref="AW24">_xlfn.IFS($AQ24=$AP$1,$AQ$1*AJ24,$AQ24=$AP$2,$AQ$2*AJ24,$AQ24=$AP$3,$AQ$3*AJ24,$AQ24=$AP$4,$AQ$4*AJ24)</f>
        <v>2463.8476299240574</v>
      </c>
      <c r="AX24" s="155" cm="1">
        <f t="array" ref="AX24">_xlfn.IFS($AQ24=$AP$1,$AQ$1*AK24,$AQ24=$AP$2,$AQ$2*AK24,$AQ24=$AP$3,$AQ$3*AK24,$AQ24=$AP$4,$AQ$4*AK24)</f>
        <v>2515.5884301524625</v>
      </c>
      <c r="AY24" s="155" cm="1">
        <f t="array" ref="AY24">_xlfn.IFS($AQ24=$AP$1,$AQ$1*AL24,$AQ24=$AP$2,$AQ$2*AL24,$AQ24=$AP$3,$AQ$3*AL24,$AQ24=$AP$4,$AQ$4*AL24)</f>
        <v>2568.4157871856637</v>
      </c>
      <c r="AZ24" s="155" cm="1">
        <f t="array" ref="AZ24">_xlfn.IFS($AQ24=$AP$1,$AQ$1*AM24,$AQ24=$AP$2,$AQ$2*AM24,$AQ24=$AP$3,$AQ$3*AM24,$AQ24=$AP$4,$AQ$4*AM24)</f>
        <v>2622.3525187165619</v>
      </c>
      <c r="BA24" s="155" cm="1">
        <f t="array" ref="BA24">_xlfn.IFS($AQ24=$AP$1,$AQ$1*AN24,$AQ24=$AP$2,$AQ$2*AN24,$AQ24=$AP$3,$AQ$3*AN24,$AQ24=$AP$4,$AQ$4*AN24)</f>
        <v>2677.4219216096094</v>
      </c>
      <c r="BB24" s="155">
        <f>Table2[[#This Row],[FINAL Project System Capacity (MW)]]</f>
        <v>9</v>
      </c>
      <c r="BC24" s="155" t="str">
        <f>Table2[[#This Row],[FN Parent  '#]]</f>
        <v>FN005791</v>
      </c>
      <c r="BD24" s="155">
        <f t="shared" si="25"/>
        <v>9</v>
      </c>
      <c r="BE24" s="155">
        <f t="shared" si="26"/>
        <v>9</v>
      </c>
      <c r="BF24" s="155">
        <f t="shared" si="14"/>
        <v>240.47563283544631</v>
      </c>
      <c r="BG24" s="155">
        <f t="shared" si="15"/>
        <v>251.92331865908903</v>
      </c>
      <c r="BH24" s="155">
        <f t="shared" si="16"/>
        <v>257.21370835092989</v>
      </c>
      <c r="BI24" s="155">
        <f t="shared" si="17"/>
        <v>262.61519622629936</v>
      </c>
      <c r="BJ24" s="155">
        <f t="shared" si="18"/>
        <v>268.13011534705163</v>
      </c>
      <c r="BK24" s="155">
        <f t="shared" si="19"/>
        <v>273.7608477693397</v>
      </c>
      <c r="BL24" s="155">
        <f t="shared" si="20"/>
        <v>279.50982557249586</v>
      </c>
      <c r="BM24" s="155">
        <f t="shared" si="21"/>
        <v>285.37953190951816</v>
      </c>
      <c r="BN24" s="155">
        <f t="shared" si="22"/>
        <v>291.37250207961802</v>
      </c>
      <c r="BO24" s="155">
        <f t="shared" si="23"/>
        <v>297.49132462328993</v>
      </c>
      <c r="BP24" s="155">
        <f t="shared" si="24"/>
        <v>267.52377237477657</v>
      </c>
      <c r="BR24" s="206" t="s">
        <v>232</v>
      </c>
      <c r="BS24" s="155">
        <f t="shared" si="2"/>
        <v>209.15892154789148</v>
      </c>
      <c r="BT24" s="155">
        <f t="shared" si="3"/>
        <v>26.1</v>
      </c>
    </row>
    <row r="25" spans="1:72">
      <c r="A25" s="155" t="s">
        <v>1587</v>
      </c>
      <c r="B25" s="155" t="s">
        <v>992</v>
      </c>
      <c r="C25" s="155" t="s">
        <v>207</v>
      </c>
      <c r="D25" s="155">
        <v>9</v>
      </c>
      <c r="E25" s="189">
        <v>15529.21112</v>
      </c>
      <c r="F25" s="67">
        <v>4711.8928500000002</v>
      </c>
      <c r="G25" s="67">
        <v>4895.8450899999998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v>0</v>
      </c>
      <c r="Q25" s="202" t="s">
        <v>1587</v>
      </c>
      <c r="R25" s="202" t="s">
        <v>992</v>
      </c>
      <c r="S25" s="202" t="s">
        <v>207</v>
      </c>
      <c r="T25" s="76">
        <f>SUM($E25:F25)</f>
        <v>20241.10397</v>
      </c>
      <c r="U25" s="76">
        <f>SUM($E25:G25)</f>
        <v>25136.949059999999</v>
      </c>
      <c r="V25" s="76">
        <f>SUM($E25:H25)</f>
        <v>25136.949059999999</v>
      </c>
      <c r="W25" s="76">
        <f>SUM($E25:I25)</f>
        <v>25136.949059999999</v>
      </c>
      <c r="X25" s="76">
        <f>SUM($E25:J25)</f>
        <v>25136.949059999999</v>
      </c>
      <c r="Y25" s="76">
        <f>SUM($E25:K25)</f>
        <v>25136.949059999999</v>
      </c>
      <c r="Z25" s="76">
        <f>SUM($E25:L25)</f>
        <v>25136.949059999999</v>
      </c>
      <c r="AA25" s="76">
        <f>SUM($E25:M25)</f>
        <v>25136.949059999999</v>
      </c>
      <c r="AB25" s="76">
        <f>SUM($E25:N25)</f>
        <v>25136.949059999999</v>
      </c>
      <c r="AC25" s="76">
        <f>SUM($E25:O25)</f>
        <v>25136.949059999999</v>
      </c>
      <c r="AE25" s="76">
        <f t="shared" si="4"/>
        <v>20241.10397</v>
      </c>
      <c r="AF25" s="76">
        <f t="shared" si="5"/>
        <v>25664.824990259996</v>
      </c>
      <c r="AG25" s="76">
        <f t="shared" si="6"/>
        <v>26203.786315055451</v>
      </c>
      <c r="AH25" s="76">
        <f t="shared" si="7"/>
        <v>26754.065827671617</v>
      </c>
      <c r="AI25" s="76">
        <f t="shared" si="8"/>
        <v>27315.901210052714</v>
      </c>
      <c r="AJ25" s="76">
        <f t="shared" si="9"/>
        <v>27889.535135463819</v>
      </c>
      <c r="AK25" s="76">
        <f t="shared" si="10"/>
        <v>28475.215373308554</v>
      </c>
      <c r="AL25" s="76">
        <f t="shared" si="11"/>
        <v>29073.19489614803</v>
      </c>
      <c r="AM25" s="76">
        <f t="shared" si="12"/>
        <v>29683.731988967134</v>
      </c>
      <c r="AN25" s="76">
        <f t="shared" si="13"/>
        <v>30307.090360735441</v>
      </c>
      <c r="AP25" s="202" t="s">
        <v>1587</v>
      </c>
      <c r="AQ25" s="202" t="s">
        <v>207</v>
      </c>
      <c r="AR25" s="155" cm="1">
        <f t="array" ref="AR25">_xlfn.IFS($AQ25=$AP$1,$AQ$1*AE25,$AQ25=$AP$2,$AQ$2*AE25,$AQ25=$AP$3,$AQ$3*AE25,$AQ25=$AP$4,$AQ$4*AE25)</f>
        <v>1631.2728297841822</v>
      </c>
      <c r="AS25" s="155" cm="1">
        <f t="array" ref="AS25">_xlfn.IFS($AQ25=$AP$1,$AQ$1*AF25,$AQ25=$AP$2,$AQ$2*AF25,$AQ25=$AP$3,$AQ$3*AF25,$AQ25=$AP$4,$AQ$4*AF25)</f>
        <v>2068.3818308442401</v>
      </c>
      <c r="AT25" s="155" cm="1">
        <f t="array" ref="AT25">_xlfn.IFS($AQ25=$AP$1,$AQ$1*AG25,$AQ25=$AP$2,$AQ$2*AG25,$AQ25=$AP$3,$AQ$3*AG25,$AQ25=$AP$4,$AQ$4*AG25)</f>
        <v>2111.8178492919687</v>
      </c>
      <c r="AU25" s="155" cm="1">
        <f t="array" ref="AU25">_xlfn.IFS($AQ25=$AP$1,$AQ$1*AH25,$AQ25=$AP$2,$AQ$2*AH25,$AQ25=$AP$3,$AQ$3*AH25,$AQ25=$AP$4,$AQ$4*AH25)</f>
        <v>2156.1660241271002</v>
      </c>
      <c r="AV25" s="155" cm="1">
        <f t="array" ref="AV25">_xlfn.IFS($AQ25=$AP$1,$AQ$1*AI25,$AQ25=$AP$2,$AQ$2*AI25,$AQ25=$AP$3,$AQ$3*AI25,$AQ25=$AP$4,$AQ$4*AI25)</f>
        <v>2201.4455106337691</v>
      </c>
      <c r="AW25" s="155" cm="1">
        <f t="array" ref="AW25">_xlfn.IFS($AQ25=$AP$1,$AQ$1*AJ25,$AQ25=$AP$2,$AQ$2*AJ25,$AQ25=$AP$3,$AQ$3*AJ25,$AQ25=$AP$4,$AQ$4*AJ25)</f>
        <v>2247.6758663570777</v>
      </c>
      <c r="AX25" s="155" cm="1">
        <f t="array" ref="AX25">_xlfn.IFS($AQ25=$AP$1,$AQ$1*AK25,$AQ25=$AP$2,$AQ$2*AK25,$AQ25=$AP$3,$AQ$3*AK25,$AQ25=$AP$4,$AQ$4*AK25)</f>
        <v>2294.8770595505762</v>
      </c>
      <c r="AY25" s="155" cm="1">
        <f t="array" ref="AY25">_xlfn.IFS($AQ25=$AP$1,$AQ$1*AL25,$AQ25=$AP$2,$AQ$2*AL25,$AQ25=$AP$3,$AQ$3*AL25,$AQ25=$AP$4,$AQ$4*AL25)</f>
        <v>2343.069477801138</v>
      </c>
      <c r="AZ25" s="155" cm="1">
        <f t="array" ref="AZ25">_xlfn.IFS($AQ25=$AP$1,$AQ$1*AM25,$AQ25=$AP$2,$AQ$2*AM25,$AQ25=$AP$3,$AQ$3*AM25,$AQ25=$AP$4,$AQ$4*AM25)</f>
        <v>2392.2739368349617</v>
      </c>
      <c r="BA25" s="155" cm="1">
        <f t="array" ref="BA25">_xlfn.IFS($AQ25=$AP$1,$AQ$1*AN25,$AQ25=$AP$2,$AQ$2*AN25,$AQ25=$AP$3,$AQ$3*AN25,$AQ25=$AP$4,$AQ$4*AN25)</f>
        <v>2442.5116895084952</v>
      </c>
      <c r="BB25" s="155">
        <f>Table2[[#This Row],[FINAL Project System Capacity (MW)]]</f>
        <v>9</v>
      </c>
      <c r="BC25" s="155" t="str">
        <f>Table2[[#This Row],[FN Parent  '#]]</f>
        <v>FN005791</v>
      </c>
      <c r="BD25" s="155">
        <f t="shared" si="25"/>
        <v>9</v>
      </c>
      <c r="BF25" s="155">
        <f t="shared" si="14"/>
        <v>181.25253664268692</v>
      </c>
      <c r="BG25" s="155">
        <f t="shared" si="15"/>
        <v>229.82020342713778</v>
      </c>
      <c r="BH25" s="155">
        <f t="shared" si="16"/>
        <v>234.64642769910765</v>
      </c>
      <c r="BI25" s="155">
        <f t="shared" si="17"/>
        <v>239.57400268078891</v>
      </c>
      <c r="BJ25" s="155">
        <f t="shared" si="18"/>
        <v>244.60505673708545</v>
      </c>
      <c r="BK25" s="155">
        <f t="shared" si="19"/>
        <v>249.74176292856419</v>
      </c>
      <c r="BL25" s="155">
        <f t="shared" si="20"/>
        <v>254.98633995006401</v>
      </c>
      <c r="BM25" s="155">
        <f t="shared" si="21"/>
        <v>260.3410530890153</v>
      </c>
      <c r="BN25" s="155">
        <f t="shared" si="22"/>
        <v>265.80821520388463</v>
      </c>
      <c r="BO25" s="155">
        <f t="shared" si="23"/>
        <v>271.39018772316615</v>
      </c>
      <c r="BP25" s="155">
        <f t="shared" si="24"/>
        <v>239.00327267938835</v>
      </c>
      <c r="BR25" s="206" t="s">
        <v>235</v>
      </c>
      <c r="BS25" s="155">
        <f t="shared" si="2"/>
        <v>27.486824110670984</v>
      </c>
      <c r="BT25" s="155">
        <f t="shared" si="3"/>
        <v>32.5</v>
      </c>
    </row>
    <row r="26" spans="1:72">
      <c r="A26" s="155" t="s">
        <v>221</v>
      </c>
      <c r="B26" s="155" t="s">
        <v>1008</v>
      </c>
      <c r="C26" s="155" t="s">
        <v>208</v>
      </c>
      <c r="D26" s="155">
        <v>9</v>
      </c>
      <c r="E26" s="189">
        <v>0</v>
      </c>
      <c r="F26" s="67">
        <v>0</v>
      </c>
      <c r="G26" s="67">
        <v>0</v>
      </c>
      <c r="H26" s="67">
        <v>0</v>
      </c>
      <c r="I26" s="67">
        <v>40</v>
      </c>
      <c r="J26" s="67">
        <v>150</v>
      </c>
      <c r="K26" s="67">
        <v>150</v>
      </c>
      <c r="L26" s="67">
        <v>0</v>
      </c>
      <c r="M26" s="67">
        <v>0</v>
      </c>
      <c r="N26" s="67">
        <v>0</v>
      </c>
      <c r="O26" s="67">
        <v>0</v>
      </c>
      <c r="Q26" s="201" t="s">
        <v>221</v>
      </c>
      <c r="R26" s="201" t="s">
        <v>1008</v>
      </c>
      <c r="S26" s="201" t="s">
        <v>208</v>
      </c>
      <c r="T26" s="76">
        <f>SUM($E26:F27)</f>
        <v>0</v>
      </c>
      <c r="U26" s="76">
        <f>SUM($E26:G27)</f>
        <v>0</v>
      </c>
      <c r="V26" s="76">
        <f>SUM($E26:H27)</f>
        <v>0</v>
      </c>
      <c r="W26" s="76">
        <f>SUM($E26:I27)</f>
        <v>90</v>
      </c>
      <c r="X26" s="76">
        <f>SUM($E26:J27)</f>
        <v>290</v>
      </c>
      <c r="Y26" s="76">
        <f>SUM($E26:K27)</f>
        <v>2140</v>
      </c>
      <c r="Z26" s="76">
        <f>SUM($E26:L27)</f>
        <v>2740</v>
      </c>
      <c r="AA26" s="76">
        <f>SUM($E26:M27)</f>
        <v>2740</v>
      </c>
      <c r="AB26" s="76">
        <f>SUM($E26:N27)</f>
        <v>2740</v>
      </c>
      <c r="AC26" s="76">
        <f>SUM($E26:O27)</f>
        <v>2740</v>
      </c>
      <c r="AE26" s="76">
        <f t="shared" si="4"/>
        <v>0</v>
      </c>
      <c r="AF26" s="76">
        <f t="shared" si="5"/>
        <v>0</v>
      </c>
      <c r="AG26" s="76">
        <f t="shared" si="6"/>
        <v>0</v>
      </c>
      <c r="AH26" s="76">
        <f t="shared" si="7"/>
        <v>95.789903489999972</v>
      </c>
      <c r="AI26" s="76">
        <f t="shared" si="8"/>
        <v>315.13813915948987</v>
      </c>
      <c r="AJ26" s="76">
        <f t="shared" si="9"/>
        <v>2374.3376750866746</v>
      </c>
      <c r="AK26" s="76">
        <f t="shared" si="10"/>
        <v>3103.8806633467175</v>
      </c>
      <c r="AL26" s="76">
        <f t="shared" si="11"/>
        <v>3169.0621572769983</v>
      </c>
      <c r="AM26" s="76">
        <f t="shared" si="12"/>
        <v>3235.6124625798147</v>
      </c>
      <c r="AN26" s="76">
        <f t="shared" si="13"/>
        <v>3303.5603242939901</v>
      </c>
      <c r="AP26" s="201" t="s">
        <v>221</v>
      </c>
      <c r="AQ26" s="201" t="s">
        <v>208</v>
      </c>
      <c r="AR26" s="155" cm="1">
        <f t="array" ref="AR26">_xlfn.IFS($AQ26=$AP$1,$AQ$1*AE26,$AQ26=$AP$2,$AQ$2*AE26,$AQ26=$AP$3,$AQ$3*AE26,$AQ26=$AP$4,$AQ$4*AE26)</f>
        <v>0</v>
      </c>
      <c r="AS26" s="155" cm="1">
        <f t="array" ref="AS26">_xlfn.IFS($AQ26=$AP$1,$AQ$1*AF26,$AQ26=$AP$2,$AQ$2*AF26,$AQ26=$AP$3,$AQ$3*AF26,$AQ26=$AP$4,$AQ$4*AF26)</f>
        <v>0</v>
      </c>
      <c r="AT26" s="155" cm="1">
        <f t="array" ref="AT26">_xlfn.IFS($AQ26=$AP$1,$AQ$1*AG26,$AQ26=$AP$2,$AQ$2*AG26,$AQ26=$AP$3,$AQ$3*AG26,$AQ26=$AP$4,$AQ$4*AG26)</f>
        <v>0</v>
      </c>
      <c r="AU26" s="155" cm="1">
        <f t="array" ref="AU26">_xlfn.IFS($AQ26=$AP$1,$AQ$1*AH26,$AQ26=$AP$2,$AQ$2*AH26,$AQ26=$AP$3,$AQ$3*AH26,$AQ26=$AP$4,$AQ$4*AH26)</f>
        <v>13.534409987959275</v>
      </c>
      <c r="AV26" s="155" cm="1">
        <f t="array" ref="AV26">_xlfn.IFS($AQ26=$AP$1,$AQ$1*AI26,$AQ26=$AP$2,$AQ$2*AI26,$AQ26=$AP$3,$AQ$3*AI26,$AQ26=$AP$4,$AQ$4*AI26)</f>
        <v>44.526705037054015</v>
      </c>
      <c r="AW26" s="155" cm="1">
        <f t="array" ref="AW26">_xlfn.IFS($AQ26=$AP$1,$AQ$1*AJ26,$AQ26=$AP$2,$AQ$2*AJ26,$AQ26=$AP$3,$AQ$3*AJ26,$AQ26=$AP$4,$AQ$4*AJ26)</f>
        <v>335.47647897814062</v>
      </c>
      <c r="AX26" s="155" cm="1">
        <f t="array" ref="AX26">_xlfn.IFS($AQ26=$AP$1,$AQ$1*AK26,$AQ26=$AP$2,$AQ$2*AK26,$AQ26=$AP$3,$AQ$3*AK26,$AQ26=$AP$4,$AQ$4*AK26)</f>
        <v>438.5555462619194</v>
      </c>
      <c r="AY26" s="155" cm="1">
        <f t="array" ref="AY26">_xlfn.IFS($AQ26=$AP$1,$AQ$1*AL26,$AQ26=$AP$2,$AQ$2*AL26,$AQ26=$AP$3,$AQ$3*AL26,$AQ26=$AP$4,$AQ$4*AL26)</f>
        <v>447.76521273341967</v>
      </c>
      <c r="AZ26" s="155" cm="1">
        <f t="array" ref="AZ26">_xlfn.IFS($AQ26=$AP$1,$AQ$1*AM26,$AQ26=$AP$2,$AQ$2*AM26,$AQ26=$AP$3,$AQ$3*AM26,$AQ26=$AP$4,$AQ$4*AM26)</f>
        <v>457.16828220082141</v>
      </c>
      <c r="BA26" s="155" cm="1">
        <f t="array" ref="BA26">_xlfn.IFS($AQ26=$AP$1,$AQ$1*AN26,$AQ26=$AP$2,$AQ$2*AN26,$AQ26=$AP$3,$AQ$3*AN26,$AQ26=$AP$4,$AQ$4*AN26)</f>
        <v>466.76881612703852</v>
      </c>
      <c r="BB26" s="155">
        <f>Table2[[#This Row],[FINAL Project System Capacity (MW)]]</f>
        <v>9</v>
      </c>
      <c r="BC26" s="155" t="str">
        <f>Table2[[#This Row],[FN Parent  '#]]</f>
        <v>FN005820</v>
      </c>
      <c r="BD26" s="155">
        <f t="shared" si="25"/>
        <v>9</v>
      </c>
      <c r="BE26" s="155">
        <f t="shared" si="26"/>
        <v>9</v>
      </c>
      <c r="BF26" s="155">
        <f t="shared" si="14"/>
        <v>0</v>
      </c>
      <c r="BG26" s="155">
        <f t="shared" si="15"/>
        <v>0</v>
      </c>
      <c r="BH26" s="155">
        <f t="shared" si="16"/>
        <v>0</v>
      </c>
      <c r="BI26" s="155">
        <f t="shared" si="17"/>
        <v>1.503823331995475</v>
      </c>
      <c r="BJ26" s="155">
        <f t="shared" si="18"/>
        <v>4.9474116707837794</v>
      </c>
      <c r="BK26" s="155">
        <f t="shared" si="19"/>
        <v>37.275164330904516</v>
      </c>
      <c r="BL26" s="155">
        <f t="shared" si="20"/>
        <v>48.728394029102155</v>
      </c>
      <c r="BM26" s="155">
        <f t="shared" si="21"/>
        <v>49.751690303713296</v>
      </c>
      <c r="BN26" s="155">
        <f t="shared" si="22"/>
        <v>50.796475800091265</v>
      </c>
      <c r="BO26" s="155">
        <f t="shared" si="23"/>
        <v>51.863201791893168</v>
      </c>
      <c r="BP26" s="155">
        <f t="shared" si="24"/>
        <v>20.405716798562239</v>
      </c>
      <c r="BR26" s="206" t="s">
        <v>236</v>
      </c>
      <c r="BS26" s="155">
        <f t="shared" si="2"/>
        <v>73.482719618426898</v>
      </c>
      <c r="BT26" s="155">
        <f t="shared" si="3"/>
        <v>77</v>
      </c>
    </row>
    <row r="27" spans="1:72">
      <c r="A27" s="155" t="s">
        <v>221</v>
      </c>
      <c r="B27" s="155" t="s">
        <v>1008</v>
      </c>
      <c r="C27" s="155" t="s">
        <v>208</v>
      </c>
      <c r="D27" s="155">
        <v>9</v>
      </c>
      <c r="E27" s="189">
        <v>0</v>
      </c>
      <c r="F27" s="67">
        <v>0</v>
      </c>
      <c r="G27" s="67">
        <v>0</v>
      </c>
      <c r="H27" s="67">
        <v>0</v>
      </c>
      <c r="I27" s="67">
        <v>50</v>
      </c>
      <c r="J27" s="67">
        <v>50</v>
      </c>
      <c r="K27" s="67">
        <v>1700</v>
      </c>
      <c r="L27" s="67">
        <v>600</v>
      </c>
      <c r="M27" s="67">
        <v>0</v>
      </c>
      <c r="N27" s="67">
        <v>0</v>
      </c>
      <c r="O27" s="67">
        <v>0</v>
      </c>
      <c r="Q27" s="202" t="s">
        <v>221</v>
      </c>
      <c r="R27" s="202" t="s">
        <v>1008</v>
      </c>
      <c r="S27" s="202" t="s">
        <v>208</v>
      </c>
      <c r="U27" s="155"/>
      <c r="V27" s="155"/>
      <c r="W27" s="155"/>
      <c r="X27" s="155"/>
      <c r="Y27" s="155"/>
      <c r="Z27" s="155"/>
      <c r="AA27" s="155"/>
      <c r="AB27" s="155"/>
      <c r="AC27" s="155"/>
      <c r="AE27" s="76">
        <f t="shared" si="4"/>
        <v>0</v>
      </c>
      <c r="AF27" s="76">
        <f t="shared" si="5"/>
        <v>0</v>
      </c>
      <c r="AG27" s="76">
        <f t="shared" si="6"/>
        <v>0</v>
      </c>
      <c r="AH27" s="76">
        <f t="shared" si="7"/>
        <v>0</v>
      </c>
      <c r="AI27" s="76">
        <f t="shared" si="8"/>
        <v>0</v>
      </c>
      <c r="AJ27" s="76">
        <f t="shared" si="9"/>
        <v>0</v>
      </c>
      <c r="AK27" s="76">
        <f t="shared" si="10"/>
        <v>0</v>
      </c>
      <c r="AL27" s="76">
        <f t="shared" si="11"/>
        <v>0</v>
      </c>
      <c r="AM27" s="76">
        <f t="shared" si="12"/>
        <v>0</v>
      </c>
      <c r="AN27" s="76">
        <f t="shared" si="13"/>
        <v>0</v>
      </c>
      <c r="AP27" s="202" t="s">
        <v>221</v>
      </c>
      <c r="AQ27" s="202" t="s">
        <v>208</v>
      </c>
      <c r="AR27" s="155" cm="1">
        <f t="array" ref="AR27">_xlfn.IFS($AQ27=$AP$1,$AQ$1*AE27,$AQ27=$AP$2,$AQ$2*AE27,$AQ27=$AP$3,$AQ$3*AE27,$AQ27=$AP$4,$AQ$4*AE27)</f>
        <v>0</v>
      </c>
      <c r="AS27" s="155" cm="1">
        <f t="array" ref="AS27">_xlfn.IFS($AQ27=$AP$1,$AQ$1*AF27,$AQ27=$AP$2,$AQ$2*AF27,$AQ27=$AP$3,$AQ$3*AF27,$AQ27=$AP$4,$AQ$4*AF27)</f>
        <v>0</v>
      </c>
      <c r="AT27" s="155" cm="1">
        <f t="array" ref="AT27">_xlfn.IFS($AQ27=$AP$1,$AQ$1*AG27,$AQ27=$AP$2,$AQ$2*AG27,$AQ27=$AP$3,$AQ$3*AG27,$AQ27=$AP$4,$AQ$4*AG27)</f>
        <v>0</v>
      </c>
      <c r="AU27" s="155" cm="1">
        <f t="array" ref="AU27">_xlfn.IFS($AQ27=$AP$1,$AQ$1*AH27,$AQ27=$AP$2,$AQ$2*AH27,$AQ27=$AP$3,$AQ$3*AH27,$AQ27=$AP$4,$AQ$4*AH27)</f>
        <v>0</v>
      </c>
      <c r="AV27" s="155" cm="1">
        <f t="array" ref="AV27">_xlfn.IFS($AQ27=$AP$1,$AQ$1*AI27,$AQ27=$AP$2,$AQ$2*AI27,$AQ27=$AP$3,$AQ$3*AI27,$AQ27=$AP$4,$AQ$4*AI27)</f>
        <v>0</v>
      </c>
      <c r="AW27" s="155" cm="1">
        <f t="array" ref="AW27">_xlfn.IFS($AQ27=$AP$1,$AQ$1*AJ27,$AQ27=$AP$2,$AQ$2*AJ27,$AQ27=$AP$3,$AQ$3*AJ27,$AQ27=$AP$4,$AQ$4*AJ27)</f>
        <v>0</v>
      </c>
      <c r="AX27" s="155" cm="1">
        <f t="array" ref="AX27">_xlfn.IFS($AQ27=$AP$1,$AQ$1*AK27,$AQ27=$AP$2,$AQ$2*AK27,$AQ27=$AP$3,$AQ$3*AK27,$AQ27=$AP$4,$AQ$4*AK27)</f>
        <v>0</v>
      </c>
      <c r="AY27" s="155" cm="1">
        <f t="array" ref="AY27">_xlfn.IFS($AQ27=$AP$1,$AQ$1*AL27,$AQ27=$AP$2,$AQ$2*AL27,$AQ27=$AP$3,$AQ$3*AL27,$AQ27=$AP$4,$AQ$4*AL27)</f>
        <v>0</v>
      </c>
      <c r="AZ27" s="155" cm="1">
        <f t="array" ref="AZ27">_xlfn.IFS($AQ27=$AP$1,$AQ$1*AM27,$AQ27=$AP$2,$AQ$2*AM27,$AQ27=$AP$3,$AQ$3*AM27,$AQ27=$AP$4,$AQ$4*AM27)</f>
        <v>0</v>
      </c>
      <c r="BA27" s="155" cm="1">
        <f t="array" ref="BA27">_xlfn.IFS($AQ27=$AP$1,$AQ$1*AN27,$AQ27=$AP$2,$AQ$2*AN27,$AQ27=$AP$3,$AQ$3*AN27,$AQ27=$AP$4,$AQ$4*AN27)</f>
        <v>0</v>
      </c>
      <c r="BB27" s="155"/>
      <c r="BC27" s="155" t="str">
        <f>Table2[[#This Row],[FN Parent  '#]]</f>
        <v>FN005820</v>
      </c>
      <c r="BD27" s="155">
        <f t="shared" si="25"/>
        <v>0</v>
      </c>
      <c r="BF27" s="155" t="str">
        <f t="shared" si="14"/>
        <v/>
      </c>
      <c r="BG27" s="155" t="str">
        <f t="shared" si="15"/>
        <v/>
      </c>
      <c r="BH27" s="155" t="str">
        <f t="shared" si="16"/>
        <v/>
      </c>
      <c r="BI27" s="155" t="str">
        <f t="shared" si="17"/>
        <v/>
      </c>
      <c r="BJ27" s="155" t="str">
        <f t="shared" si="18"/>
        <v/>
      </c>
      <c r="BK27" s="155" t="str">
        <f t="shared" si="19"/>
        <v/>
      </c>
      <c r="BL27" s="155" t="str">
        <f t="shared" si="20"/>
        <v/>
      </c>
      <c r="BM27" s="155" t="str">
        <f t="shared" si="21"/>
        <v/>
      </c>
      <c r="BN27" s="155" t="str">
        <f t="shared" si="22"/>
        <v/>
      </c>
      <c r="BO27" s="155" t="str">
        <f t="shared" si="23"/>
        <v/>
      </c>
      <c r="BP27" s="155">
        <f t="shared" si="24"/>
        <v>0</v>
      </c>
      <c r="BR27" s="206" t="s">
        <v>216</v>
      </c>
      <c r="BS27" s="155">
        <f t="shared" si="2"/>
        <v>50.801065894863868</v>
      </c>
      <c r="BT27" s="155">
        <f t="shared" si="3"/>
        <v>14.7</v>
      </c>
    </row>
    <row r="28" spans="1:72">
      <c r="A28" s="155" t="s">
        <v>221</v>
      </c>
      <c r="B28" s="155" t="s">
        <v>1008</v>
      </c>
      <c r="C28" s="155" t="s">
        <v>207</v>
      </c>
      <c r="D28" s="155">
        <v>9</v>
      </c>
      <c r="E28" s="189">
        <v>0</v>
      </c>
      <c r="F28" s="67">
        <v>0</v>
      </c>
      <c r="G28" s="67">
        <v>51</v>
      </c>
      <c r="H28" s="67">
        <v>250</v>
      </c>
      <c r="I28" s="67">
        <v>10</v>
      </c>
      <c r="J28" s="67">
        <v>2164</v>
      </c>
      <c r="K28" s="67">
        <v>1814</v>
      </c>
      <c r="L28" s="67">
        <v>4274</v>
      </c>
      <c r="M28" s="67">
        <v>3834</v>
      </c>
      <c r="N28" s="67">
        <v>63</v>
      </c>
      <c r="O28" s="67">
        <v>0</v>
      </c>
      <c r="Q28" s="201" t="s">
        <v>221</v>
      </c>
      <c r="R28" s="201" t="s">
        <v>1008</v>
      </c>
      <c r="S28" s="201" t="s">
        <v>207</v>
      </c>
      <c r="T28" s="76">
        <f>SUM($E28:F28)</f>
        <v>0</v>
      </c>
      <c r="U28" s="76">
        <f>SUM($E28:G28)</f>
        <v>51</v>
      </c>
      <c r="V28" s="76">
        <f>SUM($E28:H28)</f>
        <v>301</v>
      </c>
      <c r="W28" s="76">
        <f>SUM($E28:I28)</f>
        <v>311</v>
      </c>
      <c r="X28" s="76">
        <f>SUM($E28:J28)</f>
        <v>2475</v>
      </c>
      <c r="Y28" s="76">
        <f>SUM($E28:K28)</f>
        <v>4289</v>
      </c>
      <c r="Z28" s="76">
        <f>SUM($E28:L28)</f>
        <v>8563</v>
      </c>
      <c r="AA28" s="76">
        <f>SUM($E28:M28)</f>
        <v>12397</v>
      </c>
      <c r="AB28" s="76">
        <f>SUM($E28:N28)</f>
        <v>12460</v>
      </c>
      <c r="AC28" s="76">
        <f>SUM($E28:O28)</f>
        <v>12460</v>
      </c>
      <c r="AE28" s="76">
        <f t="shared" si="4"/>
        <v>0</v>
      </c>
      <c r="AF28" s="76">
        <f t="shared" si="5"/>
        <v>52.070999999999998</v>
      </c>
      <c r="AG28" s="76">
        <f t="shared" si="6"/>
        <v>313.77474099999989</v>
      </c>
      <c r="AH28" s="76">
        <f t="shared" si="7"/>
        <v>331.00733317099991</v>
      </c>
      <c r="AI28" s="76">
        <f t="shared" si="8"/>
        <v>2689.5410152404738</v>
      </c>
      <c r="AJ28" s="76">
        <f t="shared" si="9"/>
        <v>4758.6608824517516</v>
      </c>
      <c r="AK28" s="76">
        <f t="shared" si="10"/>
        <v>9700.1934745393955</v>
      </c>
      <c r="AL28" s="76">
        <f t="shared" si="11"/>
        <v>14338.271373636111</v>
      </c>
      <c r="AM28" s="76">
        <f t="shared" si="12"/>
        <v>14713.770541512587</v>
      </c>
      <c r="AN28" s="76">
        <f t="shared" si="13"/>
        <v>15022.75972288435</v>
      </c>
      <c r="AP28" s="201" t="s">
        <v>221</v>
      </c>
      <c r="AQ28" s="201" t="s">
        <v>207</v>
      </c>
      <c r="AR28" s="155" cm="1">
        <f t="array" ref="AR28">_xlfn.IFS($AQ28=$AP$1,$AQ$1*AE28,$AQ28=$AP$2,$AQ$2*AE28,$AQ28=$AP$3,$AQ$3*AE28,$AQ28=$AP$4,$AQ$4*AE28)</f>
        <v>0</v>
      </c>
      <c r="AS28" s="155" cm="1">
        <f t="array" ref="AS28">_xlfn.IFS($AQ28=$AP$1,$AQ$1*AF28,$AQ28=$AP$2,$AQ$2*AF28,$AQ28=$AP$3,$AQ$3*AF28,$AQ28=$AP$4,$AQ$4*AF28)</f>
        <v>4.196510607602602</v>
      </c>
      <c r="AT28" s="155" cm="1">
        <f t="array" ref="AT28">_xlfn.IFS($AQ28=$AP$1,$AQ$1*AG28,$AQ28=$AP$2,$AQ$2*AG28,$AQ28=$AP$3,$AQ$3*AG28,$AQ28=$AP$4,$AQ$4*AG28)</f>
        <v>25.287761498804684</v>
      </c>
      <c r="AU28" s="155" cm="1">
        <f t="array" ref="AU28">_xlfn.IFS($AQ28=$AP$1,$AQ$1*AH28,$AQ28=$AP$2,$AQ$2*AH28,$AQ28=$AP$3,$AQ$3*AH28,$AQ28=$AP$4,$AQ$4*AH28)</f>
        <v>26.676572081318774</v>
      </c>
      <c r="AV28" s="155" cm="1">
        <f t="array" ref="AV28">_xlfn.IFS($AQ28=$AP$1,$AQ$1*AI28,$AQ28=$AP$2,$AQ$2*AI28,$AQ28=$AP$3,$AQ$3*AI28,$AQ28=$AP$4,$AQ$4*AI28)</f>
        <v>216.7557258366254</v>
      </c>
      <c r="AW28" s="155" cm="1">
        <f t="array" ref="AW28">_xlfn.IFS($AQ28=$AP$1,$AQ$1*AJ28,$AQ28=$AP$2,$AQ$2*AJ28,$AQ28=$AP$3,$AQ$3*AJ28,$AQ28=$AP$4,$AQ$4*AJ28)</f>
        <v>383.5104159934001</v>
      </c>
      <c r="AX28" s="155" cm="1">
        <f t="array" ref="AX28">_xlfn.IFS($AQ28=$AP$1,$AQ$1*AK28,$AQ28=$AP$2,$AQ$2*AK28,$AQ28=$AP$3,$AQ$3*AK28,$AQ28=$AP$4,$AQ$4*AK28)</f>
        <v>781.75884487914811</v>
      </c>
      <c r="AY28" s="155" cm="1">
        <f t="array" ref="AY28">_xlfn.IFS($AQ28=$AP$1,$AQ$1*AL28,$AQ28=$AP$2,$AQ$2*AL28,$AQ28=$AP$3,$AQ$3*AL28,$AQ28=$AP$4,$AQ$4*AL28)</f>
        <v>1155.5512264820857</v>
      </c>
      <c r="AZ28" s="155" cm="1">
        <f t="array" ref="AZ28">_xlfn.IFS($AQ28=$AP$1,$AQ$1*AM28,$AQ28=$AP$2,$AQ$2*AM28,$AQ28=$AP$3,$AQ$3*AM28,$AQ28=$AP$4,$AQ$4*AM28)</f>
        <v>1185.8134884155916</v>
      </c>
      <c r="BA28" s="155" cm="1">
        <f t="array" ref="BA28">_xlfn.IFS($AQ28=$AP$1,$AQ$1*AN28,$AQ28=$AP$2,$AQ$2*AN28,$AQ28=$AP$3,$AQ$3*AN28,$AQ28=$AP$4,$AQ$4*AN28)</f>
        <v>1210.7155716723187</v>
      </c>
      <c r="BB28" s="155">
        <f>Table2[[#This Row],[FINAL Project System Capacity (MW)]]</f>
        <v>9</v>
      </c>
      <c r="BC28" s="155" t="str">
        <f>Table2[[#This Row],[FN Parent  '#]]</f>
        <v>FN005820</v>
      </c>
      <c r="BD28" s="155">
        <f t="shared" si="25"/>
        <v>9</v>
      </c>
      <c r="BF28" s="155">
        <f t="shared" si="14"/>
        <v>0</v>
      </c>
      <c r="BG28" s="155">
        <f t="shared" si="15"/>
        <v>0.4662789564002891</v>
      </c>
      <c r="BH28" s="155">
        <f t="shared" si="16"/>
        <v>2.8097512776449651</v>
      </c>
      <c r="BI28" s="155">
        <f t="shared" si="17"/>
        <v>2.9640635645909748</v>
      </c>
      <c r="BJ28" s="155">
        <f t="shared" si="18"/>
        <v>24.083969537402822</v>
      </c>
      <c r="BK28" s="155">
        <f t="shared" si="19"/>
        <v>42.612268443711123</v>
      </c>
      <c r="BL28" s="155">
        <f t="shared" si="20"/>
        <v>86.8620938754609</v>
      </c>
      <c r="BM28" s="155">
        <f t="shared" si="21"/>
        <v>128.39458072023174</v>
      </c>
      <c r="BN28" s="155">
        <f t="shared" si="22"/>
        <v>131.75705426839906</v>
      </c>
      <c r="BO28" s="155">
        <f t="shared" si="23"/>
        <v>134.5239524080354</v>
      </c>
      <c r="BP28" s="155">
        <f t="shared" si="24"/>
        <v>45.64839680060927</v>
      </c>
      <c r="BR28" s="206" t="s">
        <v>244</v>
      </c>
      <c r="BS28" s="155">
        <f t="shared" si="2"/>
        <v>384.79258873059331</v>
      </c>
      <c r="BT28" s="155">
        <f t="shared" si="3"/>
        <v>6</v>
      </c>
    </row>
    <row r="29" spans="1:72">
      <c r="A29" s="155" t="s">
        <v>223</v>
      </c>
      <c r="B29" s="155" t="s">
        <v>1012</v>
      </c>
      <c r="C29" s="155" t="s">
        <v>208</v>
      </c>
      <c r="D29" s="155">
        <v>9</v>
      </c>
      <c r="E29" s="189">
        <v>19.79644</v>
      </c>
      <c r="F29" s="67">
        <v>5.8238000000000003</v>
      </c>
      <c r="G29" s="67">
        <v>6.1748000000000003</v>
      </c>
      <c r="H29" s="67">
        <v>6.5258000000000003</v>
      </c>
      <c r="I29" s="67">
        <v>6.7458</v>
      </c>
      <c r="J29" s="67">
        <v>5.4588000000000001</v>
      </c>
      <c r="K29" s="67">
        <v>314.16950000000003</v>
      </c>
      <c r="L29" s="67">
        <v>125.99120000000001</v>
      </c>
      <c r="M29" s="67">
        <v>0</v>
      </c>
      <c r="N29" s="67">
        <v>0</v>
      </c>
      <c r="O29" s="67">
        <v>0</v>
      </c>
      <c r="Q29" s="202" t="s">
        <v>223</v>
      </c>
      <c r="R29" s="202" t="s">
        <v>1012</v>
      </c>
      <c r="S29" s="202" t="s">
        <v>208</v>
      </c>
      <c r="T29" s="76">
        <f>SUM($E29:F30)</f>
        <v>69.553879999999992</v>
      </c>
      <c r="U29" s="76">
        <f>SUM($E29:G30)</f>
        <v>83.676400000000001</v>
      </c>
      <c r="V29" s="76">
        <f>SUM($E29:H30)</f>
        <v>98.581920000000011</v>
      </c>
      <c r="W29" s="76">
        <f>SUM($E29:I30)</f>
        <v>113.98744000000002</v>
      </c>
      <c r="X29" s="76">
        <f>SUM($E29:J30)</f>
        <v>841.83442000000002</v>
      </c>
      <c r="Y29" s="76">
        <f>SUM($E29:K30)</f>
        <v>1358.9403600000001</v>
      </c>
      <c r="Z29" s="76">
        <f>SUM($E29:L30)</f>
        <v>1648.14346</v>
      </c>
      <c r="AA29" s="76">
        <f>SUM($E29:M30)</f>
        <v>1648.14346</v>
      </c>
      <c r="AB29" s="76">
        <f>SUM($E29:N30)</f>
        <v>1648.14346</v>
      </c>
      <c r="AC29" s="76">
        <f>SUM($E29:O30)</f>
        <v>1648.14346</v>
      </c>
      <c r="AE29" s="76">
        <f t="shared" si="4"/>
        <v>69.553879999999992</v>
      </c>
      <c r="AF29" s="76">
        <f t="shared" si="5"/>
        <v>85.433604399999993</v>
      </c>
      <c r="AG29" s="76">
        <f t="shared" si="6"/>
        <v>102.76583526671999</v>
      </c>
      <c r="AH29" s="76">
        <f t="shared" si="7"/>
        <v>121.32050974080182</v>
      </c>
      <c r="AI29" s="76">
        <f t="shared" si="8"/>
        <v>914.8073537903739</v>
      </c>
      <c r="AJ29" s="76">
        <f t="shared" si="9"/>
        <v>1507.7492032447892</v>
      </c>
      <c r="AK29" s="76">
        <f t="shared" si="10"/>
        <v>1867.0221225968446</v>
      </c>
      <c r="AL29" s="76">
        <f t="shared" si="11"/>
        <v>1906.2295871713782</v>
      </c>
      <c r="AM29" s="76">
        <f t="shared" si="12"/>
        <v>1946.2604085019766</v>
      </c>
      <c r="AN29" s="76">
        <f t="shared" si="13"/>
        <v>1987.1318770805178</v>
      </c>
      <c r="AP29" s="202" t="s">
        <v>223</v>
      </c>
      <c r="AQ29" s="202" t="s">
        <v>208</v>
      </c>
      <c r="AR29" s="155" cm="1">
        <f t="array" ref="AR29">_xlfn.IFS($AQ29=$AP$1,$AQ$1*AE29,$AQ29=$AP$2,$AQ$2*AE29,$AQ29=$AP$3,$AQ$3*AE29,$AQ29=$AP$4,$AQ$4*AE29)</f>
        <v>9.8274525171809533</v>
      </c>
      <c r="AS29" s="155" cm="1">
        <f t="array" ref="AS29">_xlfn.IFS($AQ29=$AP$1,$AQ$1*AF29,$AQ29=$AP$2,$AQ$2*AF29,$AQ29=$AP$3,$AQ$3*AF29,$AQ29=$AP$4,$AQ$4*AF29)</f>
        <v>12.071140971756311</v>
      </c>
      <c r="AT29" s="155" cm="1">
        <f t="array" ref="AT29">_xlfn.IFS($AQ29=$AP$1,$AQ$1*AG29,$AQ29=$AP$2,$AQ$2*AG29,$AQ29=$AP$3,$AQ$3*AG29,$AQ29=$AP$4,$AQ$4*AG29)</f>
        <v>14.52005792447712</v>
      </c>
      <c r="AU29" s="155" cm="1">
        <f t="array" ref="AU29">_xlfn.IFS($AQ29=$AP$1,$AQ$1*AH29,$AQ29=$AP$2,$AQ$2*AH29,$AQ29=$AP$3,$AQ$3*AH29,$AQ29=$AP$4,$AQ$4*AH29)</f>
        <v>17.141697182643433</v>
      </c>
      <c r="AV29" s="155" cm="1">
        <f t="array" ref="AV29">_xlfn.IFS($AQ29=$AP$1,$AQ$1*AI29,$AQ29=$AP$2,$AQ$2*AI29,$AQ29=$AP$3,$AQ$3*AI29,$AQ29=$AP$4,$AQ$4*AI29)</f>
        <v>129.25556175648083</v>
      </c>
      <c r="AW29" s="155" cm="1">
        <f t="array" ref="AW29">_xlfn.IFS($AQ29=$AP$1,$AQ$1*AJ29,$AQ29=$AP$2,$AQ$2*AJ29,$AQ29=$AP$3,$AQ$3*AJ29,$AQ29=$AP$4,$AQ$4*AJ29)</f>
        <v>213.03389117480697</v>
      </c>
      <c r="AX29" s="155" cm="1">
        <f t="array" ref="AX29">_xlfn.IFS($AQ29=$AP$1,$AQ$1*AK29,$AQ29=$AP$2,$AQ$2*AK29,$AQ29=$AP$3,$AQ$3*AK29,$AQ29=$AP$4,$AQ$4*AK29)</f>
        <v>263.79651657602551</v>
      </c>
      <c r="AY29" s="155" cm="1">
        <f t="array" ref="AY29">_xlfn.IFS($AQ29=$AP$1,$AQ$1*AL29,$AQ29=$AP$2,$AQ$2*AL29,$AQ29=$AP$3,$AQ$3*AL29,$AQ29=$AP$4,$AQ$4*AL29)</f>
        <v>269.33624342412202</v>
      </c>
      <c r="AZ29" s="155" cm="1">
        <f t="array" ref="AZ29">_xlfn.IFS($AQ29=$AP$1,$AQ$1*AM29,$AQ29=$AP$2,$AQ$2*AM29,$AQ29=$AP$3,$AQ$3*AM29,$AQ29=$AP$4,$AQ$4*AM29)</f>
        <v>274.99230453602848</v>
      </c>
      <c r="BA29" s="155" cm="1">
        <f t="array" ref="BA29">_xlfn.IFS($AQ29=$AP$1,$AQ$1*AN29,$AQ29=$AP$2,$AQ$2*AN29,$AQ29=$AP$3,$AQ$3*AN29,$AQ29=$AP$4,$AQ$4*AN29)</f>
        <v>280.76714293128504</v>
      </c>
      <c r="BB29" s="155">
        <f>Table2[[#This Row],[FINAL Project System Capacity (MW)]]</f>
        <v>9</v>
      </c>
      <c r="BC29" s="155" t="str">
        <f>Table2[[#This Row],[FN Parent  '#]]</f>
        <v>FN005821</v>
      </c>
      <c r="BD29" s="155">
        <f t="shared" si="25"/>
        <v>9</v>
      </c>
      <c r="BE29" s="155">
        <f t="shared" si="26"/>
        <v>9</v>
      </c>
      <c r="BF29" s="155">
        <f t="shared" si="14"/>
        <v>1.0919391685756614</v>
      </c>
      <c r="BG29" s="155">
        <f t="shared" si="15"/>
        <v>1.3412378857507012</v>
      </c>
      <c r="BH29" s="155">
        <f t="shared" si="16"/>
        <v>1.6133397693863467</v>
      </c>
      <c r="BI29" s="155">
        <f t="shared" si="17"/>
        <v>1.9046330202937147</v>
      </c>
      <c r="BJ29" s="155">
        <f t="shared" si="18"/>
        <v>14.361729084053426</v>
      </c>
      <c r="BK29" s="155">
        <f t="shared" si="19"/>
        <v>23.670432352756329</v>
      </c>
      <c r="BL29" s="155">
        <f t="shared" si="20"/>
        <v>29.310724064002834</v>
      </c>
      <c r="BM29" s="155">
        <f t="shared" si="21"/>
        <v>29.92624926934689</v>
      </c>
      <c r="BN29" s="155">
        <f t="shared" si="22"/>
        <v>30.554700504003165</v>
      </c>
      <c r="BO29" s="155">
        <f t="shared" si="23"/>
        <v>31.196349214587226</v>
      </c>
      <c r="BP29" s="155">
        <f t="shared" si="24"/>
        <v>14.155168791589194</v>
      </c>
      <c r="BR29" s="206" t="s">
        <v>245</v>
      </c>
      <c r="BS29" s="155">
        <f t="shared" si="2"/>
        <v>75.130674736294623</v>
      </c>
      <c r="BT29" s="155">
        <f t="shared" si="3"/>
        <v>9</v>
      </c>
    </row>
    <row r="30" spans="1:72">
      <c r="A30" s="155" t="s">
        <v>223</v>
      </c>
      <c r="B30" s="155" t="s">
        <v>1012</v>
      </c>
      <c r="C30" s="155" t="s">
        <v>208</v>
      </c>
      <c r="D30" s="155">
        <v>9</v>
      </c>
      <c r="E30" s="189">
        <v>36.417919999999995</v>
      </c>
      <c r="F30" s="67">
        <v>7.51572</v>
      </c>
      <c r="G30" s="67">
        <v>7.9477200000000003</v>
      </c>
      <c r="H30" s="67">
        <v>8.3797200000000007</v>
      </c>
      <c r="I30" s="67">
        <v>8.6597200000000001</v>
      </c>
      <c r="J30" s="67">
        <v>722.38818000000003</v>
      </c>
      <c r="K30" s="67">
        <v>202.93644</v>
      </c>
      <c r="L30" s="67">
        <v>163.21190000000001</v>
      </c>
      <c r="M30" s="67">
        <v>0</v>
      </c>
      <c r="N30" s="67">
        <v>0</v>
      </c>
      <c r="O30" s="67">
        <v>0</v>
      </c>
      <c r="Q30" s="201" t="s">
        <v>223</v>
      </c>
      <c r="R30" s="201" t="s">
        <v>1012</v>
      </c>
      <c r="S30" s="201" t="s">
        <v>208</v>
      </c>
      <c r="U30" s="155"/>
      <c r="V30" s="155"/>
      <c r="W30" s="155"/>
      <c r="X30" s="155"/>
      <c r="Y30" s="155"/>
      <c r="Z30" s="155"/>
      <c r="AA30" s="155"/>
      <c r="AB30" s="155"/>
      <c r="AC30" s="155"/>
      <c r="AE30" s="76">
        <f t="shared" si="4"/>
        <v>0</v>
      </c>
      <c r="AF30" s="76">
        <f t="shared" si="5"/>
        <v>0</v>
      </c>
      <c r="AG30" s="76">
        <f t="shared" si="6"/>
        <v>0</v>
      </c>
      <c r="AH30" s="76">
        <f t="shared" si="7"/>
        <v>0</v>
      </c>
      <c r="AI30" s="76">
        <f t="shared" si="8"/>
        <v>0</v>
      </c>
      <c r="AJ30" s="76">
        <f t="shared" si="9"/>
        <v>0</v>
      </c>
      <c r="AK30" s="76">
        <f t="shared" si="10"/>
        <v>0</v>
      </c>
      <c r="AL30" s="76">
        <f t="shared" si="11"/>
        <v>0</v>
      </c>
      <c r="AM30" s="76">
        <f t="shared" si="12"/>
        <v>0</v>
      </c>
      <c r="AN30" s="76">
        <f t="shared" si="13"/>
        <v>0</v>
      </c>
      <c r="AP30" s="201" t="s">
        <v>223</v>
      </c>
      <c r="AQ30" s="201" t="s">
        <v>208</v>
      </c>
      <c r="AR30" s="155" cm="1">
        <f t="array" ref="AR30">_xlfn.IFS($AQ30=$AP$1,$AQ$1*AE30,$AQ30=$AP$2,$AQ$2*AE30,$AQ30=$AP$3,$AQ$3*AE30,$AQ30=$AP$4,$AQ$4*AE30)</f>
        <v>0</v>
      </c>
      <c r="AS30" s="155" cm="1">
        <f t="array" ref="AS30">_xlfn.IFS($AQ30=$AP$1,$AQ$1*AF30,$AQ30=$AP$2,$AQ$2*AF30,$AQ30=$AP$3,$AQ$3*AF30,$AQ30=$AP$4,$AQ$4*AF30)</f>
        <v>0</v>
      </c>
      <c r="AT30" s="155" cm="1">
        <f t="array" ref="AT30">_xlfn.IFS($AQ30=$AP$1,$AQ$1*AG30,$AQ30=$AP$2,$AQ$2*AG30,$AQ30=$AP$3,$AQ$3*AG30,$AQ30=$AP$4,$AQ$4*AG30)</f>
        <v>0</v>
      </c>
      <c r="AU30" s="155" cm="1">
        <f t="array" ref="AU30">_xlfn.IFS($AQ30=$AP$1,$AQ$1*AH30,$AQ30=$AP$2,$AQ$2*AH30,$AQ30=$AP$3,$AQ$3*AH30,$AQ30=$AP$4,$AQ$4*AH30)</f>
        <v>0</v>
      </c>
      <c r="AV30" s="155" cm="1">
        <f t="array" ref="AV30">_xlfn.IFS($AQ30=$AP$1,$AQ$1*AI30,$AQ30=$AP$2,$AQ$2*AI30,$AQ30=$AP$3,$AQ$3*AI30,$AQ30=$AP$4,$AQ$4*AI30)</f>
        <v>0</v>
      </c>
      <c r="AW30" s="155" cm="1">
        <f t="array" ref="AW30">_xlfn.IFS($AQ30=$AP$1,$AQ$1*AJ30,$AQ30=$AP$2,$AQ$2*AJ30,$AQ30=$AP$3,$AQ$3*AJ30,$AQ30=$AP$4,$AQ$4*AJ30)</f>
        <v>0</v>
      </c>
      <c r="AX30" s="155" cm="1">
        <f t="array" ref="AX30">_xlfn.IFS($AQ30=$AP$1,$AQ$1*AK30,$AQ30=$AP$2,$AQ$2*AK30,$AQ30=$AP$3,$AQ$3*AK30,$AQ30=$AP$4,$AQ$4*AK30)</f>
        <v>0</v>
      </c>
      <c r="AY30" s="155" cm="1">
        <f t="array" ref="AY30">_xlfn.IFS($AQ30=$AP$1,$AQ$1*AL30,$AQ30=$AP$2,$AQ$2*AL30,$AQ30=$AP$3,$AQ$3*AL30,$AQ30=$AP$4,$AQ$4*AL30)</f>
        <v>0</v>
      </c>
      <c r="AZ30" s="155" cm="1">
        <f t="array" ref="AZ30">_xlfn.IFS($AQ30=$AP$1,$AQ$1*AM30,$AQ30=$AP$2,$AQ$2*AM30,$AQ30=$AP$3,$AQ$3*AM30,$AQ30=$AP$4,$AQ$4*AM30)</f>
        <v>0</v>
      </c>
      <c r="BA30" s="155" cm="1">
        <f t="array" ref="BA30">_xlfn.IFS($AQ30=$AP$1,$AQ$1*AN30,$AQ30=$AP$2,$AQ$2*AN30,$AQ30=$AP$3,$AQ$3*AN30,$AQ30=$AP$4,$AQ$4*AN30)</f>
        <v>0</v>
      </c>
      <c r="BB30" s="155"/>
      <c r="BC30" s="155" t="str">
        <f>Table2[[#This Row],[FN Parent  '#]]</f>
        <v>FN005821</v>
      </c>
      <c r="BD30" s="155">
        <f t="shared" si="25"/>
        <v>0</v>
      </c>
      <c r="BF30" s="155" t="str">
        <f t="shared" si="14"/>
        <v/>
      </c>
      <c r="BG30" s="155" t="str">
        <f t="shared" si="15"/>
        <v/>
      </c>
      <c r="BH30" s="155" t="str">
        <f t="shared" si="16"/>
        <v/>
      </c>
      <c r="BI30" s="155" t="str">
        <f t="shared" si="17"/>
        <v/>
      </c>
      <c r="BJ30" s="155" t="str">
        <f t="shared" si="18"/>
        <v/>
      </c>
      <c r="BK30" s="155" t="str">
        <f t="shared" si="19"/>
        <v/>
      </c>
      <c r="BL30" s="155" t="str">
        <f t="shared" si="20"/>
        <v/>
      </c>
      <c r="BM30" s="155" t="str">
        <f t="shared" si="21"/>
        <v/>
      </c>
      <c r="BN30" s="155" t="str">
        <f t="shared" si="22"/>
        <v/>
      </c>
      <c r="BO30" s="155" t="str">
        <f t="shared" si="23"/>
        <v/>
      </c>
      <c r="BP30" s="155">
        <f t="shared" si="24"/>
        <v>0</v>
      </c>
      <c r="BR30" s="206" t="s">
        <v>246</v>
      </c>
      <c r="BS30" s="155">
        <f t="shared" si="2"/>
        <v>246.14825975947423</v>
      </c>
      <c r="BT30" s="155">
        <f t="shared" si="3"/>
        <v>9</v>
      </c>
    </row>
    <row r="31" spans="1:72">
      <c r="A31" s="155" t="s">
        <v>223</v>
      </c>
      <c r="B31" s="155" t="s">
        <v>1012</v>
      </c>
      <c r="C31" s="155" t="s">
        <v>207</v>
      </c>
      <c r="D31" s="155">
        <v>9</v>
      </c>
      <c r="E31" s="189">
        <v>10817.155440000002</v>
      </c>
      <c r="F31" s="67">
        <v>158.02956</v>
      </c>
      <c r="G31" s="67">
        <v>292.17642999999998</v>
      </c>
      <c r="H31" s="67">
        <v>336.89055999999999</v>
      </c>
      <c r="I31" s="67">
        <v>2616.1070100000002</v>
      </c>
      <c r="J31" s="67">
        <v>3437.0792700000002</v>
      </c>
      <c r="K31" s="67">
        <v>8520.7401599999994</v>
      </c>
      <c r="L31" s="67">
        <v>5646.0123599999997</v>
      </c>
      <c r="M31" s="67">
        <v>71.725239999999999</v>
      </c>
      <c r="N31" s="67">
        <v>0</v>
      </c>
      <c r="O31" s="67">
        <v>0</v>
      </c>
      <c r="Q31" s="202" t="s">
        <v>223</v>
      </c>
      <c r="R31" s="202" t="s">
        <v>1012</v>
      </c>
      <c r="S31" s="202" t="s">
        <v>207</v>
      </c>
      <c r="T31" s="76">
        <f>SUM($E31:F31)</f>
        <v>10975.185000000003</v>
      </c>
      <c r="U31" s="76">
        <f>SUM($E31:G31)</f>
        <v>11267.361430000003</v>
      </c>
      <c r="V31" s="76">
        <f>SUM($E31:H31)</f>
        <v>11604.251990000002</v>
      </c>
      <c r="W31" s="76">
        <f>SUM($E31:I31)</f>
        <v>14220.359000000002</v>
      </c>
      <c r="X31" s="76">
        <f>SUM($E31:J31)</f>
        <v>17657.438270000002</v>
      </c>
      <c r="Y31" s="76">
        <f>SUM($E31:K31)</f>
        <v>26178.17843</v>
      </c>
      <c r="Z31" s="76">
        <f>SUM($E31:L31)</f>
        <v>31824.190790000001</v>
      </c>
      <c r="AA31" s="76">
        <f>SUM($E31:M31)</f>
        <v>31895.91603</v>
      </c>
      <c r="AB31" s="76">
        <f>SUM($E31:N31)</f>
        <v>31895.91603</v>
      </c>
      <c r="AC31" s="76">
        <f>SUM($E31:O31)</f>
        <v>31895.91603</v>
      </c>
      <c r="AE31" s="76">
        <f t="shared" si="4"/>
        <v>10975.185000000003</v>
      </c>
      <c r="AF31" s="76">
        <f t="shared" si="5"/>
        <v>11503.976020030002</v>
      </c>
      <c r="AG31" s="76">
        <f t="shared" si="6"/>
        <v>12096.74804870759</v>
      </c>
      <c r="AH31" s="76">
        <f t="shared" si="7"/>
        <v>15135.186846701698</v>
      </c>
      <c r="AI31" s="76">
        <f t="shared" si="8"/>
        <v>19188.042202521938</v>
      </c>
      <c r="AJ31" s="76">
        <f t="shared" si="9"/>
        <v>29044.782855836605</v>
      </c>
      <c r="AK31" s="76">
        <f t="shared" si="10"/>
        <v>36050.543948809376</v>
      </c>
      <c r="AL31" s="76">
        <f t="shared" si="11"/>
        <v>36890.562212539342</v>
      </c>
      <c r="AM31" s="76">
        <f t="shared" si="12"/>
        <v>37665.264019002658</v>
      </c>
      <c r="AN31" s="76">
        <f t="shared" si="13"/>
        <v>38456.234563401704</v>
      </c>
      <c r="AP31" s="202" t="s">
        <v>223</v>
      </c>
      <c r="AQ31" s="202" t="s">
        <v>207</v>
      </c>
      <c r="AR31" s="155" cm="1">
        <f t="array" ref="AR31">_xlfn.IFS($AQ31=$AP$1,$AQ$1*AE31,$AQ31=$AP$2,$AQ$2*AE31,$AQ31=$AP$3,$AQ$3*AE31,$AQ31=$AP$4,$AQ$4*AE31)</f>
        <v>884.51307393560683</v>
      </c>
      <c r="AS31" s="155" cm="1">
        <f t="array" ref="AS31">_xlfn.IFS($AQ31=$AP$1,$AQ$1*AF31,$AQ31=$AP$2,$AQ$2*AF31,$AQ31=$AP$3,$AQ$3*AF31,$AQ31=$AP$4,$AQ$4*AF31)</f>
        <v>927.12944628798903</v>
      </c>
      <c r="AT31" s="155" cm="1">
        <f t="array" ref="AT31">_xlfn.IFS($AQ31=$AP$1,$AQ$1*AG31,$AQ31=$AP$2,$AQ$2*AG31,$AQ31=$AP$3,$AQ$3*AG31,$AQ31=$AP$4,$AQ$4*AG31)</f>
        <v>974.90218171146103</v>
      </c>
      <c r="AU31" s="155" cm="1">
        <f t="array" ref="AU31">_xlfn.IFS($AQ31=$AP$1,$AQ$1*AH31,$AQ31=$AP$2,$AQ$2*AH31,$AQ31=$AP$3,$AQ$3*AH31,$AQ31=$AP$4,$AQ$4*AH31)</f>
        <v>1219.7763083142452</v>
      </c>
      <c r="AV31" s="155" cm="1">
        <f t="array" ref="AV31">_xlfn.IFS($AQ31=$AP$1,$AQ$1*AI31,$AQ31=$AP$2,$AQ$2*AI31,$AQ31=$AP$3,$AQ$3*AI31,$AQ31=$AP$4,$AQ$4*AI31)</f>
        <v>1546.4043832845484</v>
      </c>
      <c r="AW31" s="155" cm="1">
        <f t="array" ref="AW31">_xlfn.IFS($AQ31=$AP$1,$AQ$1*AJ31,$AQ31=$AP$2,$AQ$2*AJ31,$AQ31=$AP$3,$AQ$3*AJ31,$AQ31=$AP$4,$AQ$4*AJ31)</f>
        <v>2340.7796921517261</v>
      </c>
      <c r="AX31" s="155" cm="1">
        <f t="array" ref="AX31">_xlfn.IFS($AQ31=$AP$1,$AQ$1*AK31,$AQ31=$AP$2,$AQ$2*AK31,$AQ31=$AP$3,$AQ$3*AK31,$AQ31=$AP$4,$AQ$4*AK31)</f>
        <v>2905.3886057694754</v>
      </c>
      <c r="AY31" s="155" cm="1">
        <f t="array" ref="AY31">_xlfn.IFS($AQ31=$AP$1,$AQ$1*AL31,$AQ31=$AP$2,$AQ$2*AL31,$AQ31=$AP$3,$AQ$3*AL31,$AQ31=$AP$4,$AQ$4*AL31)</f>
        <v>2973.0874314944035</v>
      </c>
      <c r="AZ31" s="155" cm="1">
        <f t="array" ref="AZ31">_xlfn.IFS($AQ31=$AP$1,$AQ$1*AM31,$AQ31=$AP$2,$AQ$2*AM31,$AQ31=$AP$3,$AQ$3*AM31,$AQ31=$AP$4,$AQ$4*AM31)</f>
        <v>3035.5222675557852</v>
      </c>
      <c r="BA31" s="155" cm="1">
        <f t="array" ref="BA31">_xlfn.IFS($AQ31=$AP$1,$AQ$1*AN31,$AQ31=$AP$2,$AQ$2*AN31,$AQ31=$AP$3,$AQ$3*AN31,$AQ31=$AP$4,$AQ$4*AN31)</f>
        <v>3099.2682351744556</v>
      </c>
      <c r="BB31" s="155">
        <f>Table2[[#This Row],[FINAL Project System Capacity (MW)]]</f>
        <v>9</v>
      </c>
      <c r="BC31" s="155" t="str">
        <f>Table2[[#This Row],[FN Parent  '#]]</f>
        <v>FN005821</v>
      </c>
      <c r="BD31" s="155">
        <f t="shared" si="25"/>
        <v>9</v>
      </c>
      <c r="BF31" s="155">
        <f t="shared" si="14"/>
        <v>98.279230437289641</v>
      </c>
      <c r="BG31" s="155">
        <f t="shared" si="15"/>
        <v>103.01438292088767</v>
      </c>
      <c r="BH31" s="155">
        <f t="shared" si="16"/>
        <v>108.32246463460677</v>
      </c>
      <c r="BI31" s="155">
        <f t="shared" si="17"/>
        <v>135.53070092380503</v>
      </c>
      <c r="BJ31" s="155">
        <f t="shared" si="18"/>
        <v>171.82270925383872</v>
      </c>
      <c r="BK31" s="155">
        <f t="shared" si="19"/>
        <v>260.08663246130288</v>
      </c>
      <c r="BL31" s="155">
        <f t="shared" si="20"/>
        <v>322.82095619660839</v>
      </c>
      <c r="BM31" s="155">
        <f t="shared" si="21"/>
        <v>330.34304794382263</v>
      </c>
      <c r="BN31" s="155">
        <f t="shared" si="22"/>
        <v>337.28025195064282</v>
      </c>
      <c r="BO31" s="155">
        <f t="shared" si="23"/>
        <v>344.36313724160618</v>
      </c>
      <c r="BP31" s="155">
        <f t="shared" si="24"/>
        <v>202.68993496740472</v>
      </c>
      <c r="BR31" s="195" t="s">
        <v>251</v>
      </c>
      <c r="BS31" s="155">
        <f t="shared" si="2"/>
        <v>17.77638615746174</v>
      </c>
      <c r="BT31" s="155">
        <f t="shared" si="3"/>
        <v>19.899999999999999</v>
      </c>
    </row>
    <row r="32" spans="1:72">
      <c r="A32" s="155" t="s">
        <v>225</v>
      </c>
      <c r="B32" s="155" t="s">
        <v>1345</v>
      </c>
      <c r="C32" s="155" t="s">
        <v>208</v>
      </c>
      <c r="D32" s="155">
        <v>4.5726141319818359</v>
      </c>
      <c r="E32" s="189">
        <v>212.81384</v>
      </c>
      <c r="F32" s="67">
        <v>0</v>
      </c>
      <c r="G32" s="67">
        <v>0</v>
      </c>
      <c r="H32" s="67">
        <v>0</v>
      </c>
      <c r="I32" s="67">
        <v>0</v>
      </c>
      <c r="J32" s="67">
        <v>798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Q32" s="201" t="s">
        <v>225</v>
      </c>
      <c r="R32" s="201" t="s">
        <v>1345</v>
      </c>
      <c r="S32" s="201" t="s">
        <v>208</v>
      </c>
      <c r="T32" s="76">
        <f>SUM($E32:F32)</f>
        <v>212.81384</v>
      </c>
      <c r="U32" s="76">
        <f>SUM($E32:G32)</f>
        <v>212.81384</v>
      </c>
      <c r="V32" s="76">
        <f>SUM($E32:H32)</f>
        <v>212.81384</v>
      </c>
      <c r="W32" s="76">
        <f>SUM($E32:I32)</f>
        <v>212.81384</v>
      </c>
      <c r="X32" s="76">
        <f>SUM($E32:J32)</f>
        <v>1010.81384</v>
      </c>
      <c r="Y32" s="76">
        <f>SUM($E32:K32)</f>
        <v>1010.81384</v>
      </c>
      <c r="Z32" s="76">
        <f>SUM($E32:L32)</f>
        <v>1010.81384</v>
      </c>
      <c r="AA32" s="76">
        <f>SUM($E32:M32)</f>
        <v>1010.81384</v>
      </c>
      <c r="AB32" s="76">
        <f>SUM($E32:N32)</f>
        <v>1010.81384</v>
      </c>
      <c r="AC32" s="76">
        <f>SUM($E32:O32)</f>
        <v>1010.81384</v>
      </c>
      <c r="AE32" s="76">
        <f t="shared" si="4"/>
        <v>212.81384</v>
      </c>
      <c r="AF32" s="76">
        <f t="shared" si="5"/>
        <v>217.28293063999999</v>
      </c>
      <c r="AG32" s="76">
        <f t="shared" si="6"/>
        <v>221.84587218343995</v>
      </c>
      <c r="AH32" s="76">
        <f t="shared" si="7"/>
        <v>226.50463549929216</v>
      </c>
      <c r="AI32" s="76">
        <f t="shared" si="8"/>
        <v>1098.4344571526149</v>
      </c>
      <c r="AJ32" s="76">
        <f t="shared" si="9"/>
        <v>1121.5015807528196</v>
      </c>
      <c r="AK32" s="76">
        <f t="shared" si="10"/>
        <v>1145.0531139486288</v>
      </c>
      <c r="AL32" s="76">
        <f t="shared" si="11"/>
        <v>1169.0992293415497</v>
      </c>
      <c r="AM32" s="76">
        <f t="shared" si="12"/>
        <v>1193.6503131577222</v>
      </c>
      <c r="AN32" s="76">
        <f t="shared" si="13"/>
        <v>1218.7169697340341</v>
      </c>
      <c r="AP32" s="201" t="s">
        <v>225</v>
      </c>
      <c r="AQ32" s="201" t="s">
        <v>208</v>
      </c>
      <c r="AR32" s="155" cm="1">
        <f t="array" ref="AR32">_xlfn.IFS($AQ32=$AP$1,$AQ$1*AE32,$AQ32=$AP$2,$AQ$2*AE32,$AQ32=$AP$3,$AQ$3*AE32,$AQ32=$AP$4,$AQ$4*AE32)</f>
        <v>30.069032922375357</v>
      </c>
      <c r="AS32" s="155" cm="1">
        <f t="array" ref="AS32">_xlfn.IFS($AQ32=$AP$1,$AQ$1*AF32,$AQ32=$AP$2,$AQ$2*AF32,$AQ32=$AP$3,$AQ$3*AF32,$AQ32=$AP$4,$AQ$4*AF32)</f>
        <v>30.700482613745237</v>
      </c>
      <c r="AT32" s="155" cm="1">
        <f t="array" ref="AT32">_xlfn.IFS($AQ32=$AP$1,$AQ$1*AG32,$AQ32=$AP$2,$AQ$2*AG32,$AQ32=$AP$3,$AQ$3*AG32,$AQ32=$AP$4,$AQ$4*AG32)</f>
        <v>31.345192748633881</v>
      </c>
      <c r="AU32" s="155" cm="1">
        <f t="array" ref="AU32">_xlfn.IFS($AQ32=$AP$1,$AQ$1*AH32,$AQ32=$AP$2,$AQ$2*AH32,$AQ32=$AP$3,$AQ$3*AH32,$AQ32=$AP$4,$AQ$4*AH32)</f>
        <v>32.00344179635519</v>
      </c>
      <c r="AV32" s="155" cm="1">
        <f t="array" ref="AV32">_xlfn.IFS($AQ32=$AP$1,$AQ$1*AI32,$AQ32=$AP$2,$AQ$2*AI32,$AQ32=$AP$3,$AQ$3*AI32,$AQ32=$AP$4,$AQ$4*AI32)</f>
        <v>155.20072310707556</v>
      </c>
      <c r="AW32" s="155" cm="1">
        <f t="array" ref="AW32">_xlfn.IFS($AQ32=$AP$1,$AQ$1*AJ32,$AQ32=$AP$2,$AQ$2*AJ32,$AQ32=$AP$3,$AQ$3*AJ32,$AQ32=$AP$4,$AQ$4*AJ32)</f>
        <v>158.4599382923241</v>
      </c>
      <c r="AX32" s="155" cm="1">
        <f t="array" ref="AX32">_xlfn.IFS($AQ32=$AP$1,$AQ$1*AK32,$AQ32=$AP$2,$AQ$2*AK32,$AQ32=$AP$3,$AQ$3*AK32,$AQ32=$AP$4,$AQ$4*AK32)</f>
        <v>161.78759699646292</v>
      </c>
      <c r="AY32" s="155" cm="1">
        <f t="array" ref="AY32">_xlfn.IFS($AQ32=$AP$1,$AQ$1*AL32,$AQ32=$AP$2,$AQ$2*AL32,$AQ32=$AP$3,$AQ$3*AL32,$AQ32=$AP$4,$AQ$4*AL32)</f>
        <v>165.1851365333886</v>
      </c>
      <c r="AZ32" s="155" cm="1">
        <f t="array" ref="AZ32">_xlfn.IFS($AQ32=$AP$1,$AQ$1*AM32,$AQ32=$AP$2,$AQ$2*AM32,$AQ32=$AP$3,$AQ$3*AM32,$AQ32=$AP$4,$AQ$4*AM32)</f>
        <v>168.65402440058975</v>
      </c>
      <c r="BA32" s="155" cm="1">
        <f t="array" ref="BA32">_xlfn.IFS($AQ32=$AP$1,$AQ$1*AN32,$AQ32=$AP$2,$AQ$2*AN32,$AQ32=$AP$3,$AQ$3*AN32,$AQ32=$AP$4,$AQ$4*AN32)</f>
        <v>172.19575891300209</v>
      </c>
      <c r="BB32" s="155">
        <f>Table2[[#This Row],[FINAL Project System Capacity (MW)]]</f>
        <v>4.5726141319818359</v>
      </c>
      <c r="BC32" s="155" t="str">
        <f>Table2[[#This Row],[FN Parent  '#]]</f>
        <v>Individual Project</v>
      </c>
      <c r="BD32" s="155">
        <f t="shared" si="25"/>
        <v>4.5726141319818359</v>
      </c>
      <c r="BE32" s="155">
        <f t="shared" si="26"/>
        <v>4.5726141319818359</v>
      </c>
      <c r="BF32" s="155">
        <f t="shared" si="14"/>
        <v>6.5758955500019445</v>
      </c>
      <c r="BG32" s="155">
        <f t="shared" si="15"/>
        <v>6.7139893565519841</v>
      </c>
      <c r="BH32" s="155">
        <f t="shared" si="16"/>
        <v>6.8549831330395747</v>
      </c>
      <c r="BI32" s="155">
        <f t="shared" si="17"/>
        <v>6.9989377788334055</v>
      </c>
      <c r="BJ32" s="155">
        <f t="shared" si="18"/>
        <v>33.941355781929794</v>
      </c>
      <c r="BK32" s="155">
        <f t="shared" si="19"/>
        <v>34.654124253350304</v>
      </c>
      <c r="BL32" s="155">
        <f t="shared" si="20"/>
        <v>35.381860862670671</v>
      </c>
      <c r="BM32" s="155">
        <f t="shared" si="21"/>
        <v>36.124879940786741</v>
      </c>
      <c r="BN32" s="155">
        <f t="shared" si="22"/>
        <v>36.883502419543262</v>
      </c>
      <c r="BO32" s="155">
        <f t="shared" si="23"/>
        <v>37.658055970353658</v>
      </c>
      <c r="BP32" s="155">
        <f t="shared" si="24"/>
        <v>21.756982238006472</v>
      </c>
      <c r="BR32" s="206" t="s">
        <v>247</v>
      </c>
      <c r="BS32" s="155">
        <f t="shared" si="2"/>
        <v>43.506818548229518</v>
      </c>
      <c r="BT32" s="155">
        <f t="shared" si="3"/>
        <v>26.400000000000002</v>
      </c>
    </row>
    <row r="33" spans="1:72">
      <c r="A33" s="155" t="s">
        <v>226</v>
      </c>
      <c r="B33" s="155" t="s">
        <v>1016</v>
      </c>
      <c r="C33" s="155" t="s">
        <v>208</v>
      </c>
      <c r="D33" s="155">
        <v>9</v>
      </c>
      <c r="E33" s="189">
        <v>0</v>
      </c>
      <c r="F33" s="67">
        <v>0</v>
      </c>
      <c r="G33" s="67">
        <v>0</v>
      </c>
      <c r="H33" s="67">
        <v>0</v>
      </c>
      <c r="I33" s="67">
        <v>39</v>
      </c>
      <c r="J33" s="67">
        <v>150</v>
      </c>
      <c r="K33" s="67">
        <v>150</v>
      </c>
      <c r="L33" s="67">
        <v>0</v>
      </c>
      <c r="M33" s="67">
        <v>0</v>
      </c>
      <c r="N33" s="67">
        <v>0</v>
      </c>
      <c r="O33" s="67">
        <v>0</v>
      </c>
      <c r="Q33" s="202" t="s">
        <v>226</v>
      </c>
      <c r="R33" s="202" t="s">
        <v>1016</v>
      </c>
      <c r="S33" s="202" t="s">
        <v>208</v>
      </c>
      <c r="T33" s="76">
        <f>SUM($E33:F35)</f>
        <v>77.757600000000011</v>
      </c>
      <c r="U33" s="76">
        <f>SUM($E33:G35)</f>
        <v>77.757600000000011</v>
      </c>
      <c r="V33" s="76">
        <f>SUM($E33:H35)</f>
        <v>77.757600000000011</v>
      </c>
      <c r="W33" s="76">
        <f>SUM($E33:I35)</f>
        <v>166.75760000000002</v>
      </c>
      <c r="X33" s="76">
        <f>SUM($E33:J35)</f>
        <v>1072.8508999999999</v>
      </c>
      <c r="Y33" s="76">
        <f>SUM($E33:K35)</f>
        <v>2922.8508999999999</v>
      </c>
      <c r="Z33" s="76">
        <f>SUM($E33:L35)</f>
        <v>3522.8508999999999</v>
      </c>
      <c r="AA33" s="76">
        <f>SUM($E33:M35)</f>
        <v>3522.8508999999999</v>
      </c>
      <c r="AB33" s="76">
        <f>SUM($E33:N35)</f>
        <v>3522.8508999999999</v>
      </c>
      <c r="AC33" s="76">
        <f>SUM($E33:O35)</f>
        <v>3522.8508999999999</v>
      </c>
      <c r="AE33" s="76">
        <f t="shared" si="4"/>
        <v>77.757600000000011</v>
      </c>
      <c r="AF33" s="76">
        <f t="shared" si="5"/>
        <v>79.390509600000001</v>
      </c>
      <c r="AG33" s="76">
        <f t="shared" si="6"/>
        <v>81.057710301599997</v>
      </c>
      <c r="AH33" s="76">
        <f t="shared" si="7"/>
        <v>177.48549344693356</v>
      </c>
      <c r="AI33" s="76">
        <f t="shared" si="8"/>
        <v>1165.8490904192547</v>
      </c>
      <c r="AJ33" s="76">
        <f t="shared" si="9"/>
        <v>3242.9135563228947</v>
      </c>
      <c r="AK33" s="76">
        <f t="shared" si="10"/>
        <v>3990.696638088898</v>
      </c>
      <c r="AL33" s="76">
        <f t="shared" si="11"/>
        <v>4074.5012674887644</v>
      </c>
      <c r="AM33" s="76">
        <f t="shared" si="12"/>
        <v>4160.0657941060281</v>
      </c>
      <c r="AN33" s="76">
        <f t="shared" si="13"/>
        <v>4247.4271757822535</v>
      </c>
      <c r="AP33" s="202" t="s">
        <v>226</v>
      </c>
      <c r="AQ33" s="202" t="s">
        <v>208</v>
      </c>
      <c r="AR33" s="155" cm="1">
        <f t="array" ref="AR33">_xlfn.IFS($AQ33=$AP$1,$AQ$1*AE33,$AQ33=$AP$2,$AQ$2*AE33,$AQ33=$AP$3,$AQ$3*AE33,$AQ33=$AP$4,$AQ$4*AE33)</f>
        <v>10.986577914128585</v>
      </c>
      <c r="AS33" s="155" cm="1">
        <f t="array" ref="AS33">_xlfn.IFS($AQ33=$AP$1,$AQ$1*AF33,$AQ33=$AP$2,$AQ$2*AF33,$AQ33=$AP$3,$AQ$3*AF33,$AQ33=$AP$4,$AQ$4*AF33)</f>
        <v>11.217296050325283</v>
      </c>
      <c r="AT33" s="155" cm="1">
        <f t="array" ref="AT33">_xlfn.IFS($AQ33=$AP$1,$AQ$1*AG33,$AQ33=$AP$2,$AQ$2*AG33,$AQ33=$AP$3,$AQ$3*AG33,$AQ33=$AP$4,$AQ$4*AG33)</f>
        <v>11.452859267382113</v>
      </c>
      <c r="AU33" s="155" cm="1">
        <f t="array" ref="AU33">_xlfn.IFS($AQ33=$AP$1,$AQ$1*AH33,$AQ33=$AP$2,$AQ$2*AH33,$AQ33=$AP$3,$AQ$3*AH33,$AQ33=$AP$4,$AQ$4*AH33)</f>
        <v>25.077396966756865</v>
      </c>
      <c r="AV33" s="155" cm="1">
        <f t="array" ref="AV33">_xlfn.IFS($AQ33=$AP$1,$AQ$1*AI33,$AQ33=$AP$2,$AQ$2*AI33,$AQ33=$AP$3,$AQ$3*AI33,$AQ33=$AP$4,$AQ$4*AI33)</f>
        <v>164.72591576909628</v>
      </c>
      <c r="AW33" s="155" cm="1">
        <f t="array" ref="AW33">_xlfn.IFS($AQ33=$AP$1,$AQ$1*AJ33,$AQ33=$AP$2,$AQ$2*AJ33,$AQ33=$AP$3,$AQ$3*AJ33,$AQ33=$AP$4,$AQ$4*AJ33)</f>
        <v>458.19987313555578</v>
      </c>
      <c r="AX33" s="155" cm="1">
        <f t="array" ref="AX33">_xlfn.IFS($AQ33=$AP$1,$AQ$1*AK33,$AQ33=$AP$2,$AQ$2*AK33,$AQ33=$AP$3,$AQ$3*AK33,$AQ33=$AP$4,$AQ$4*AK33)</f>
        <v>563.8561316966402</v>
      </c>
      <c r="AY33" s="155" cm="1">
        <f t="array" ref="AY33">_xlfn.IFS($AQ33=$AP$1,$AQ$1*AL33,$AQ33=$AP$2,$AQ$2*AL33,$AQ33=$AP$3,$AQ$3*AL33,$AQ33=$AP$4,$AQ$4*AL33)</f>
        <v>575.69711046226962</v>
      </c>
      <c r="AZ33" s="155" cm="1">
        <f t="array" ref="AZ33">_xlfn.IFS($AQ33=$AP$1,$AQ$1*AM33,$AQ33=$AP$2,$AQ$2*AM33,$AQ33=$AP$3,$AQ$3*AM33,$AQ33=$AP$4,$AQ$4*AM33)</f>
        <v>587.78674978197728</v>
      </c>
      <c r="BA33" s="155" cm="1">
        <f t="array" ref="BA33">_xlfn.IFS($AQ33=$AP$1,$AQ$1*AN33,$AQ33=$AP$2,$AQ$2*AN33,$AQ33=$AP$3,$AQ$3*AN33,$AQ33=$AP$4,$AQ$4*AN33)</f>
        <v>600.13027152739858</v>
      </c>
      <c r="BB33" s="155">
        <f>Table2[[#This Row],[FINAL Project System Capacity (MW)]]</f>
        <v>9</v>
      </c>
      <c r="BC33" s="155" t="str">
        <f>Table2[[#This Row],[FN Parent  '#]]</f>
        <v>FN005822</v>
      </c>
      <c r="BD33" s="155">
        <f>SUM(BB33:BB35)</f>
        <v>11.2</v>
      </c>
      <c r="BE33" s="155">
        <f t="shared" si="26"/>
        <v>11.2</v>
      </c>
      <c r="BF33" s="155">
        <f t="shared" si="14"/>
        <v>0.98094445661862373</v>
      </c>
      <c r="BG33" s="155">
        <f t="shared" si="15"/>
        <v>1.0015442902076146</v>
      </c>
      <c r="BH33" s="155">
        <f t="shared" si="16"/>
        <v>1.0225767203019744</v>
      </c>
      <c r="BI33" s="155">
        <f t="shared" si="17"/>
        <v>2.2390533006032918</v>
      </c>
      <c r="BJ33" s="155">
        <f t="shared" si="18"/>
        <v>14.707671050812168</v>
      </c>
      <c r="BK33" s="155">
        <f t="shared" si="19"/>
        <v>40.910702958531772</v>
      </c>
      <c r="BL33" s="155">
        <f t="shared" si="20"/>
        <v>50.344297472914306</v>
      </c>
      <c r="BM33" s="155">
        <f t="shared" si="21"/>
        <v>51.401527719845504</v>
      </c>
      <c r="BN33" s="155">
        <f t="shared" si="22"/>
        <v>52.480959801962257</v>
      </c>
      <c r="BO33" s="155">
        <f t="shared" si="23"/>
        <v>53.583059957803449</v>
      </c>
      <c r="BP33" s="155">
        <f t="shared" si="24"/>
        <v>22.731457056643283</v>
      </c>
      <c r="BR33" s="206" t="s">
        <v>248</v>
      </c>
      <c r="BS33" s="155">
        <f t="shared" si="2"/>
        <v>27.998119570945413</v>
      </c>
      <c r="BT33" s="155">
        <f t="shared" si="3"/>
        <v>17.600000000000001</v>
      </c>
    </row>
    <row r="34" spans="1:72">
      <c r="A34" s="155" t="s">
        <v>226</v>
      </c>
      <c r="B34" s="155" t="s">
        <v>1016</v>
      </c>
      <c r="C34" s="155" t="s">
        <v>208</v>
      </c>
      <c r="D34" s="155">
        <v>9</v>
      </c>
      <c r="E34" s="189">
        <v>0</v>
      </c>
      <c r="F34" s="67">
        <v>0</v>
      </c>
      <c r="G34" s="67">
        <v>0</v>
      </c>
      <c r="H34" s="67">
        <v>0</v>
      </c>
      <c r="I34" s="67">
        <v>50</v>
      </c>
      <c r="J34" s="67">
        <v>50</v>
      </c>
      <c r="K34" s="67">
        <v>1700</v>
      </c>
      <c r="L34" s="67">
        <v>600</v>
      </c>
      <c r="M34" s="67">
        <v>0</v>
      </c>
      <c r="N34" s="67">
        <v>0</v>
      </c>
      <c r="O34" s="67">
        <v>0</v>
      </c>
      <c r="Q34" s="201" t="s">
        <v>226</v>
      </c>
      <c r="R34" s="201" t="s">
        <v>1016</v>
      </c>
      <c r="S34" s="201" t="s">
        <v>208</v>
      </c>
      <c r="U34" s="155"/>
      <c r="V34" s="155"/>
      <c r="W34" s="155"/>
      <c r="X34" s="155"/>
      <c r="Y34" s="155"/>
      <c r="Z34" s="155"/>
      <c r="AA34" s="155"/>
      <c r="AB34" s="155"/>
      <c r="AC34" s="155"/>
      <c r="AE34" s="76">
        <f t="shared" si="4"/>
        <v>0</v>
      </c>
      <c r="AF34" s="76">
        <f t="shared" si="5"/>
        <v>0</v>
      </c>
      <c r="AG34" s="76">
        <f t="shared" si="6"/>
        <v>0</v>
      </c>
      <c r="AH34" s="76">
        <f t="shared" si="7"/>
        <v>0</v>
      </c>
      <c r="AI34" s="76">
        <f t="shared" si="8"/>
        <v>0</v>
      </c>
      <c r="AJ34" s="76">
        <f t="shared" si="9"/>
        <v>0</v>
      </c>
      <c r="AK34" s="76">
        <f t="shared" si="10"/>
        <v>0</v>
      </c>
      <c r="AL34" s="76">
        <f t="shared" si="11"/>
        <v>0</v>
      </c>
      <c r="AM34" s="76">
        <f t="shared" si="12"/>
        <v>0</v>
      </c>
      <c r="AN34" s="76">
        <f t="shared" si="13"/>
        <v>0</v>
      </c>
      <c r="AP34" s="201" t="s">
        <v>226</v>
      </c>
      <c r="AQ34" s="201" t="s">
        <v>208</v>
      </c>
      <c r="AR34" s="155" cm="1">
        <f t="array" ref="AR34">_xlfn.IFS($AQ34=$AP$1,$AQ$1*AE34,$AQ34=$AP$2,$AQ$2*AE34,$AQ34=$AP$3,$AQ$3*AE34,$AQ34=$AP$4,$AQ$4*AE34)</f>
        <v>0</v>
      </c>
      <c r="AS34" s="155" cm="1">
        <f t="array" ref="AS34">_xlfn.IFS($AQ34=$AP$1,$AQ$1*AF34,$AQ34=$AP$2,$AQ$2*AF34,$AQ34=$AP$3,$AQ$3*AF34,$AQ34=$AP$4,$AQ$4*AF34)</f>
        <v>0</v>
      </c>
      <c r="AT34" s="155" cm="1">
        <f t="array" ref="AT34">_xlfn.IFS($AQ34=$AP$1,$AQ$1*AG34,$AQ34=$AP$2,$AQ$2*AG34,$AQ34=$AP$3,$AQ$3*AG34,$AQ34=$AP$4,$AQ$4*AG34)</f>
        <v>0</v>
      </c>
      <c r="AU34" s="155" cm="1">
        <f t="array" ref="AU34">_xlfn.IFS($AQ34=$AP$1,$AQ$1*AH34,$AQ34=$AP$2,$AQ$2*AH34,$AQ34=$AP$3,$AQ$3*AH34,$AQ34=$AP$4,$AQ$4*AH34)</f>
        <v>0</v>
      </c>
      <c r="AV34" s="155" cm="1">
        <f t="array" ref="AV34">_xlfn.IFS($AQ34=$AP$1,$AQ$1*AI34,$AQ34=$AP$2,$AQ$2*AI34,$AQ34=$AP$3,$AQ$3*AI34,$AQ34=$AP$4,$AQ$4*AI34)</f>
        <v>0</v>
      </c>
      <c r="AW34" s="155" cm="1">
        <f t="array" ref="AW34">_xlfn.IFS($AQ34=$AP$1,$AQ$1*AJ34,$AQ34=$AP$2,$AQ$2*AJ34,$AQ34=$AP$3,$AQ$3*AJ34,$AQ34=$AP$4,$AQ$4*AJ34)</f>
        <v>0</v>
      </c>
      <c r="AX34" s="155" cm="1">
        <f t="array" ref="AX34">_xlfn.IFS($AQ34=$AP$1,$AQ$1*AK34,$AQ34=$AP$2,$AQ$2*AK34,$AQ34=$AP$3,$AQ$3*AK34,$AQ34=$AP$4,$AQ$4*AK34)</f>
        <v>0</v>
      </c>
      <c r="AY34" s="155" cm="1">
        <f t="array" ref="AY34">_xlfn.IFS($AQ34=$AP$1,$AQ$1*AL34,$AQ34=$AP$2,$AQ$2*AL34,$AQ34=$AP$3,$AQ$3*AL34,$AQ34=$AP$4,$AQ$4*AL34)</f>
        <v>0</v>
      </c>
      <c r="AZ34" s="155" cm="1">
        <f t="array" ref="AZ34">_xlfn.IFS($AQ34=$AP$1,$AQ$1*AM34,$AQ34=$AP$2,$AQ$2*AM34,$AQ34=$AP$3,$AQ$3*AM34,$AQ34=$AP$4,$AQ$4*AM34)</f>
        <v>0</v>
      </c>
      <c r="BA34" s="155" cm="1">
        <f t="array" ref="BA34">_xlfn.IFS($AQ34=$AP$1,$AQ$1*AN34,$AQ34=$AP$2,$AQ$2*AN34,$AQ34=$AP$3,$AQ$3*AN34,$AQ34=$AP$4,$AQ$4*AN34)</f>
        <v>0</v>
      </c>
      <c r="BB34" s="155"/>
      <c r="BC34" s="155" t="str">
        <f>Table2[[#This Row],[FN Parent  '#]]</f>
        <v>FN005822</v>
      </c>
      <c r="BD34" s="155"/>
      <c r="BF34" s="155" t="str">
        <f t="shared" si="14"/>
        <v/>
      </c>
      <c r="BG34" s="155" t="str">
        <f t="shared" si="15"/>
        <v/>
      </c>
      <c r="BH34" s="155" t="str">
        <f t="shared" si="16"/>
        <v/>
      </c>
      <c r="BI34" s="155" t="str">
        <f t="shared" si="17"/>
        <v/>
      </c>
      <c r="BJ34" s="155" t="str">
        <f t="shared" si="18"/>
        <v/>
      </c>
      <c r="BK34" s="155" t="str">
        <f t="shared" si="19"/>
        <v/>
      </c>
      <c r="BL34" s="155" t="str">
        <f t="shared" si="20"/>
        <v/>
      </c>
      <c r="BM34" s="155" t="str">
        <f t="shared" si="21"/>
        <v/>
      </c>
      <c r="BN34" s="155" t="str">
        <f t="shared" si="22"/>
        <v/>
      </c>
      <c r="BO34" s="155" t="str">
        <f t="shared" si="23"/>
        <v/>
      </c>
      <c r="BP34" s="155">
        <f t="shared" si="24"/>
        <v>0</v>
      </c>
      <c r="BR34" s="206" t="s">
        <v>250</v>
      </c>
      <c r="BS34" s="155">
        <f t="shared" si="2"/>
        <v>17.053973950499799</v>
      </c>
      <c r="BT34" s="155">
        <f t="shared" si="3"/>
        <v>4</v>
      </c>
    </row>
    <row r="35" spans="1:72">
      <c r="A35" s="155" t="s">
        <v>226</v>
      </c>
      <c r="B35" s="155" t="s">
        <v>1345</v>
      </c>
      <c r="C35" s="155" t="s">
        <v>208</v>
      </c>
      <c r="D35" s="155">
        <v>2.2000000000000002</v>
      </c>
      <c r="E35" s="189">
        <v>77.757600000000011</v>
      </c>
      <c r="F35" s="67">
        <v>0</v>
      </c>
      <c r="G35" s="67">
        <v>0</v>
      </c>
      <c r="H35" s="67">
        <v>0</v>
      </c>
      <c r="I35" s="67">
        <v>0</v>
      </c>
      <c r="J35" s="67">
        <v>706.0933</v>
      </c>
      <c r="K35" s="67">
        <v>0</v>
      </c>
      <c r="L35" s="67">
        <v>0</v>
      </c>
      <c r="M35" s="67">
        <v>0</v>
      </c>
      <c r="N35" s="67">
        <v>0</v>
      </c>
      <c r="O35" s="67">
        <v>0</v>
      </c>
      <c r="Q35" s="202" t="s">
        <v>226</v>
      </c>
      <c r="R35" s="202" t="s">
        <v>1345</v>
      </c>
      <c r="S35" s="202" t="s">
        <v>208</v>
      </c>
      <c r="T35" s="76"/>
      <c r="U35" s="76"/>
      <c r="V35" s="76"/>
      <c r="W35" s="76"/>
      <c r="X35" s="76"/>
      <c r="Y35" s="76"/>
      <c r="Z35" s="76"/>
      <c r="AA35" s="76"/>
      <c r="AB35" s="76"/>
      <c r="AC35" s="76"/>
      <c r="AE35" s="76">
        <f t="shared" si="4"/>
        <v>0</v>
      </c>
      <c r="AF35" s="76">
        <f t="shared" si="5"/>
        <v>0</v>
      </c>
      <c r="AG35" s="76">
        <f t="shared" si="6"/>
        <v>0</v>
      </c>
      <c r="AH35" s="76">
        <f t="shared" si="7"/>
        <v>0</v>
      </c>
      <c r="AI35" s="76">
        <f t="shared" si="8"/>
        <v>0</v>
      </c>
      <c r="AJ35" s="76">
        <f t="shared" si="9"/>
        <v>0</v>
      </c>
      <c r="AK35" s="76">
        <f t="shared" si="10"/>
        <v>0</v>
      </c>
      <c r="AL35" s="76">
        <f t="shared" si="11"/>
        <v>0</v>
      </c>
      <c r="AM35" s="76">
        <f t="shared" si="12"/>
        <v>0</v>
      </c>
      <c r="AN35" s="76">
        <f t="shared" si="13"/>
        <v>0</v>
      </c>
      <c r="AP35" s="202" t="s">
        <v>226</v>
      </c>
      <c r="AQ35" s="202" t="s">
        <v>208</v>
      </c>
      <c r="AR35" s="155" cm="1">
        <f t="array" ref="AR35">_xlfn.IFS($AQ35=$AP$1,$AQ$1*AE35,$AQ35=$AP$2,$AQ$2*AE35,$AQ35=$AP$3,$AQ$3*AE35,$AQ35=$AP$4,$AQ$4*AE35)</f>
        <v>0</v>
      </c>
      <c r="AS35" s="155" cm="1">
        <f t="array" ref="AS35">_xlfn.IFS($AQ35=$AP$1,$AQ$1*AF35,$AQ35=$AP$2,$AQ$2*AF35,$AQ35=$AP$3,$AQ$3*AF35,$AQ35=$AP$4,$AQ$4*AF35)</f>
        <v>0</v>
      </c>
      <c r="AT35" s="155" cm="1">
        <f t="array" ref="AT35">_xlfn.IFS($AQ35=$AP$1,$AQ$1*AG35,$AQ35=$AP$2,$AQ$2*AG35,$AQ35=$AP$3,$AQ$3*AG35,$AQ35=$AP$4,$AQ$4*AG35)</f>
        <v>0</v>
      </c>
      <c r="AU35" s="155" cm="1">
        <f t="array" ref="AU35">_xlfn.IFS($AQ35=$AP$1,$AQ$1*AH35,$AQ35=$AP$2,$AQ$2*AH35,$AQ35=$AP$3,$AQ$3*AH35,$AQ35=$AP$4,$AQ$4*AH35)</f>
        <v>0</v>
      </c>
      <c r="AV35" s="155" cm="1">
        <f t="array" ref="AV35">_xlfn.IFS($AQ35=$AP$1,$AQ$1*AI35,$AQ35=$AP$2,$AQ$2*AI35,$AQ35=$AP$3,$AQ$3*AI35,$AQ35=$AP$4,$AQ$4*AI35)</f>
        <v>0</v>
      </c>
      <c r="AW35" s="155" cm="1">
        <f t="array" ref="AW35">_xlfn.IFS($AQ35=$AP$1,$AQ$1*AJ35,$AQ35=$AP$2,$AQ$2*AJ35,$AQ35=$AP$3,$AQ$3*AJ35,$AQ35=$AP$4,$AQ$4*AJ35)</f>
        <v>0</v>
      </c>
      <c r="AX35" s="155" cm="1">
        <f t="array" ref="AX35">_xlfn.IFS($AQ35=$AP$1,$AQ$1*AK35,$AQ35=$AP$2,$AQ$2*AK35,$AQ35=$AP$3,$AQ$3*AK35,$AQ35=$AP$4,$AQ$4*AK35)</f>
        <v>0</v>
      </c>
      <c r="AY35" s="155" cm="1">
        <f t="array" ref="AY35">_xlfn.IFS($AQ35=$AP$1,$AQ$1*AL35,$AQ35=$AP$2,$AQ$2*AL35,$AQ35=$AP$3,$AQ$3*AL35,$AQ35=$AP$4,$AQ$4*AL35)</f>
        <v>0</v>
      </c>
      <c r="AZ35" s="155" cm="1">
        <f t="array" ref="AZ35">_xlfn.IFS($AQ35=$AP$1,$AQ$1*AM35,$AQ35=$AP$2,$AQ$2*AM35,$AQ35=$AP$3,$AQ$3*AM35,$AQ35=$AP$4,$AQ$4*AM35)</f>
        <v>0</v>
      </c>
      <c r="BA35" s="155" cm="1">
        <f t="array" ref="BA35">_xlfn.IFS($AQ35=$AP$1,$AQ$1*AN35,$AQ35=$AP$2,$AQ$2*AN35,$AQ35=$AP$3,$AQ$3*AN35,$AQ35=$AP$4,$AQ$4*AN35)</f>
        <v>0</v>
      </c>
      <c r="BB35" s="155">
        <f>Table2[[#This Row],[FINAL Project System Capacity (MW)]]</f>
        <v>2.2000000000000002</v>
      </c>
      <c r="BC35" s="155" t="str">
        <f>Table2[[#This Row],[FN Parent  '#]]</f>
        <v>Individual Project</v>
      </c>
      <c r="BD35" s="155"/>
      <c r="BF35" s="155" t="str">
        <f t="shared" si="14"/>
        <v/>
      </c>
      <c r="BG35" s="155" t="str">
        <f t="shared" si="15"/>
        <v/>
      </c>
      <c r="BH35" s="155" t="str">
        <f t="shared" si="16"/>
        <v/>
      </c>
      <c r="BI35" s="155" t="str">
        <f t="shared" si="17"/>
        <v/>
      </c>
      <c r="BJ35" s="155" t="str">
        <f t="shared" si="18"/>
        <v/>
      </c>
      <c r="BK35" s="155" t="str">
        <f t="shared" si="19"/>
        <v/>
      </c>
      <c r="BL35" s="155" t="str">
        <f t="shared" si="20"/>
        <v/>
      </c>
      <c r="BM35" s="155" t="str">
        <f t="shared" si="21"/>
        <v/>
      </c>
      <c r="BN35" s="155" t="str">
        <f t="shared" si="22"/>
        <v/>
      </c>
      <c r="BO35" s="155" t="str">
        <f t="shared" si="23"/>
        <v/>
      </c>
      <c r="BP35" s="155">
        <f t="shared" si="24"/>
        <v>0</v>
      </c>
      <c r="BR35" s="206" t="s">
        <v>261</v>
      </c>
      <c r="BS35" s="155">
        <f t="shared" si="2"/>
        <v>67.160061712030014</v>
      </c>
      <c r="BT35" s="155">
        <f t="shared" si="3"/>
        <v>34.5</v>
      </c>
    </row>
    <row r="36" spans="1:72">
      <c r="A36" s="155" t="s">
        <v>226</v>
      </c>
      <c r="B36" s="155" t="s">
        <v>1016</v>
      </c>
      <c r="C36" s="155" t="s">
        <v>207</v>
      </c>
      <c r="D36" s="155">
        <v>9</v>
      </c>
      <c r="E36" s="189">
        <v>0</v>
      </c>
      <c r="F36" s="67">
        <v>0</v>
      </c>
      <c r="G36" s="67">
        <v>0</v>
      </c>
      <c r="H36" s="67">
        <v>51</v>
      </c>
      <c r="I36" s="67">
        <v>250</v>
      </c>
      <c r="J36" s="67">
        <v>2174</v>
      </c>
      <c r="K36" s="67">
        <v>1814</v>
      </c>
      <c r="L36" s="67">
        <v>4274</v>
      </c>
      <c r="M36" s="67">
        <v>3834</v>
      </c>
      <c r="N36" s="67">
        <v>63</v>
      </c>
      <c r="O36" s="67">
        <v>0</v>
      </c>
      <c r="Q36" s="201" t="s">
        <v>226</v>
      </c>
      <c r="R36" s="201" t="s">
        <v>1016</v>
      </c>
      <c r="S36" s="201" t="s">
        <v>207</v>
      </c>
      <c r="T36" s="76">
        <f>SUM($E36:F36)</f>
        <v>0</v>
      </c>
      <c r="U36" s="76">
        <f>SUM($E36:G36)</f>
        <v>0</v>
      </c>
      <c r="V36" s="76">
        <f>SUM($E36:H36)</f>
        <v>51</v>
      </c>
      <c r="W36" s="76">
        <f>SUM($E36:I36)</f>
        <v>301</v>
      </c>
      <c r="X36" s="76">
        <f>SUM($E36:J36)</f>
        <v>2475</v>
      </c>
      <c r="Y36" s="76">
        <f>SUM($E36:K36)</f>
        <v>4289</v>
      </c>
      <c r="Z36" s="76">
        <f>SUM($E36:L36)</f>
        <v>8563</v>
      </c>
      <c r="AA36" s="76">
        <f>SUM($E36:M36)</f>
        <v>12397</v>
      </c>
      <c r="AB36" s="76">
        <f>SUM($E36:N36)</f>
        <v>12460</v>
      </c>
      <c r="AC36" s="76">
        <f>SUM($E36:O36)</f>
        <v>12460</v>
      </c>
      <c r="AE36" s="76">
        <f t="shared" si="4"/>
        <v>0</v>
      </c>
      <c r="AF36" s="76">
        <f t="shared" si="5"/>
        <v>0</v>
      </c>
      <c r="AG36" s="76">
        <f t="shared" si="6"/>
        <v>53.164490999999984</v>
      </c>
      <c r="AH36" s="76">
        <f t="shared" si="7"/>
        <v>320.36401056099987</v>
      </c>
      <c r="AI36" s="76">
        <f t="shared" si="8"/>
        <v>2689.5410152404738</v>
      </c>
      <c r="AJ36" s="76">
        <f t="shared" si="9"/>
        <v>4758.6608824517516</v>
      </c>
      <c r="AK36" s="76">
        <f t="shared" si="10"/>
        <v>9700.1934745393955</v>
      </c>
      <c r="AL36" s="76">
        <f t="shared" si="11"/>
        <v>14338.271373636111</v>
      </c>
      <c r="AM36" s="76">
        <f t="shared" si="12"/>
        <v>14713.770541512587</v>
      </c>
      <c r="AN36" s="76">
        <f t="shared" si="13"/>
        <v>15022.75972288435</v>
      </c>
      <c r="AP36" s="201" t="s">
        <v>226</v>
      </c>
      <c r="AQ36" s="201" t="s">
        <v>207</v>
      </c>
      <c r="AR36" s="155" cm="1">
        <f t="array" ref="AR36">_xlfn.IFS($AQ36=$AP$1,$AQ$1*AE36,$AQ36=$AP$2,$AQ$2*AE36,$AQ36=$AP$3,$AQ$3*AE36,$AQ36=$AP$4,$AQ$4*AE36)</f>
        <v>0</v>
      </c>
      <c r="AS36" s="155" cm="1">
        <f t="array" ref="AS36">_xlfn.IFS($AQ36=$AP$1,$AQ$1*AF36,$AQ36=$AP$2,$AQ$2*AF36,$AQ36=$AP$3,$AQ$3*AF36,$AQ36=$AP$4,$AQ$4*AF36)</f>
        <v>0</v>
      </c>
      <c r="AT36" s="155" cm="1">
        <f t="array" ref="AT36">_xlfn.IFS($AQ36=$AP$1,$AQ$1*AG36,$AQ36=$AP$2,$AQ$2*AG36,$AQ36=$AP$3,$AQ$3*AG36,$AQ36=$AP$4,$AQ$4*AG36)</f>
        <v>4.2846373303622558</v>
      </c>
      <c r="AU36" s="155" cm="1">
        <f t="array" ref="AU36">_xlfn.IFS($AQ36=$AP$1,$AQ$1*AH36,$AQ36=$AP$2,$AQ$2*AH36,$AQ36=$AP$3,$AQ$3*AH36,$AQ36=$AP$4,$AQ$4*AH36)</f>
        <v>25.818804490279582</v>
      </c>
      <c r="AV36" s="155" cm="1">
        <f t="array" ref="AV36">_xlfn.IFS($AQ36=$AP$1,$AQ$1*AI36,$AQ36=$AP$2,$AQ$2*AI36,$AQ36=$AP$3,$AQ$3*AI36,$AQ36=$AP$4,$AQ$4*AI36)</f>
        <v>216.7557258366254</v>
      </c>
      <c r="AW36" s="155" cm="1">
        <f t="array" ref="AW36">_xlfn.IFS($AQ36=$AP$1,$AQ$1*AJ36,$AQ36=$AP$2,$AQ$2*AJ36,$AQ36=$AP$3,$AQ$3*AJ36,$AQ36=$AP$4,$AQ$4*AJ36)</f>
        <v>383.5104159934001</v>
      </c>
      <c r="AX36" s="155" cm="1">
        <f t="array" ref="AX36">_xlfn.IFS($AQ36=$AP$1,$AQ$1*AK36,$AQ36=$AP$2,$AQ$2*AK36,$AQ36=$AP$3,$AQ$3*AK36,$AQ36=$AP$4,$AQ$4*AK36)</f>
        <v>781.75884487914811</v>
      </c>
      <c r="AY36" s="155" cm="1">
        <f t="array" ref="AY36">_xlfn.IFS($AQ36=$AP$1,$AQ$1*AL36,$AQ36=$AP$2,$AQ$2*AL36,$AQ36=$AP$3,$AQ$3*AL36,$AQ36=$AP$4,$AQ$4*AL36)</f>
        <v>1155.5512264820857</v>
      </c>
      <c r="AZ36" s="155" cm="1">
        <f t="array" ref="AZ36">_xlfn.IFS($AQ36=$AP$1,$AQ$1*AM36,$AQ36=$AP$2,$AQ$2*AM36,$AQ36=$AP$3,$AQ$3*AM36,$AQ36=$AP$4,$AQ$4*AM36)</f>
        <v>1185.8134884155916</v>
      </c>
      <c r="BA36" s="155" cm="1">
        <f t="array" ref="BA36">_xlfn.IFS($AQ36=$AP$1,$AQ$1*AN36,$AQ36=$AP$2,$AQ$2*AN36,$AQ36=$AP$3,$AQ$3*AN36,$AQ36=$AP$4,$AQ$4*AN36)</f>
        <v>1210.7155716723187</v>
      </c>
      <c r="BB36" s="155">
        <f>Table2[[#This Row],[FINAL Project System Capacity (MW)]]</f>
        <v>9</v>
      </c>
      <c r="BC36" s="155" t="str">
        <f>Table2[[#This Row],[FN Parent  '#]]</f>
        <v>FN005822</v>
      </c>
      <c r="BD36" s="155">
        <f t="shared" si="25"/>
        <v>9</v>
      </c>
      <c r="BF36" s="155">
        <f t="shared" si="14"/>
        <v>0</v>
      </c>
      <c r="BG36" s="155">
        <f t="shared" si="15"/>
        <v>0</v>
      </c>
      <c r="BH36" s="155">
        <f t="shared" si="16"/>
        <v>0.47607081448469507</v>
      </c>
      <c r="BI36" s="155">
        <f t="shared" si="17"/>
        <v>2.8687560544755093</v>
      </c>
      <c r="BJ36" s="155">
        <f t="shared" si="18"/>
        <v>24.083969537402822</v>
      </c>
      <c r="BK36" s="155">
        <f t="shared" si="19"/>
        <v>42.612268443711123</v>
      </c>
      <c r="BL36" s="155">
        <f t="shared" si="20"/>
        <v>86.8620938754609</v>
      </c>
      <c r="BM36" s="155">
        <f t="shared" si="21"/>
        <v>128.39458072023174</v>
      </c>
      <c r="BN36" s="155">
        <f t="shared" si="22"/>
        <v>131.75705426839906</v>
      </c>
      <c r="BO36" s="155">
        <f t="shared" si="23"/>
        <v>134.5239524080354</v>
      </c>
      <c r="BP36" s="155">
        <f t="shared" si="24"/>
        <v>45.309695077170076</v>
      </c>
      <c r="BR36" s="206" t="s">
        <v>252</v>
      </c>
      <c r="BS36" s="155">
        <f t="shared" si="2"/>
        <v>274.07766657044215</v>
      </c>
      <c r="BT36" s="155">
        <f t="shared" si="3"/>
        <v>7</v>
      </c>
    </row>
    <row r="37" spans="1:72">
      <c r="A37" s="155" t="s">
        <v>224</v>
      </c>
      <c r="B37" s="155" t="s">
        <v>1323</v>
      </c>
      <c r="C37" s="155" t="s">
        <v>207</v>
      </c>
      <c r="D37" s="155">
        <v>26.5</v>
      </c>
      <c r="E37" s="189">
        <v>0</v>
      </c>
      <c r="F37" s="67">
        <v>0</v>
      </c>
      <c r="G37" s="67">
        <v>0</v>
      </c>
      <c r="H37" s="67">
        <v>0</v>
      </c>
      <c r="I37" s="67">
        <v>99.999960000000002</v>
      </c>
      <c r="J37" s="67">
        <v>3900</v>
      </c>
      <c r="K37" s="67">
        <v>4439.04</v>
      </c>
      <c r="L37" s="67">
        <v>0</v>
      </c>
      <c r="M37" s="67">
        <v>0</v>
      </c>
      <c r="N37" s="67">
        <v>0</v>
      </c>
      <c r="O37" s="67">
        <v>0</v>
      </c>
      <c r="Q37" s="202" t="s">
        <v>224</v>
      </c>
      <c r="R37" s="202" t="s">
        <v>1323</v>
      </c>
      <c r="S37" s="202" t="s">
        <v>207</v>
      </c>
      <c r="T37" s="76">
        <f>SUM($E37:F37)</f>
        <v>0</v>
      </c>
      <c r="U37" s="76">
        <f>SUM($E37:G37)</f>
        <v>0</v>
      </c>
      <c r="V37" s="76">
        <f>SUM($E37:H37)</f>
        <v>0</v>
      </c>
      <c r="W37" s="76">
        <f>SUM($E37:I37)</f>
        <v>99.999960000000002</v>
      </c>
      <c r="X37" s="76">
        <f>SUM($E37:J37)</f>
        <v>3999.9999600000001</v>
      </c>
      <c r="Y37" s="76">
        <f>SUM($E37:K37)</f>
        <v>8439.0399600000001</v>
      </c>
      <c r="Z37" s="76">
        <f>SUM($E37:L37)</f>
        <v>8439.0399600000001</v>
      </c>
      <c r="AA37" s="76">
        <f>SUM($E37:M37)</f>
        <v>8439.0399600000001</v>
      </c>
      <c r="AB37" s="76">
        <f>SUM($E37:N37)</f>
        <v>8439.0399600000001</v>
      </c>
      <c r="AC37" s="76">
        <f>SUM($E37:O37)</f>
        <v>8439.0399600000001</v>
      </c>
      <c r="AE37" s="76">
        <f t="shared" si="4"/>
        <v>0</v>
      </c>
      <c r="AF37" s="76">
        <f t="shared" si="5"/>
        <v>0</v>
      </c>
      <c r="AG37" s="76">
        <f t="shared" si="6"/>
        <v>0</v>
      </c>
      <c r="AH37" s="76">
        <f t="shared" si="7"/>
        <v>106.43318352670953</v>
      </c>
      <c r="AI37" s="76">
        <f t="shared" si="8"/>
        <v>4346.7329104566688</v>
      </c>
      <c r="AJ37" s="76">
        <f t="shared" si="9"/>
        <v>9363.1451021448338</v>
      </c>
      <c r="AK37" s="76">
        <f t="shared" si="10"/>
        <v>9559.7711492898743</v>
      </c>
      <c r="AL37" s="76">
        <f t="shared" si="11"/>
        <v>9760.5263434249609</v>
      </c>
      <c r="AM37" s="76">
        <f t="shared" si="12"/>
        <v>9965.4973966368834</v>
      </c>
      <c r="AN37" s="76">
        <f t="shared" si="13"/>
        <v>10174.772841966256</v>
      </c>
      <c r="AP37" s="202" t="s">
        <v>224</v>
      </c>
      <c r="AQ37" s="202" t="s">
        <v>207</v>
      </c>
      <c r="AR37" s="155" cm="1">
        <f t="array" ref="AR37">_xlfn.IFS($AQ37=$AP$1,$AQ$1*AE37,$AQ37=$AP$2,$AQ$2*AE37,$AQ37=$AP$3,$AQ$3*AE37,$AQ37=$AP$4,$AQ$4*AE37)</f>
        <v>0</v>
      </c>
      <c r="AS37" s="155" cm="1">
        <f t="array" ref="AS37">_xlfn.IFS($AQ37=$AP$1,$AQ$1*AF37,$AQ37=$AP$2,$AQ$2*AF37,$AQ37=$AP$3,$AQ$3*AF37,$AQ37=$AP$4,$AQ$4*AF37)</f>
        <v>0</v>
      </c>
      <c r="AT37" s="155" cm="1">
        <f t="array" ref="AT37">_xlfn.IFS($AQ37=$AP$1,$AQ$1*AG37,$AQ37=$AP$2,$AQ$2*AG37,$AQ37=$AP$3,$AQ$3*AG37,$AQ37=$AP$4,$AQ$4*AG37)</f>
        <v>0</v>
      </c>
      <c r="AU37" s="155" cm="1">
        <f t="array" ref="AU37">_xlfn.IFS($AQ37=$AP$1,$AQ$1*AH37,$AQ37=$AP$2,$AQ$2*AH37,$AQ37=$AP$3,$AQ$3*AH37,$AQ37=$AP$4,$AQ$4*AH37)</f>
        <v>8.5776724793215244</v>
      </c>
      <c r="AV37" s="155" cm="1">
        <f t="array" ref="AV37">_xlfn.IFS($AQ37=$AP$1,$AQ$1*AI37,$AQ37=$AP$2,$AQ$2*AI37,$AQ37=$AP$3,$AQ$3*AI37,$AQ37=$AP$4,$AQ$4*AI37)</f>
        <v>350.31228067728188</v>
      </c>
      <c r="AW37" s="155" cm="1">
        <f t="array" ref="AW37">_xlfn.IFS($AQ37=$AP$1,$AQ$1*AJ37,$AQ37=$AP$2,$AQ$2*AJ37,$AQ37=$AP$3,$AQ$3*AJ37,$AQ37=$AP$4,$AQ$4*AJ37)</f>
        <v>754.59541283388353</v>
      </c>
      <c r="AX37" s="155" cm="1">
        <f t="array" ref="AX37">_xlfn.IFS($AQ37=$AP$1,$AQ$1*AK37,$AQ37=$AP$2,$AQ$2*AK37,$AQ37=$AP$3,$AQ$3*AK37,$AQ37=$AP$4,$AQ$4*AK37)</f>
        <v>770.44191650339496</v>
      </c>
      <c r="AY37" s="155" cm="1">
        <f t="array" ref="AY37">_xlfn.IFS($AQ37=$AP$1,$AQ$1*AL37,$AQ37=$AP$2,$AQ$2*AL37,$AQ37=$AP$3,$AQ$3*AL37,$AQ37=$AP$4,$AQ$4*AL37)</f>
        <v>786.6211967499662</v>
      </c>
      <c r="AZ37" s="155" cm="1">
        <f t="array" ref="AZ37">_xlfn.IFS($AQ37=$AP$1,$AQ$1*AM37,$AQ37=$AP$2,$AQ$2*AM37,$AQ37=$AP$3,$AQ$3*AM37,$AQ37=$AP$4,$AQ$4*AM37)</f>
        <v>803.14024188171538</v>
      </c>
      <c r="BA37" s="155" cm="1">
        <f t="array" ref="BA37">_xlfn.IFS($AQ37=$AP$1,$AQ$1*AN37,$AQ37=$AP$2,$AQ$2*AN37,$AQ37=$AP$3,$AQ$3*AN37,$AQ37=$AP$4,$AQ$4*AN37)</f>
        <v>820.00618696123126</v>
      </c>
      <c r="BB37" s="155">
        <f>Table2[[#This Row],[FINAL Project System Capacity (MW)]]</f>
        <v>26.5</v>
      </c>
      <c r="BC37" s="155" t="str">
        <f>Table2[[#This Row],[FN Parent  '#]]</f>
        <v>FN014243</v>
      </c>
      <c r="BD37" s="155">
        <f t="shared" si="25"/>
        <v>26.5</v>
      </c>
      <c r="BE37" s="155">
        <f t="shared" si="26"/>
        <v>26.5</v>
      </c>
      <c r="BF37" s="155">
        <f t="shared" si="14"/>
        <v>0</v>
      </c>
      <c r="BG37" s="155">
        <f t="shared" si="15"/>
        <v>0</v>
      </c>
      <c r="BH37" s="155">
        <f t="shared" si="16"/>
        <v>0</v>
      </c>
      <c r="BI37" s="155">
        <f t="shared" si="17"/>
        <v>0.32368575393666132</v>
      </c>
      <c r="BJ37" s="155">
        <f t="shared" si="18"/>
        <v>13.219331346312524</v>
      </c>
      <c r="BK37" s="155">
        <f t="shared" si="19"/>
        <v>28.475298597505038</v>
      </c>
      <c r="BL37" s="155">
        <f t="shared" si="20"/>
        <v>29.073279868052641</v>
      </c>
      <c r="BM37" s="155">
        <f t="shared" si="21"/>
        <v>29.683818745281744</v>
      </c>
      <c r="BN37" s="155">
        <f t="shared" si="22"/>
        <v>30.307178938932655</v>
      </c>
      <c r="BO37" s="155">
        <f t="shared" si="23"/>
        <v>30.943629696650238</v>
      </c>
      <c r="BP37" s="155">
        <f t="shared" si="24"/>
        <v>13.747304519822606</v>
      </c>
      <c r="BR37" s="206" t="s">
        <v>253</v>
      </c>
      <c r="BS37" s="155">
        <f t="shared" si="2"/>
        <v>49.063801844244182</v>
      </c>
      <c r="BT37" s="155">
        <f t="shared" si="3"/>
        <v>13.5</v>
      </c>
    </row>
    <row r="38" spans="1:72">
      <c r="A38" s="155" t="s">
        <v>16</v>
      </c>
      <c r="B38" s="155" t="s">
        <v>1151</v>
      </c>
      <c r="C38" s="155" t="s">
        <v>208</v>
      </c>
      <c r="D38" s="155">
        <v>6.4</v>
      </c>
      <c r="E38" s="189">
        <v>0</v>
      </c>
      <c r="F38" s="67">
        <v>0</v>
      </c>
      <c r="G38" s="67">
        <v>0</v>
      </c>
      <c r="H38" s="67">
        <v>35</v>
      </c>
      <c r="I38" s="67">
        <v>1000</v>
      </c>
      <c r="J38" s="67">
        <v>1000</v>
      </c>
      <c r="K38" s="67">
        <v>1000</v>
      </c>
      <c r="L38" s="67">
        <v>1000</v>
      </c>
      <c r="M38" s="67">
        <v>1000</v>
      </c>
      <c r="N38" s="67">
        <v>0</v>
      </c>
      <c r="O38" s="67">
        <v>0</v>
      </c>
      <c r="Q38" s="201" t="s">
        <v>16</v>
      </c>
      <c r="R38" s="201" t="s">
        <v>1151</v>
      </c>
      <c r="S38" s="201" t="s">
        <v>208</v>
      </c>
      <c r="T38" s="76">
        <f>SUM($E38:F38)</f>
        <v>0</v>
      </c>
      <c r="U38" s="76">
        <f>SUM($E38:G38)</f>
        <v>0</v>
      </c>
      <c r="V38" s="76">
        <f>SUM($E38:H38)</f>
        <v>35</v>
      </c>
      <c r="W38" s="76">
        <f>SUM($E38:I38)</f>
        <v>1035</v>
      </c>
      <c r="X38" s="76">
        <f>SUM($E38:J38)</f>
        <v>2035</v>
      </c>
      <c r="Y38" s="76">
        <f>SUM($E38:K38)</f>
        <v>3035</v>
      </c>
      <c r="Z38" s="76">
        <f>SUM($E38:L38)</f>
        <v>4035</v>
      </c>
      <c r="AA38" s="76">
        <f>SUM($E38:M38)</f>
        <v>5035</v>
      </c>
      <c r="AB38" s="76">
        <f>SUM($E38:N38)</f>
        <v>5035</v>
      </c>
      <c r="AC38" s="76">
        <f>SUM($E38:O38)</f>
        <v>5035</v>
      </c>
      <c r="AE38" s="76">
        <f t="shared" si="4"/>
        <v>0</v>
      </c>
      <c r="AF38" s="76">
        <f t="shared" si="5"/>
        <v>0</v>
      </c>
      <c r="AG38" s="76">
        <f t="shared" si="6"/>
        <v>36.485434999999988</v>
      </c>
      <c r="AH38" s="76">
        <f t="shared" si="7"/>
        <v>1101.5838901349996</v>
      </c>
      <c r="AI38" s="76">
        <f t="shared" si="8"/>
        <v>2211.4003903088337</v>
      </c>
      <c r="AJ38" s="76">
        <f t="shared" si="9"/>
        <v>3367.3433849944195</v>
      </c>
      <c r="AK38" s="76">
        <f t="shared" si="10"/>
        <v>4570.8607578846731</v>
      </c>
      <c r="AL38" s="76">
        <f t="shared" si="11"/>
        <v>5823.4408620035347</v>
      </c>
      <c r="AM38" s="76">
        <f t="shared" si="12"/>
        <v>5945.7331201056086</v>
      </c>
      <c r="AN38" s="76">
        <f t="shared" si="13"/>
        <v>6070.5935156278247</v>
      </c>
      <c r="AP38" s="201" t="s">
        <v>16</v>
      </c>
      <c r="AQ38" s="201" t="s">
        <v>208</v>
      </c>
      <c r="AR38" s="155" cm="1">
        <f t="array" ref="AR38">_xlfn.IFS($AQ38=$AP$1,$AQ$1*AE38,$AQ38=$AP$2,$AQ$2*AE38,$AQ38=$AP$3,$AQ$3*AE38,$AQ38=$AP$4,$AQ$4*AE38)</f>
        <v>0</v>
      </c>
      <c r="AS38" s="155" cm="1">
        <f t="array" ref="AS38">_xlfn.IFS($AQ38=$AP$1,$AQ$1*AF38,$AQ38=$AP$2,$AQ$2*AF38,$AQ38=$AP$3,$AQ$3*AF38,$AQ38=$AP$4,$AQ$4*AF38)</f>
        <v>0</v>
      </c>
      <c r="AT38" s="155" cm="1">
        <f t="array" ref="AT38">_xlfn.IFS($AQ38=$AP$1,$AQ$1*AG38,$AQ38=$AP$2,$AQ$2*AG38,$AQ38=$AP$3,$AQ$3*AG38,$AQ38=$AP$4,$AQ$4*AG38)</f>
        <v>5.1551240567915402</v>
      </c>
      <c r="AU38" s="155" cm="1">
        <f t="array" ref="AU38">_xlfn.IFS($AQ38=$AP$1,$AQ$1*AH38,$AQ38=$AP$2,$AQ$2*AH38,$AQ38=$AP$3,$AQ$3*AH38,$AQ38=$AP$4,$AQ$4*AH38)</f>
        <v>155.64571486153164</v>
      </c>
      <c r="AV38" s="155" cm="1">
        <f t="array" ref="AV38">_xlfn.IFS($AQ38=$AP$1,$AQ$1*AI38,$AQ38=$AP$2,$AQ$2*AI38,$AQ38=$AP$3,$AQ$3*AI38,$AQ38=$AP$4,$AQ$4*AI38)</f>
        <v>312.45463707036174</v>
      </c>
      <c r="AW38" s="155" cm="1">
        <f t="array" ref="AW38">_xlfn.IFS($AQ38=$AP$1,$AQ$1*AJ38,$AQ38=$AP$2,$AQ$2*AJ38,$AQ38=$AP$3,$AQ$3*AJ38,$AQ38=$AP$4,$AQ$4*AJ38)</f>
        <v>475.78089425170879</v>
      </c>
      <c r="AX38" s="155" cm="1">
        <f t="array" ref="AX38">_xlfn.IFS($AQ38=$AP$1,$AQ$1*AK38,$AQ38=$AP$2,$AQ$2*AK38,$AQ38=$AP$3,$AQ$3*AK38,$AQ38=$AP$4,$AQ$4*AK38)</f>
        <v>645.82906173972435</v>
      </c>
      <c r="AY38" s="155" cm="1">
        <f t="array" ref="AY38">_xlfn.IFS($AQ38=$AP$1,$AQ$1*AL38,$AQ38=$AP$2,$AQ$2*AL38,$AQ38=$AP$3,$AQ$3*AL38,$AQ38=$AP$4,$AQ$4*AL38)</f>
        <v>822.80943288787148</v>
      </c>
      <c r="AZ38" s="155" cm="1">
        <f t="array" ref="AZ38">_xlfn.IFS($AQ38=$AP$1,$AQ$1*AM38,$AQ38=$AP$2,$AQ$2*AM38,$AQ38=$AP$3,$AQ$3*AM38,$AQ38=$AP$4,$AQ$4*AM38)</f>
        <v>840.08843097851673</v>
      </c>
      <c r="BA38" s="155" cm="1">
        <f t="array" ref="BA38">_xlfn.IFS($AQ38=$AP$1,$AQ$1*AN38,$AQ38=$AP$2,$AQ$2*AN38,$AQ38=$AP$3,$AQ$3*AN38,$AQ38=$AP$4,$AQ$4*AN38)</f>
        <v>857.73028802906526</v>
      </c>
      <c r="BB38" s="155">
        <f>Table2[[#This Row],[FINAL Project System Capacity (MW)]]</f>
        <v>6.4</v>
      </c>
      <c r="BC38" s="155" t="str">
        <f>Table2[[#This Row],[FN Parent  '#]]</f>
        <v>FN011042</v>
      </c>
      <c r="BD38" s="155">
        <f t="shared" si="25"/>
        <v>6.4</v>
      </c>
      <c r="BE38" s="155">
        <f t="shared" si="26"/>
        <v>6.4</v>
      </c>
      <c r="BF38" s="155">
        <f t="shared" si="14"/>
        <v>0</v>
      </c>
      <c r="BG38" s="155">
        <f t="shared" si="15"/>
        <v>0</v>
      </c>
      <c r="BH38" s="155">
        <f t="shared" si="16"/>
        <v>0.80548813387367812</v>
      </c>
      <c r="BI38" s="155">
        <f t="shared" si="17"/>
        <v>24.319642947114318</v>
      </c>
      <c r="BJ38" s="155">
        <f t="shared" si="18"/>
        <v>48.821037042244022</v>
      </c>
      <c r="BK38" s="155">
        <f t="shared" si="19"/>
        <v>74.340764726829491</v>
      </c>
      <c r="BL38" s="155">
        <f t="shared" si="20"/>
        <v>100.91079089683193</v>
      </c>
      <c r="BM38" s="155">
        <f t="shared" si="21"/>
        <v>128.56397388872992</v>
      </c>
      <c r="BN38" s="155">
        <f t="shared" si="22"/>
        <v>131.26381734039322</v>
      </c>
      <c r="BO38" s="155">
        <f t="shared" si="23"/>
        <v>134.02035750454144</v>
      </c>
      <c r="BP38" s="155">
        <f t="shared" si="24"/>
        <v>54.38822519320594</v>
      </c>
      <c r="BR38" s="206" t="s">
        <v>255</v>
      </c>
      <c r="BS38" s="155">
        <f t="shared" ref="BS38:BS69" si="27">SUMIFS($BP$6:$BP$243,$AP$6:$AP$243,$BR38)</f>
        <v>80.565854525566024</v>
      </c>
      <c r="BT38" s="155">
        <f t="shared" ref="BT38:BT69" si="28">SUMIFS($BE$6:$BE$243,$AP$6:$AP$243,$BR38)</f>
        <v>9.4</v>
      </c>
    </row>
    <row r="39" spans="1:72">
      <c r="A39" s="155" t="s">
        <v>16</v>
      </c>
      <c r="B39" s="155" t="s">
        <v>1151</v>
      </c>
      <c r="C39" s="155" t="s">
        <v>207</v>
      </c>
      <c r="D39" s="155">
        <v>6.4</v>
      </c>
      <c r="E39" s="189">
        <v>21</v>
      </c>
      <c r="F39" s="67">
        <v>101.5</v>
      </c>
      <c r="G39" s="67">
        <v>0.1</v>
      </c>
      <c r="H39" s="67">
        <v>1.4</v>
      </c>
      <c r="I39" s="67">
        <v>2010</v>
      </c>
      <c r="J39" s="67">
        <v>6257.3855299999996</v>
      </c>
      <c r="K39" s="67">
        <v>4986.4805399999996</v>
      </c>
      <c r="L39" s="67">
        <v>4708.7072200000002</v>
      </c>
      <c r="M39" s="67">
        <v>52.540790000000001</v>
      </c>
      <c r="N39" s="67">
        <v>0</v>
      </c>
      <c r="O39" s="67">
        <v>0</v>
      </c>
      <c r="Q39" s="202" t="s">
        <v>16</v>
      </c>
      <c r="R39" s="202" t="s">
        <v>1151</v>
      </c>
      <c r="S39" s="202" t="s">
        <v>207</v>
      </c>
      <c r="T39" s="76">
        <f>SUM($E39:F40)</f>
        <v>122.5</v>
      </c>
      <c r="U39" s="76">
        <f>SUM($E39:G40)</f>
        <v>122.6</v>
      </c>
      <c r="V39" s="76">
        <f>SUM($E39:H40)</f>
        <v>124</v>
      </c>
      <c r="W39" s="76">
        <f>SUM($E39:I40)</f>
        <v>2134</v>
      </c>
      <c r="X39" s="76">
        <f>SUM($E39:J40)</f>
        <v>8723.7025299999987</v>
      </c>
      <c r="Y39" s="76">
        <f>SUM($E39:K40)</f>
        <v>16132.683069999999</v>
      </c>
      <c r="Z39" s="76">
        <f>SUM($E39:L40)</f>
        <v>20841.390289999999</v>
      </c>
      <c r="AA39" s="76">
        <f>SUM($E39:M40)</f>
        <v>20893.931079999998</v>
      </c>
      <c r="AB39" s="76">
        <f>SUM($E39:N40)</f>
        <v>20893.931079999998</v>
      </c>
      <c r="AC39" s="76">
        <f>SUM($E39:O40)</f>
        <v>20893.931079999998</v>
      </c>
      <c r="AE39" s="76">
        <f t="shared" si="4"/>
        <v>122.5</v>
      </c>
      <c r="AF39" s="76">
        <f t="shared" si="5"/>
        <v>125.17459999999998</v>
      </c>
      <c r="AG39" s="76">
        <f t="shared" si="6"/>
        <v>129.26268399999998</v>
      </c>
      <c r="AH39" s="76">
        <f t="shared" si="7"/>
        <v>2271.2850449739994</v>
      </c>
      <c r="AI39" s="76">
        <f t="shared" si="8"/>
        <v>9479.9013168452875</v>
      </c>
      <c r="AJ39" s="76">
        <f t="shared" si="9"/>
        <v>17899.26972585699</v>
      </c>
      <c r="AK39" s="76">
        <f t="shared" si="10"/>
        <v>23609.192816931765</v>
      </c>
      <c r="AL39" s="76">
        <f t="shared" si="11"/>
        <v>24165.754124956831</v>
      </c>
      <c r="AM39" s="76">
        <f t="shared" si="12"/>
        <v>24673.234961580918</v>
      </c>
      <c r="AN39" s="76">
        <f t="shared" si="13"/>
        <v>25191.372895774115</v>
      </c>
      <c r="AP39" s="202" t="s">
        <v>16</v>
      </c>
      <c r="AQ39" s="202" t="s">
        <v>207</v>
      </c>
      <c r="AR39" s="155" cm="1">
        <f t="array" ref="AR39">_xlfn.IFS($AQ39=$AP$1,$AQ$1*AE39,$AQ39=$AP$2,$AQ$2*AE39,$AQ39=$AP$3,$AQ$3*AE39,$AQ39=$AP$4,$AQ$4*AE39)</f>
        <v>9.8725307643663225</v>
      </c>
      <c r="AS39" s="155" cm="1">
        <f t="array" ref="AS39">_xlfn.IFS($AQ39=$AP$1,$AQ$1*AF39,$AQ39=$AP$2,$AQ$2*AF39,$AQ39=$AP$3,$AQ$3*AF39,$AQ39=$AP$4,$AQ$4*AF39)</f>
        <v>10.088082362589784</v>
      </c>
      <c r="AT39" s="155" cm="1">
        <f t="array" ref="AT39">_xlfn.IFS($AQ39=$AP$1,$AQ$1*AG39,$AQ39=$AP$2,$AQ$2*AG39,$AQ39=$AP$3,$AQ$3*AG39,$AQ39=$AP$4,$AQ$4*AG39)</f>
        <v>10.417549587547446</v>
      </c>
      <c r="AU39" s="155" cm="1">
        <f t="array" ref="AU39">_xlfn.IFS($AQ39=$AP$1,$AQ$1*AH39,$AQ39=$AP$2,$AQ$2*AH39,$AQ39=$AP$3,$AQ$3*AH39,$AQ39=$AP$4,$AQ$4*AH39)</f>
        <v>183.04760392776291</v>
      </c>
      <c r="AV39" s="155" cm="1">
        <f t="array" ref="AV39">_xlfn.IFS($AQ39=$AP$1,$AQ$1*AI39,$AQ39=$AP$2,$AQ$2*AI39,$AQ39=$AP$3,$AQ$3*AI39,$AQ39=$AP$4,$AQ$4*AI39)</f>
        <v>764.0050399486687</v>
      </c>
      <c r="AW39" s="155" cm="1">
        <f t="array" ref="AW39">_xlfn.IFS($AQ39=$AP$1,$AQ$1*AJ39,$AQ39=$AP$2,$AQ$2*AJ39,$AQ39=$AP$3,$AQ$3*AJ39,$AQ39=$AP$4,$AQ$4*AJ39)</f>
        <v>1442.5395185976645</v>
      </c>
      <c r="AX39" s="155" cm="1">
        <f t="array" ref="AX39">_xlfn.IFS($AQ39=$AP$1,$AQ$1*AK39,$AQ39=$AP$2,$AQ$2*AK39,$AQ39=$AP$3,$AQ$3*AK39,$AQ39=$AP$4,$AQ$4*AK39)</f>
        <v>1902.7141420980838</v>
      </c>
      <c r="AY39" s="155" cm="1">
        <f t="array" ref="AY39">_xlfn.IFS($AQ39=$AP$1,$AQ$1*AL39,$AQ39=$AP$2,$AQ$2*AL39,$AQ39=$AP$3,$AQ$3*AL39,$AQ39=$AP$4,$AQ$4*AL39)</f>
        <v>1947.5685799408056</v>
      </c>
      <c r="AZ39" s="155" cm="1">
        <f t="array" ref="AZ39">_xlfn.IFS($AQ39=$AP$1,$AQ$1*AM39,$AQ39=$AP$2,$AQ$2*AM39,$AQ39=$AP$3,$AQ$3*AM39,$AQ39=$AP$4,$AQ$4*AM39)</f>
        <v>1988.4675201195621</v>
      </c>
      <c r="BA39" s="155" cm="1">
        <f t="array" ref="BA39">_xlfn.IFS($AQ39=$AP$1,$AQ$1*AN39,$AQ39=$AP$2,$AQ$2*AN39,$AQ39=$AP$3,$AQ$3*AN39,$AQ39=$AP$4,$AQ$4*AN39)</f>
        <v>2030.2253380420727</v>
      </c>
      <c r="BB39" s="155">
        <f>Table2[[#This Row],[FINAL Project System Capacity (MW)]]</f>
        <v>6.4</v>
      </c>
      <c r="BC39" s="155" t="str">
        <f>Table2[[#This Row],[FN Parent  '#]]</f>
        <v>FN011042</v>
      </c>
      <c r="BD39" s="155">
        <f t="shared" si="25"/>
        <v>6.4</v>
      </c>
      <c r="BF39" s="155">
        <f t="shared" si="14"/>
        <v>1.5425829319322377</v>
      </c>
      <c r="BG39" s="155">
        <f t="shared" si="15"/>
        <v>1.5762628691546536</v>
      </c>
      <c r="BH39" s="155">
        <f t="shared" si="16"/>
        <v>1.6277421230542883</v>
      </c>
      <c r="BI39" s="155">
        <f t="shared" si="17"/>
        <v>28.601188113712954</v>
      </c>
      <c r="BJ39" s="155">
        <f t="shared" si="18"/>
        <v>119.37578749197948</v>
      </c>
      <c r="BK39" s="155">
        <f t="shared" si="19"/>
        <v>225.39679978088506</v>
      </c>
      <c r="BL39" s="155">
        <f t="shared" si="20"/>
        <v>297.29908470282555</v>
      </c>
      <c r="BM39" s="155">
        <f t="shared" si="21"/>
        <v>304.30759061575088</v>
      </c>
      <c r="BN39" s="155">
        <f t="shared" si="22"/>
        <v>310.69805001868156</v>
      </c>
      <c r="BO39" s="155">
        <f t="shared" si="23"/>
        <v>317.22270906907386</v>
      </c>
      <c r="BP39" s="155">
        <f t="shared" si="24"/>
        <v>136.23904029634423</v>
      </c>
      <c r="BR39" s="206" t="s">
        <v>256</v>
      </c>
      <c r="BS39" s="155">
        <f t="shared" si="27"/>
        <v>42.664841944854885</v>
      </c>
      <c r="BT39" s="155">
        <f t="shared" si="28"/>
        <v>5</v>
      </c>
    </row>
    <row r="40" spans="1:72">
      <c r="A40" s="155" t="s">
        <v>16</v>
      </c>
      <c r="B40" s="155" t="s">
        <v>1151</v>
      </c>
      <c r="C40" s="155" t="s">
        <v>207</v>
      </c>
      <c r="D40" s="155">
        <v>6.4</v>
      </c>
      <c r="E40" s="189">
        <v>0</v>
      </c>
      <c r="F40" s="67">
        <v>0</v>
      </c>
      <c r="G40" s="67">
        <v>0</v>
      </c>
      <c r="H40" s="67">
        <v>0</v>
      </c>
      <c r="I40" s="67">
        <v>0</v>
      </c>
      <c r="J40" s="67">
        <v>332.31700000000001</v>
      </c>
      <c r="K40" s="67">
        <v>2422.5</v>
      </c>
      <c r="L40" s="67">
        <v>0</v>
      </c>
      <c r="M40" s="67">
        <v>0</v>
      </c>
      <c r="N40" s="67">
        <v>0</v>
      </c>
      <c r="O40" s="67">
        <v>0</v>
      </c>
      <c r="Q40" s="201" t="s">
        <v>16</v>
      </c>
      <c r="R40" s="201" t="s">
        <v>1151</v>
      </c>
      <c r="S40" s="201" t="s">
        <v>207</v>
      </c>
      <c r="T40" s="76"/>
      <c r="U40" s="76"/>
      <c r="V40" s="76"/>
      <c r="W40" s="76"/>
      <c r="X40" s="76"/>
      <c r="Y40" s="76"/>
      <c r="Z40" s="76"/>
      <c r="AA40" s="76"/>
      <c r="AB40" s="76"/>
      <c r="AC40" s="76"/>
      <c r="AE40" s="76">
        <f t="shared" si="4"/>
        <v>0</v>
      </c>
      <c r="AF40" s="76">
        <f t="shared" si="5"/>
        <v>0</v>
      </c>
      <c r="AG40" s="76">
        <f t="shared" si="6"/>
        <v>0</v>
      </c>
      <c r="AH40" s="76">
        <f t="shared" si="7"/>
        <v>0</v>
      </c>
      <c r="AI40" s="76">
        <f t="shared" si="8"/>
        <v>0</v>
      </c>
      <c r="AJ40" s="76">
        <f t="shared" si="9"/>
        <v>0</v>
      </c>
      <c r="AK40" s="76">
        <f t="shared" si="10"/>
        <v>0</v>
      </c>
      <c r="AL40" s="76">
        <f t="shared" si="11"/>
        <v>0</v>
      </c>
      <c r="AM40" s="76">
        <f t="shared" si="12"/>
        <v>0</v>
      </c>
      <c r="AN40" s="76">
        <f t="shared" si="13"/>
        <v>0</v>
      </c>
      <c r="AP40" s="201" t="s">
        <v>16</v>
      </c>
      <c r="AQ40" s="201" t="s">
        <v>207</v>
      </c>
      <c r="AR40" s="155" cm="1">
        <f t="array" ref="AR40">_xlfn.IFS($AQ40=$AP$1,$AQ$1*AE40,$AQ40=$AP$2,$AQ$2*AE40,$AQ40=$AP$3,$AQ$3*AE40,$AQ40=$AP$4,$AQ$4*AE40)</f>
        <v>0</v>
      </c>
      <c r="AS40" s="155" cm="1">
        <f t="array" ref="AS40">_xlfn.IFS($AQ40=$AP$1,$AQ$1*AF40,$AQ40=$AP$2,$AQ$2*AF40,$AQ40=$AP$3,$AQ$3*AF40,$AQ40=$AP$4,$AQ$4*AF40)</f>
        <v>0</v>
      </c>
      <c r="AT40" s="155" cm="1">
        <f t="array" ref="AT40">_xlfn.IFS($AQ40=$AP$1,$AQ$1*AG40,$AQ40=$AP$2,$AQ$2*AG40,$AQ40=$AP$3,$AQ$3*AG40,$AQ40=$AP$4,$AQ$4*AG40)</f>
        <v>0</v>
      </c>
      <c r="AU40" s="155" cm="1">
        <f t="array" ref="AU40">_xlfn.IFS($AQ40=$AP$1,$AQ$1*AH40,$AQ40=$AP$2,$AQ$2*AH40,$AQ40=$AP$3,$AQ$3*AH40,$AQ40=$AP$4,$AQ$4*AH40)</f>
        <v>0</v>
      </c>
      <c r="AV40" s="155" cm="1">
        <f t="array" ref="AV40">_xlfn.IFS($AQ40=$AP$1,$AQ$1*AI40,$AQ40=$AP$2,$AQ$2*AI40,$AQ40=$AP$3,$AQ$3*AI40,$AQ40=$AP$4,$AQ$4*AI40)</f>
        <v>0</v>
      </c>
      <c r="AW40" s="155" cm="1">
        <f t="array" ref="AW40">_xlfn.IFS($AQ40=$AP$1,$AQ$1*AJ40,$AQ40=$AP$2,$AQ$2*AJ40,$AQ40=$AP$3,$AQ$3*AJ40,$AQ40=$AP$4,$AQ$4*AJ40)</f>
        <v>0</v>
      </c>
      <c r="AX40" s="155" cm="1">
        <f t="array" ref="AX40">_xlfn.IFS($AQ40=$AP$1,$AQ$1*AK40,$AQ40=$AP$2,$AQ$2*AK40,$AQ40=$AP$3,$AQ$3*AK40,$AQ40=$AP$4,$AQ$4*AK40)</f>
        <v>0</v>
      </c>
      <c r="AY40" s="155" cm="1">
        <f t="array" ref="AY40">_xlfn.IFS($AQ40=$AP$1,$AQ$1*AL40,$AQ40=$AP$2,$AQ$2*AL40,$AQ40=$AP$3,$AQ$3*AL40,$AQ40=$AP$4,$AQ$4*AL40)</f>
        <v>0</v>
      </c>
      <c r="AZ40" s="155" cm="1">
        <f t="array" ref="AZ40">_xlfn.IFS($AQ40=$AP$1,$AQ$1*AM40,$AQ40=$AP$2,$AQ$2*AM40,$AQ40=$AP$3,$AQ$3*AM40,$AQ40=$AP$4,$AQ$4*AM40)</f>
        <v>0</v>
      </c>
      <c r="BA40" s="155" cm="1">
        <f t="array" ref="BA40">_xlfn.IFS($AQ40=$AP$1,$AQ$1*AN40,$AQ40=$AP$2,$AQ$2*AN40,$AQ40=$AP$3,$AQ$3*AN40,$AQ40=$AP$4,$AQ$4*AN40)</f>
        <v>0</v>
      </c>
      <c r="BB40" s="155"/>
      <c r="BC40" s="155" t="str">
        <f>Table2[[#This Row],[FN Parent  '#]]</f>
        <v>FN011042</v>
      </c>
      <c r="BD40" s="155">
        <f t="shared" si="25"/>
        <v>0</v>
      </c>
      <c r="BF40" s="155" t="str">
        <f t="shared" si="14"/>
        <v/>
      </c>
      <c r="BG40" s="155" t="str">
        <f t="shared" si="15"/>
        <v/>
      </c>
      <c r="BH40" s="155" t="str">
        <f t="shared" si="16"/>
        <v/>
      </c>
      <c r="BI40" s="155" t="str">
        <f t="shared" si="17"/>
        <v/>
      </c>
      <c r="BJ40" s="155" t="str">
        <f t="shared" si="18"/>
        <v/>
      </c>
      <c r="BK40" s="155" t="str">
        <f t="shared" si="19"/>
        <v/>
      </c>
      <c r="BL40" s="155" t="str">
        <f t="shared" si="20"/>
        <v/>
      </c>
      <c r="BM40" s="155" t="str">
        <f t="shared" si="21"/>
        <v/>
      </c>
      <c r="BN40" s="155" t="str">
        <f t="shared" si="22"/>
        <v/>
      </c>
      <c r="BO40" s="155" t="str">
        <f t="shared" si="23"/>
        <v/>
      </c>
      <c r="BP40" s="155">
        <f t="shared" si="24"/>
        <v>0</v>
      </c>
      <c r="BR40" s="206" t="s">
        <v>258</v>
      </c>
      <c r="BS40" s="155">
        <f t="shared" si="27"/>
        <v>129.16878072676934</v>
      </c>
      <c r="BT40" s="155">
        <f t="shared" si="28"/>
        <v>4.4000000000000004</v>
      </c>
    </row>
    <row r="41" spans="1:72">
      <c r="A41" s="155" t="s">
        <v>227</v>
      </c>
      <c r="B41" s="155" t="s">
        <v>1345</v>
      </c>
      <c r="C41" s="155" t="s">
        <v>208</v>
      </c>
      <c r="D41" s="155">
        <v>5</v>
      </c>
      <c r="E41" s="189">
        <v>0</v>
      </c>
      <c r="F41" s="67">
        <v>0</v>
      </c>
      <c r="G41" s="67">
        <v>0</v>
      </c>
      <c r="H41" s="67">
        <v>0</v>
      </c>
      <c r="I41" s="67">
        <v>1890.9</v>
      </c>
      <c r="J41" s="67">
        <v>1217.7</v>
      </c>
      <c r="K41" s="67">
        <v>693</v>
      </c>
      <c r="L41" s="67">
        <v>0</v>
      </c>
      <c r="M41" s="67">
        <v>0</v>
      </c>
      <c r="N41" s="67">
        <v>0</v>
      </c>
      <c r="O41" s="67">
        <v>0</v>
      </c>
      <c r="Q41" s="202" t="s">
        <v>227</v>
      </c>
      <c r="R41" s="202" t="s">
        <v>1345</v>
      </c>
      <c r="S41" s="202" t="s">
        <v>208</v>
      </c>
      <c r="T41" s="76">
        <f>SUM($E41:F42)</f>
        <v>0</v>
      </c>
      <c r="U41" s="76">
        <f>SUM($E41:G42)</f>
        <v>0</v>
      </c>
      <c r="V41" s="76">
        <f>SUM($E41:H42)</f>
        <v>0</v>
      </c>
      <c r="W41" s="76">
        <f>SUM($E41:I42)</f>
        <v>1890.9</v>
      </c>
      <c r="X41" s="76">
        <f>SUM($E41:J42)</f>
        <v>3108.6000000000004</v>
      </c>
      <c r="Y41" s="76">
        <f>SUM($E41:K42)</f>
        <v>4051.6000000000004</v>
      </c>
      <c r="Z41" s="76">
        <f>SUM($E41:L42)</f>
        <v>5351.6</v>
      </c>
      <c r="AA41" s="76">
        <f>SUM($E41:M42)</f>
        <v>7961.6</v>
      </c>
      <c r="AB41" s="76">
        <f>SUM($E41:N42)</f>
        <v>8911.6</v>
      </c>
      <c r="AC41" s="76">
        <f>SUM($E41:O42)</f>
        <v>8911.6</v>
      </c>
      <c r="AE41" s="76">
        <f t="shared" si="4"/>
        <v>0</v>
      </c>
      <c r="AF41" s="76">
        <f t="shared" si="5"/>
        <v>0</v>
      </c>
      <c r="AG41" s="76">
        <f t="shared" si="6"/>
        <v>0</v>
      </c>
      <c r="AH41" s="76">
        <f t="shared" si="7"/>
        <v>2012.5458723248994</v>
      </c>
      <c r="AI41" s="76">
        <f t="shared" si="8"/>
        <v>3378.0635151420352</v>
      </c>
      <c r="AJ41" s="76">
        <f t="shared" si="9"/>
        <v>4495.2647310192388</v>
      </c>
      <c r="AK41" s="76">
        <f t="shared" si="10"/>
        <v>6062.309400717626</v>
      </c>
      <c r="AL41" s="76">
        <f t="shared" si="11"/>
        <v>9208.3230917432666</v>
      </c>
      <c r="AM41" s="76">
        <f t="shared" si="12"/>
        <v>10523.534314425648</v>
      </c>
      <c r="AN41" s="76">
        <f t="shared" si="13"/>
        <v>10744.528535028585</v>
      </c>
      <c r="AP41" s="202" t="s">
        <v>227</v>
      </c>
      <c r="AQ41" s="202" t="s">
        <v>208</v>
      </c>
      <c r="AR41" s="155" cm="1">
        <f t="array" ref="AR41">_xlfn.IFS($AQ41=$AP$1,$AQ$1*AE41,$AQ41=$AP$2,$AQ$2*AE41,$AQ41=$AP$3,$AQ$3*AE41,$AQ41=$AP$4,$AQ$4*AE41)</f>
        <v>0</v>
      </c>
      <c r="AS41" s="155" cm="1">
        <f t="array" ref="AS41">_xlfn.IFS($AQ41=$AP$1,$AQ$1*AF41,$AQ41=$AP$2,$AQ$2*AF41,$AQ41=$AP$3,$AQ$3*AF41,$AQ41=$AP$4,$AQ$4*AF41)</f>
        <v>0</v>
      </c>
      <c r="AT41" s="155" cm="1">
        <f t="array" ref="AT41">_xlfn.IFS($AQ41=$AP$1,$AQ$1*AG41,$AQ41=$AP$2,$AQ$2*AG41,$AQ41=$AP$3,$AQ$3*AG41,$AQ41=$AP$4,$AQ$4*AG41)</f>
        <v>0</v>
      </c>
      <c r="AU41" s="155" cm="1">
        <f t="array" ref="AU41">_xlfn.IFS($AQ41=$AP$1,$AQ$1*AH41,$AQ41=$AP$2,$AQ$2*AH41,$AQ41=$AP$3,$AQ$3*AH41,$AQ41=$AP$4,$AQ$4*AH41)</f>
        <v>284.35795384702436</v>
      </c>
      <c r="AV41" s="155" cm="1">
        <f t="array" ref="AV41">_xlfn.IFS($AQ41=$AP$1,$AQ$1*AI41,$AQ41=$AP$2,$AQ$2*AI41,$AQ41=$AP$3,$AQ$3*AI41,$AQ41=$AP$4,$AQ$4*AI41)</f>
        <v>477.29556992477967</v>
      </c>
      <c r="AW41" s="155" cm="1">
        <f t="array" ref="AW41">_xlfn.IFS($AQ41=$AP$1,$AQ$1*AJ41,$AQ41=$AP$2,$AQ$2*AJ41,$AQ41=$AP$3,$AQ$3*AJ41,$AQ41=$AP$4,$AQ$4*AJ41)</f>
        <v>635.14789823730587</v>
      </c>
      <c r="AX41" s="155" cm="1">
        <f t="array" ref="AX41">_xlfn.IFS($AQ41=$AP$1,$AQ$1*AK41,$AQ41=$AP$2,$AQ$2*AK41,$AQ41=$AP$3,$AQ$3*AK41,$AQ41=$AP$4,$AQ$4*AK41)</f>
        <v>856.55980342163798</v>
      </c>
      <c r="AY41" s="155" cm="1">
        <f t="array" ref="AY41">_xlfn.IFS($AQ41=$AP$1,$AQ$1*AL41,$AQ41=$AP$2,$AQ$2*AL41,$AQ41=$AP$3,$AQ$3*AL41,$AQ41=$AP$4,$AQ$4*AL41)</f>
        <v>1301.0684371162022</v>
      </c>
      <c r="AZ41" s="155" cm="1">
        <f t="array" ref="AZ41">_xlfn.IFS($AQ41=$AP$1,$AQ$1*AM41,$AQ41=$AP$2,$AQ$2*AM41,$AQ41=$AP$3,$AQ$3*AM41,$AQ41=$AP$4,$AQ$4*AM41)</f>
        <v>1486.8981254236639</v>
      </c>
      <c r="BA41" s="155" cm="1">
        <f t="array" ref="BA41">_xlfn.IFS($AQ41=$AP$1,$AQ$1*AN41,$AQ41=$AP$2,$AQ$2*AN41,$AQ41=$AP$3,$AQ$3*AN41,$AQ41=$AP$4,$AQ$4*AN41)</f>
        <v>1518.1229860575609</v>
      </c>
      <c r="BB41" s="155">
        <f>Table2[[#This Row],[FINAL Project System Capacity (MW)]]</f>
        <v>5</v>
      </c>
      <c r="BC41" s="155" t="str">
        <f>Table2[[#This Row],[FN Parent  '#]]</f>
        <v>Individual Project</v>
      </c>
      <c r="BD41" s="155">
        <f>BB41+BB42</f>
        <v>10</v>
      </c>
      <c r="BE41" s="155">
        <f t="shared" si="26"/>
        <v>10</v>
      </c>
      <c r="BF41" s="155">
        <f t="shared" si="14"/>
        <v>0</v>
      </c>
      <c r="BG41" s="155">
        <f t="shared" si="15"/>
        <v>0</v>
      </c>
      <c r="BH41" s="155">
        <f t="shared" si="16"/>
        <v>0</v>
      </c>
      <c r="BI41" s="155">
        <f t="shared" si="17"/>
        <v>28.435795384702438</v>
      </c>
      <c r="BJ41" s="155">
        <f t="shared" si="18"/>
        <v>47.729556992477967</v>
      </c>
      <c r="BK41" s="155">
        <f t="shared" si="19"/>
        <v>63.514789823730588</v>
      </c>
      <c r="BL41" s="155">
        <f t="shared" si="20"/>
        <v>85.655980342163801</v>
      </c>
      <c r="BM41" s="155">
        <f t="shared" si="21"/>
        <v>130.10684371162023</v>
      </c>
      <c r="BN41" s="155">
        <f t="shared" si="22"/>
        <v>148.68981254236638</v>
      </c>
      <c r="BO41" s="155">
        <f t="shared" si="23"/>
        <v>151.8122986057561</v>
      </c>
      <c r="BP41" s="155">
        <f t="shared" si="24"/>
        <v>55.02644318933438</v>
      </c>
      <c r="BR41" s="206" t="s">
        <v>260</v>
      </c>
      <c r="BS41" s="155">
        <f t="shared" si="27"/>
        <v>57.186898537205266</v>
      </c>
      <c r="BT41" s="155">
        <f t="shared" si="28"/>
        <v>9.5</v>
      </c>
    </row>
    <row r="42" spans="1:72">
      <c r="A42" s="155" t="s">
        <v>227</v>
      </c>
      <c r="B42" s="155" t="s">
        <v>1345</v>
      </c>
      <c r="C42" s="155" t="s">
        <v>208</v>
      </c>
      <c r="D42" s="155">
        <v>5</v>
      </c>
      <c r="E42" s="189">
        <v>0</v>
      </c>
      <c r="F42" s="67">
        <v>0</v>
      </c>
      <c r="G42" s="67">
        <v>0</v>
      </c>
      <c r="H42" s="67">
        <v>0</v>
      </c>
      <c r="I42" s="67">
        <v>0</v>
      </c>
      <c r="J42" s="67">
        <v>0</v>
      </c>
      <c r="K42" s="67">
        <v>250</v>
      </c>
      <c r="L42" s="67">
        <v>1300</v>
      </c>
      <c r="M42" s="67">
        <v>2610</v>
      </c>
      <c r="N42" s="67">
        <v>950</v>
      </c>
      <c r="O42" s="67">
        <v>0</v>
      </c>
      <c r="Q42" s="201" t="s">
        <v>227</v>
      </c>
      <c r="R42" s="201" t="s">
        <v>1345</v>
      </c>
      <c r="S42" s="201" t="s">
        <v>208</v>
      </c>
      <c r="U42" s="155"/>
      <c r="V42" s="155"/>
      <c r="W42" s="155"/>
      <c r="X42" s="155"/>
      <c r="Y42" s="155"/>
      <c r="Z42" s="155"/>
      <c r="AA42" s="155"/>
      <c r="AB42" s="155"/>
      <c r="AC42" s="155"/>
      <c r="AE42" s="76">
        <f t="shared" si="4"/>
        <v>0</v>
      </c>
      <c r="AF42" s="76">
        <f t="shared" si="5"/>
        <v>0</v>
      </c>
      <c r="AG42" s="76">
        <f t="shared" si="6"/>
        <v>0</v>
      </c>
      <c r="AH42" s="76">
        <f t="shared" si="7"/>
        <v>0</v>
      </c>
      <c r="AI42" s="76">
        <f t="shared" si="8"/>
        <v>0</v>
      </c>
      <c r="AJ42" s="76">
        <f t="shared" si="9"/>
        <v>0</v>
      </c>
      <c r="AK42" s="76">
        <f t="shared" si="10"/>
        <v>0</v>
      </c>
      <c r="AL42" s="76">
        <f t="shared" si="11"/>
        <v>0</v>
      </c>
      <c r="AM42" s="76">
        <f t="shared" si="12"/>
        <v>0</v>
      </c>
      <c r="AN42" s="76">
        <f t="shared" si="13"/>
        <v>0</v>
      </c>
      <c r="AP42" s="201" t="s">
        <v>227</v>
      </c>
      <c r="AQ42" s="201" t="s">
        <v>208</v>
      </c>
      <c r="AR42" s="155" cm="1">
        <f t="array" ref="AR42">_xlfn.IFS($AQ42=$AP$1,$AQ$1*AE42,$AQ42=$AP$2,$AQ$2*AE42,$AQ42=$AP$3,$AQ$3*AE42,$AQ42=$AP$4,$AQ$4*AE42)</f>
        <v>0</v>
      </c>
      <c r="AS42" s="155" cm="1">
        <f t="array" ref="AS42">_xlfn.IFS($AQ42=$AP$1,$AQ$1*AF42,$AQ42=$AP$2,$AQ$2*AF42,$AQ42=$AP$3,$AQ$3*AF42,$AQ42=$AP$4,$AQ$4*AF42)</f>
        <v>0</v>
      </c>
      <c r="AT42" s="155" cm="1">
        <f t="array" ref="AT42">_xlfn.IFS($AQ42=$AP$1,$AQ$1*AG42,$AQ42=$AP$2,$AQ$2*AG42,$AQ42=$AP$3,$AQ$3*AG42,$AQ42=$AP$4,$AQ$4*AG42)</f>
        <v>0</v>
      </c>
      <c r="AU42" s="155" cm="1">
        <f t="array" ref="AU42">_xlfn.IFS($AQ42=$AP$1,$AQ$1*AH42,$AQ42=$AP$2,$AQ$2*AH42,$AQ42=$AP$3,$AQ$3*AH42,$AQ42=$AP$4,$AQ$4*AH42)</f>
        <v>0</v>
      </c>
      <c r="AV42" s="155" cm="1">
        <f t="array" ref="AV42">_xlfn.IFS($AQ42=$AP$1,$AQ$1*AI42,$AQ42=$AP$2,$AQ$2*AI42,$AQ42=$AP$3,$AQ$3*AI42,$AQ42=$AP$4,$AQ$4*AI42)</f>
        <v>0</v>
      </c>
      <c r="AW42" s="155" cm="1">
        <f t="array" ref="AW42">_xlfn.IFS($AQ42=$AP$1,$AQ$1*AJ42,$AQ42=$AP$2,$AQ$2*AJ42,$AQ42=$AP$3,$AQ$3*AJ42,$AQ42=$AP$4,$AQ$4*AJ42)</f>
        <v>0</v>
      </c>
      <c r="AX42" s="155" cm="1">
        <f t="array" ref="AX42">_xlfn.IFS($AQ42=$AP$1,$AQ$1*AK42,$AQ42=$AP$2,$AQ$2*AK42,$AQ42=$AP$3,$AQ$3*AK42,$AQ42=$AP$4,$AQ$4*AK42)</f>
        <v>0</v>
      </c>
      <c r="AY42" s="155" cm="1">
        <f t="array" ref="AY42">_xlfn.IFS($AQ42=$AP$1,$AQ$1*AL42,$AQ42=$AP$2,$AQ$2*AL42,$AQ42=$AP$3,$AQ$3*AL42,$AQ42=$AP$4,$AQ$4*AL42)</f>
        <v>0</v>
      </c>
      <c r="AZ42" s="155" cm="1">
        <f t="array" ref="AZ42">_xlfn.IFS($AQ42=$AP$1,$AQ$1*AM42,$AQ42=$AP$2,$AQ$2*AM42,$AQ42=$AP$3,$AQ$3*AM42,$AQ42=$AP$4,$AQ$4*AM42)</f>
        <v>0</v>
      </c>
      <c r="BA42" s="155" cm="1">
        <f t="array" ref="BA42">_xlfn.IFS($AQ42=$AP$1,$AQ$1*AN42,$AQ42=$AP$2,$AQ$2*AN42,$AQ42=$AP$3,$AQ$3*AN42,$AQ42=$AP$4,$AQ$4*AN42)</f>
        <v>0</v>
      </c>
      <c r="BB42" s="155">
        <f>Table2[[#This Row],[FINAL Project System Capacity (MW)]]</f>
        <v>5</v>
      </c>
      <c r="BC42" s="155" t="str">
        <f>Table2[[#This Row],[FN Parent  '#]]</f>
        <v>Individual Project</v>
      </c>
      <c r="BD42" s="155"/>
      <c r="BF42" s="155" t="str">
        <f t="shared" si="14"/>
        <v/>
      </c>
      <c r="BG42" s="155" t="str">
        <f t="shared" si="15"/>
        <v/>
      </c>
      <c r="BH42" s="155" t="str">
        <f t="shared" si="16"/>
        <v/>
      </c>
      <c r="BI42" s="155" t="str">
        <f t="shared" si="17"/>
        <v/>
      </c>
      <c r="BJ42" s="155" t="str">
        <f t="shared" si="18"/>
        <v/>
      </c>
      <c r="BK42" s="155" t="str">
        <f t="shared" si="19"/>
        <v/>
      </c>
      <c r="BL42" s="155" t="str">
        <f t="shared" si="20"/>
        <v/>
      </c>
      <c r="BM42" s="155" t="str">
        <f t="shared" si="21"/>
        <v/>
      </c>
      <c r="BN42" s="155" t="str">
        <f t="shared" si="22"/>
        <v/>
      </c>
      <c r="BO42" s="155" t="str">
        <f t="shared" si="23"/>
        <v/>
      </c>
      <c r="BP42" s="155">
        <f t="shared" si="24"/>
        <v>0</v>
      </c>
      <c r="BR42" s="206" t="s">
        <v>262</v>
      </c>
      <c r="BS42" s="155">
        <f t="shared" si="27"/>
        <v>21.120153130638144</v>
      </c>
      <c r="BT42" s="155">
        <f t="shared" si="28"/>
        <v>40</v>
      </c>
    </row>
    <row r="43" spans="1:72">
      <c r="A43" s="155" t="s">
        <v>233</v>
      </c>
      <c r="B43" s="155" t="s">
        <v>1345</v>
      </c>
      <c r="C43" s="155" t="s">
        <v>208</v>
      </c>
      <c r="D43" s="155">
        <v>5</v>
      </c>
      <c r="E43" s="189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425.7</v>
      </c>
      <c r="M43" s="67">
        <v>1633.5</v>
      </c>
      <c r="N43" s="67">
        <v>1900.8</v>
      </c>
      <c r="O43" s="67">
        <v>0</v>
      </c>
      <c r="Q43" s="202" t="s">
        <v>233</v>
      </c>
      <c r="R43" s="202" t="s">
        <v>1345</v>
      </c>
      <c r="S43" s="202" t="s">
        <v>208</v>
      </c>
      <c r="T43" s="76">
        <f>SUM($E43:F44)</f>
        <v>120</v>
      </c>
      <c r="U43" s="76">
        <f>SUM($E43:G44)</f>
        <v>395</v>
      </c>
      <c r="V43" s="76">
        <f>SUM($E43:H44)</f>
        <v>1585</v>
      </c>
      <c r="W43" s="76">
        <f>SUM($E43:I44)</f>
        <v>7285</v>
      </c>
      <c r="X43" s="76">
        <f>SUM($E43:J44)</f>
        <v>13035</v>
      </c>
      <c r="Y43" s="76">
        <f>SUM($E43:K44)</f>
        <v>13535</v>
      </c>
      <c r="Z43" s="76">
        <f>SUM($E43:L44)</f>
        <v>13960.7</v>
      </c>
      <c r="AA43" s="76">
        <f>SUM($E43:M44)</f>
        <v>15594.2</v>
      </c>
      <c r="AB43" s="76">
        <f>SUM($E43:N44)</f>
        <v>17495</v>
      </c>
      <c r="AC43" s="76">
        <f>SUM($E43:O44)</f>
        <v>17495</v>
      </c>
      <c r="AE43" s="76">
        <f t="shared" si="4"/>
        <v>120</v>
      </c>
      <c r="AF43" s="76">
        <f t="shared" si="5"/>
        <v>403.29499999999996</v>
      </c>
      <c r="AG43" s="76">
        <f t="shared" si="6"/>
        <v>1652.2689849999995</v>
      </c>
      <c r="AH43" s="76">
        <f t="shared" si="7"/>
        <v>7753.660521384998</v>
      </c>
      <c r="AI43" s="76">
        <f t="shared" si="8"/>
        <v>14164.916013599828</v>
      </c>
      <c r="AJ43" s="76">
        <f t="shared" si="9"/>
        <v>15017.131043129973</v>
      </c>
      <c r="AK43" s="76">
        <f t="shared" si="10"/>
        <v>15814.725101016249</v>
      </c>
      <c r="AL43" s="76">
        <f t="shared" si="11"/>
        <v>18036.127406207652</v>
      </c>
      <c r="AM43" s="76">
        <f t="shared" si="12"/>
        <v>20659.503661618197</v>
      </c>
      <c r="AN43" s="76">
        <f t="shared" si="13"/>
        <v>21093.353238512173</v>
      </c>
      <c r="AP43" s="202" t="s">
        <v>233</v>
      </c>
      <c r="AQ43" s="202" t="s">
        <v>208</v>
      </c>
      <c r="AR43" s="155" cm="1">
        <f t="array" ref="AR43">_xlfn.IFS($AQ43=$AP$1,$AQ$1*AE43,$AQ43=$AP$2,$AQ$2*AE43,$AQ43=$AP$3,$AQ$3*AE43,$AQ43=$AP$4,$AQ$4*AE43)</f>
        <v>16.955118852632154</v>
      </c>
      <c r="AS43" s="155" cm="1">
        <f t="array" ref="AS43">_xlfn.IFS($AQ43=$AP$1,$AQ$1*AF43,$AQ43=$AP$2,$AQ$2*AF43,$AQ43=$AP$3,$AQ$3*AF43,$AQ43=$AP$4,$AQ$4*AF43)</f>
        <v>56.982622147269034</v>
      </c>
      <c r="AT43" s="155" cm="1">
        <f t="array" ref="AT43">_xlfn.IFS($AQ43=$AP$1,$AQ$1*AG43,$AQ43=$AP$2,$AQ$2*AG43,$AQ43=$AP$3,$AQ$3*AG43,$AQ43=$AP$4,$AQ$4*AG43)</f>
        <v>233.45347514327403</v>
      </c>
      <c r="AU43" s="155" cm="1">
        <f t="array" ref="AU43">_xlfn.IFS($AQ43=$AP$1,$AQ$1*AH43,$AQ43=$AP$2,$AQ$2*AH43,$AQ43=$AP$3,$AQ$3*AH43,$AQ43=$AP$4,$AQ$4*AH43)</f>
        <v>1095.5352973587037</v>
      </c>
      <c r="AV43" s="155" cm="1">
        <f t="array" ref="AV43">_xlfn.IFS($AQ43=$AP$1,$AQ$1*AI43,$AQ43=$AP$2,$AQ$2*AI43,$AQ43=$AP$3,$AQ$3*AI43,$AQ43=$AP$4,$AQ$4*AI43)</f>
        <v>2001.3986212344796</v>
      </c>
      <c r="AW43" s="155" cm="1">
        <f t="array" ref="AW43">_xlfn.IFS($AQ43=$AP$1,$AQ$1*AJ43,$AQ43=$AP$2,$AQ$2*AJ43,$AQ43=$AP$3,$AQ$3*AJ43,$AQ43=$AP$4,$AQ$4*AJ43)</f>
        <v>2121.8103471818381</v>
      </c>
      <c r="AX43" s="155" cm="1">
        <f t="array" ref="AX43">_xlfn.IFS($AQ43=$AP$1,$AQ$1*AK43,$AQ43=$AP$2,$AQ$2*AK43,$AQ43=$AP$3,$AQ$3*AK43,$AQ43=$AP$4,$AQ$4*AK43)</f>
        <v>2234.5045309119628</v>
      </c>
      <c r="AY43" s="155" cm="1">
        <f t="array" ref="AY43">_xlfn.IFS($AQ43=$AP$1,$AQ$1*AL43,$AQ43=$AP$2,$AQ$2*AL43,$AQ43=$AP$3,$AQ$3*AL43,$AQ43=$AP$4,$AQ$4*AL43)</f>
        <v>2548.3723651122236</v>
      </c>
      <c r="AZ43" s="155" cm="1">
        <f t="array" ref="AZ43">_xlfn.IFS($AQ43=$AP$1,$AQ$1*AM43,$AQ43=$AP$2,$AQ$2*AM43,$AQ43=$AP$3,$AQ$3*AM43,$AQ43=$AP$4,$AQ$4*AM43)</f>
        <v>2919.0361668260475</v>
      </c>
      <c r="BA43" s="155" cm="1">
        <f t="array" ref="BA43">_xlfn.IFS($AQ43=$AP$1,$AQ$1*AN43,$AQ43=$AP$2,$AQ$2*AN43,$AQ43=$AP$3,$AQ$3*AN43,$AQ43=$AP$4,$AQ$4*AN43)</f>
        <v>2980.3359263293937</v>
      </c>
      <c r="BB43" s="155">
        <f>Table2[[#This Row],[FINAL Project System Capacity (MW)]]</f>
        <v>5</v>
      </c>
      <c r="BC43" s="155" t="str">
        <f>Table2[[#This Row],[FN Parent  '#]]</f>
        <v>Individual Project</v>
      </c>
      <c r="BD43" s="155">
        <f>BB43+BB44</f>
        <v>45</v>
      </c>
      <c r="BE43" s="155">
        <f t="shared" si="26"/>
        <v>45</v>
      </c>
      <c r="BF43" s="155">
        <f t="shared" si="14"/>
        <v>0.37678041894738118</v>
      </c>
      <c r="BG43" s="155">
        <f t="shared" si="15"/>
        <v>1.266280492161534</v>
      </c>
      <c r="BH43" s="155">
        <f t="shared" si="16"/>
        <v>5.1878550031838673</v>
      </c>
      <c r="BI43" s="155">
        <f t="shared" si="17"/>
        <v>24.345228830193417</v>
      </c>
      <c r="BJ43" s="155">
        <f t="shared" si="18"/>
        <v>44.475524916321767</v>
      </c>
      <c r="BK43" s="155">
        <f t="shared" si="19"/>
        <v>47.151341048485293</v>
      </c>
      <c r="BL43" s="155">
        <f t="shared" si="20"/>
        <v>49.655656242488064</v>
      </c>
      <c r="BM43" s="155">
        <f t="shared" si="21"/>
        <v>56.630497002493861</v>
      </c>
      <c r="BN43" s="155">
        <f t="shared" si="22"/>
        <v>64.86747037391217</v>
      </c>
      <c r="BO43" s="155">
        <f t="shared" si="23"/>
        <v>66.229687251764304</v>
      </c>
      <c r="BP43" s="155">
        <f t="shared" si="24"/>
        <v>31.439070201788109</v>
      </c>
      <c r="BR43" s="206" t="s">
        <v>264</v>
      </c>
      <c r="BS43" s="155">
        <f t="shared" si="27"/>
        <v>80.719168924432395</v>
      </c>
      <c r="BT43" s="155">
        <f t="shared" si="28"/>
        <v>82</v>
      </c>
    </row>
    <row r="44" spans="1:72">
      <c r="A44" s="155" t="s">
        <v>233</v>
      </c>
      <c r="B44" s="155" t="s">
        <v>1345</v>
      </c>
      <c r="C44" s="155" t="s">
        <v>208</v>
      </c>
      <c r="D44" s="155">
        <v>40</v>
      </c>
      <c r="E44" s="189">
        <v>0</v>
      </c>
      <c r="F44" s="67">
        <v>120</v>
      </c>
      <c r="G44" s="67">
        <v>275</v>
      </c>
      <c r="H44" s="67">
        <v>1190</v>
      </c>
      <c r="I44" s="67">
        <v>5700</v>
      </c>
      <c r="J44" s="67">
        <v>5750</v>
      </c>
      <c r="K44" s="67">
        <v>500</v>
      </c>
      <c r="L44" s="67">
        <v>0</v>
      </c>
      <c r="M44" s="67">
        <v>0</v>
      </c>
      <c r="N44" s="67">
        <v>0</v>
      </c>
      <c r="O44" s="67">
        <v>0</v>
      </c>
      <c r="Q44" s="201" t="s">
        <v>233</v>
      </c>
      <c r="R44" s="201" t="s">
        <v>1345</v>
      </c>
      <c r="S44" s="201" t="s">
        <v>208</v>
      </c>
      <c r="U44" s="155"/>
      <c r="V44" s="155"/>
      <c r="W44" s="155"/>
      <c r="X44" s="155"/>
      <c r="Y44" s="155"/>
      <c r="Z44" s="155"/>
      <c r="AA44" s="155"/>
      <c r="AB44" s="155"/>
      <c r="AC44" s="155"/>
      <c r="AE44" s="76">
        <f t="shared" si="4"/>
        <v>0</v>
      </c>
      <c r="AF44" s="76">
        <f t="shared" si="5"/>
        <v>0</v>
      </c>
      <c r="AG44" s="76">
        <f t="shared" si="6"/>
        <v>0</v>
      </c>
      <c r="AH44" s="76">
        <f t="shared" si="7"/>
        <v>0</v>
      </c>
      <c r="AI44" s="76">
        <f t="shared" si="8"/>
        <v>0</v>
      </c>
      <c r="AJ44" s="76">
        <f t="shared" si="9"/>
        <v>0</v>
      </c>
      <c r="AK44" s="76">
        <f t="shared" si="10"/>
        <v>0</v>
      </c>
      <c r="AL44" s="76">
        <f t="shared" si="11"/>
        <v>0</v>
      </c>
      <c r="AM44" s="76">
        <f t="shared" si="12"/>
        <v>0</v>
      </c>
      <c r="AN44" s="76">
        <f t="shared" si="13"/>
        <v>0</v>
      </c>
      <c r="AP44" s="201" t="s">
        <v>233</v>
      </c>
      <c r="AQ44" s="201" t="s">
        <v>208</v>
      </c>
      <c r="AR44" s="155" cm="1">
        <f t="array" ref="AR44">_xlfn.IFS($AQ44=$AP$1,$AQ$1*AE44,$AQ44=$AP$2,$AQ$2*AE44,$AQ44=$AP$3,$AQ$3*AE44,$AQ44=$AP$4,$AQ$4*AE44)</f>
        <v>0</v>
      </c>
      <c r="AS44" s="155" cm="1">
        <f t="array" ref="AS44">_xlfn.IFS($AQ44=$AP$1,$AQ$1*AF44,$AQ44=$AP$2,$AQ$2*AF44,$AQ44=$AP$3,$AQ$3*AF44,$AQ44=$AP$4,$AQ$4*AF44)</f>
        <v>0</v>
      </c>
      <c r="AT44" s="155" cm="1">
        <f t="array" ref="AT44">_xlfn.IFS($AQ44=$AP$1,$AQ$1*AG44,$AQ44=$AP$2,$AQ$2*AG44,$AQ44=$AP$3,$AQ$3*AG44,$AQ44=$AP$4,$AQ$4*AG44)</f>
        <v>0</v>
      </c>
      <c r="AU44" s="155" cm="1">
        <f t="array" ref="AU44">_xlfn.IFS($AQ44=$AP$1,$AQ$1*AH44,$AQ44=$AP$2,$AQ$2*AH44,$AQ44=$AP$3,$AQ$3*AH44,$AQ44=$AP$4,$AQ$4*AH44)</f>
        <v>0</v>
      </c>
      <c r="AV44" s="155" cm="1">
        <f t="array" ref="AV44">_xlfn.IFS($AQ44=$AP$1,$AQ$1*AI44,$AQ44=$AP$2,$AQ$2*AI44,$AQ44=$AP$3,$AQ$3*AI44,$AQ44=$AP$4,$AQ$4*AI44)</f>
        <v>0</v>
      </c>
      <c r="AW44" s="155" cm="1">
        <f t="array" ref="AW44">_xlfn.IFS($AQ44=$AP$1,$AQ$1*AJ44,$AQ44=$AP$2,$AQ$2*AJ44,$AQ44=$AP$3,$AQ$3*AJ44,$AQ44=$AP$4,$AQ$4*AJ44)</f>
        <v>0</v>
      </c>
      <c r="AX44" s="155" cm="1">
        <f t="array" ref="AX44">_xlfn.IFS($AQ44=$AP$1,$AQ$1*AK44,$AQ44=$AP$2,$AQ$2*AK44,$AQ44=$AP$3,$AQ$3*AK44,$AQ44=$AP$4,$AQ$4*AK44)</f>
        <v>0</v>
      </c>
      <c r="AY44" s="155" cm="1">
        <f t="array" ref="AY44">_xlfn.IFS($AQ44=$AP$1,$AQ$1*AL44,$AQ44=$AP$2,$AQ$2*AL44,$AQ44=$AP$3,$AQ$3*AL44,$AQ44=$AP$4,$AQ$4*AL44)</f>
        <v>0</v>
      </c>
      <c r="AZ44" s="155" cm="1">
        <f t="array" ref="AZ44">_xlfn.IFS($AQ44=$AP$1,$AQ$1*AM44,$AQ44=$AP$2,$AQ$2*AM44,$AQ44=$AP$3,$AQ$3*AM44,$AQ44=$AP$4,$AQ$4*AM44)</f>
        <v>0</v>
      </c>
      <c r="BA44" s="155" cm="1">
        <f t="array" ref="BA44">_xlfn.IFS($AQ44=$AP$1,$AQ$1*AN44,$AQ44=$AP$2,$AQ$2*AN44,$AQ44=$AP$3,$AQ$3*AN44,$AQ44=$AP$4,$AQ$4*AN44)</f>
        <v>0</v>
      </c>
      <c r="BB44" s="155">
        <f>Table2[[#This Row],[FINAL Project System Capacity (MW)]]</f>
        <v>40</v>
      </c>
      <c r="BC44" s="155" t="str">
        <f>Table2[[#This Row],[FN Parent  '#]]</f>
        <v>Individual Project</v>
      </c>
      <c r="BD44" s="155"/>
      <c r="BF44" s="155" t="str">
        <f t="shared" si="14"/>
        <v/>
      </c>
      <c r="BG44" s="155" t="str">
        <f t="shared" si="15"/>
        <v/>
      </c>
      <c r="BH44" s="155" t="str">
        <f t="shared" si="16"/>
        <v/>
      </c>
      <c r="BI44" s="155" t="str">
        <f t="shared" si="17"/>
        <v/>
      </c>
      <c r="BJ44" s="155" t="str">
        <f t="shared" si="18"/>
        <v/>
      </c>
      <c r="BK44" s="155" t="str">
        <f t="shared" si="19"/>
        <v/>
      </c>
      <c r="BL44" s="155" t="str">
        <f t="shared" si="20"/>
        <v/>
      </c>
      <c r="BM44" s="155" t="str">
        <f t="shared" si="21"/>
        <v/>
      </c>
      <c r="BN44" s="155" t="str">
        <f t="shared" si="22"/>
        <v/>
      </c>
      <c r="BO44" s="155" t="str">
        <f t="shared" si="23"/>
        <v/>
      </c>
      <c r="BP44" s="155">
        <f t="shared" si="24"/>
        <v>0</v>
      </c>
      <c r="BR44" s="206" t="s">
        <v>265</v>
      </c>
      <c r="BS44" s="155">
        <f t="shared" si="27"/>
        <v>26.789296146516804</v>
      </c>
      <c r="BT44" s="155">
        <f t="shared" si="28"/>
        <v>2.4820000000000002</v>
      </c>
    </row>
    <row r="45" spans="1:72">
      <c r="A45" s="155" t="s">
        <v>233</v>
      </c>
      <c r="B45" s="155" t="s">
        <v>1345</v>
      </c>
      <c r="C45" s="155" t="s">
        <v>207</v>
      </c>
      <c r="D45" s="155">
        <v>40</v>
      </c>
      <c r="E45" s="189">
        <v>0</v>
      </c>
      <c r="F45" s="67">
        <v>2300</v>
      </c>
      <c r="G45" s="67">
        <v>850</v>
      </c>
      <c r="H45" s="67">
        <v>5100</v>
      </c>
      <c r="I45" s="67">
        <v>7670</v>
      </c>
      <c r="J45" s="67">
        <v>5850</v>
      </c>
      <c r="K45" s="67">
        <v>1000</v>
      </c>
      <c r="L45" s="67">
        <v>0</v>
      </c>
      <c r="M45" s="67">
        <v>0</v>
      </c>
      <c r="N45" s="67">
        <v>0</v>
      </c>
      <c r="O45" s="67">
        <v>0</v>
      </c>
      <c r="Q45" s="202" t="s">
        <v>233</v>
      </c>
      <c r="R45" s="202" t="s">
        <v>1345</v>
      </c>
      <c r="S45" s="202" t="s">
        <v>207</v>
      </c>
      <c r="T45" s="76">
        <f>SUM($E45:F45)</f>
        <v>2300</v>
      </c>
      <c r="U45" s="76">
        <f>SUM($E45:G45)</f>
        <v>3150</v>
      </c>
      <c r="V45" s="76">
        <f>SUM($E45:H45)</f>
        <v>8250</v>
      </c>
      <c r="W45" s="76">
        <f>SUM($E45:I45)</f>
        <v>15920</v>
      </c>
      <c r="X45" s="76">
        <f>SUM($E45:J45)</f>
        <v>21770</v>
      </c>
      <c r="Y45" s="76">
        <f>SUM($E45:K45)</f>
        <v>22770</v>
      </c>
      <c r="Z45" s="76">
        <f>SUM($E45:L45)</f>
        <v>22770</v>
      </c>
      <c r="AA45" s="76">
        <f>SUM($E45:M45)</f>
        <v>22770</v>
      </c>
      <c r="AB45" s="76">
        <f>SUM($E45:N45)</f>
        <v>22770</v>
      </c>
      <c r="AC45" s="76">
        <f>SUM($E45:O45)</f>
        <v>22770</v>
      </c>
      <c r="AE45" s="76">
        <f t="shared" si="4"/>
        <v>2300</v>
      </c>
      <c r="AF45" s="76">
        <f t="shared" si="5"/>
        <v>3216.1499999999996</v>
      </c>
      <c r="AG45" s="76">
        <f t="shared" si="6"/>
        <v>8600.1382499999982</v>
      </c>
      <c r="AH45" s="76">
        <f t="shared" si="7"/>
        <v>16944.169595119994</v>
      </c>
      <c r="AI45" s="76">
        <f t="shared" si="8"/>
        <v>23657.09410173136</v>
      </c>
      <c r="AJ45" s="76">
        <f t="shared" si="9"/>
        <v>25263.396664356813</v>
      </c>
      <c r="AK45" s="76">
        <f t="shared" si="10"/>
        <v>25793.927994308306</v>
      </c>
      <c r="AL45" s="76">
        <f t="shared" si="11"/>
        <v>26335.600482188776</v>
      </c>
      <c r="AM45" s="76">
        <f t="shared" si="12"/>
        <v>26888.648092314736</v>
      </c>
      <c r="AN45" s="76">
        <f t="shared" si="13"/>
        <v>27453.30970225334</v>
      </c>
      <c r="AP45" s="202" t="s">
        <v>233</v>
      </c>
      <c r="AQ45" s="202" t="s">
        <v>207</v>
      </c>
      <c r="AR45" s="155" cm="1">
        <f t="array" ref="AR45">_xlfn.IFS($AQ45=$AP$1,$AQ$1*AE45,$AQ45=$AP$2,$AQ$2*AE45,$AQ45=$AP$3,$AQ$3*AE45,$AQ45=$AP$4,$AQ$4*AE45)</f>
        <v>185.36180210646975</v>
      </c>
      <c r="AS45" s="155" cm="1">
        <f t="array" ref="AS45">_xlfn.IFS($AQ45=$AP$1,$AQ$1*AF45,$AQ45=$AP$2,$AQ$2*AF45,$AQ45=$AP$3,$AQ$3*AF45,$AQ45=$AP$4,$AQ$4*AF45)</f>
        <v>259.19624341074893</v>
      </c>
      <c r="AT45" s="155" cm="1">
        <f t="array" ref="AT45">_xlfn.IFS($AQ45=$AP$1,$AQ$1*AG45,$AQ45=$AP$2,$AQ$2*AG45,$AQ45=$AP$3,$AQ$3*AG45,$AQ45=$AP$4,$AQ$4*AG45)</f>
        <v>693.10309755860033</v>
      </c>
      <c r="AU45" s="155" cm="1">
        <f t="array" ref="AU45">_xlfn.IFS($AQ45=$AP$1,$AQ$1*AH45,$AQ45=$AP$2,$AQ$2*AH45,$AQ45=$AP$3,$AQ$3*AH45,$AQ45=$AP$4,$AQ$4*AH45)</f>
        <v>1365.5660049343887</v>
      </c>
      <c r="AV45" s="155" cm="1">
        <f t="array" ref="AV45">_xlfn.IFS($AQ45=$AP$1,$AQ$1*AI45,$AQ45=$AP$2,$AQ$2*AI45,$AQ45=$AP$3,$AQ$3*AI45,$AQ45=$AP$4,$AQ$4*AI45)</f>
        <v>1906.5746066518525</v>
      </c>
      <c r="AW45" s="155" cm="1">
        <f t="array" ref="AW45">_xlfn.IFS($AQ45=$AP$1,$AQ$1*AJ45,$AQ45=$AP$2,$AQ$2*AJ45,$AQ45=$AP$3,$AQ$3*AJ45,$AQ45=$AP$4,$AQ$4*AJ45)</f>
        <v>2036.0298839285892</v>
      </c>
      <c r="AX45" s="155" cm="1">
        <f t="array" ref="AX45">_xlfn.IFS($AQ45=$AP$1,$AQ$1*AK45,$AQ45=$AP$2,$AQ$2*AK45,$AQ45=$AP$3,$AQ$3*AK45,$AQ45=$AP$4,$AQ$4*AK45)</f>
        <v>2078.7865114910896</v>
      </c>
      <c r="AY45" s="155" cm="1">
        <f t="array" ref="AY45">_xlfn.IFS($AQ45=$AP$1,$AQ$1*AL45,$AQ45=$AP$2,$AQ$2*AL45,$AQ45=$AP$3,$AQ$3*AL45,$AQ45=$AP$4,$AQ$4*AL45)</f>
        <v>2122.441028232402</v>
      </c>
      <c r="AZ45" s="155" cm="1">
        <f t="array" ref="AZ45">_xlfn.IFS($AQ45=$AP$1,$AQ$1*AM45,$AQ45=$AP$2,$AQ$2*AM45,$AQ45=$AP$3,$AQ$3*AM45,$AQ45=$AP$4,$AQ$4*AM45)</f>
        <v>2167.0122898252821</v>
      </c>
      <c r="BA45" s="155" cm="1">
        <f t="array" ref="BA45">_xlfn.IFS($AQ45=$AP$1,$AQ$1*AN45,$AQ45=$AP$2,$AQ$2*AN45,$AQ45=$AP$3,$AQ$3*AN45,$AQ45=$AP$4,$AQ$4*AN45)</f>
        <v>2212.5195479116128</v>
      </c>
      <c r="BB45" s="155">
        <f>Table2[[#This Row],[FINAL Project System Capacity (MW)]]</f>
        <v>40</v>
      </c>
      <c r="BC45" s="155" t="str">
        <f>Table2[[#This Row],[FN Parent  '#]]</f>
        <v>Individual Project</v>
      </c>
      <c r="BD45" s="155">
        <f t="shared" si="25"/>
        <v>40</v>
      </c>
      <c r="BE45" s="155">
        <f t="shared" si="26"/>
        <v>40</v>
      </c>
      <c r="BF45" s="155">
        <f t="shared" si="14"/>
        <v>4.6340450526617438</v>
      </c>
      <c r="BG45" s="155">
        <f t="shared" si="15"/>
        <v>6.4799060852687234</v>
      </c>
      <c r="BH45" s="155">
        <f t="shared" si="16"/>
        <v>17.327577438965008</v>
      </c>
      <c r="BI45" s="155">
        <f t="shared" si="17"/>
        <v>34.13915012335972</v>
      </c>
      <c r="BJ45" s="155">
        <f t="shared" si="18"/>
        <v>47.664365166296314</v>
      </c>
      <c r="BK45" s="155">
        <f t="shared" si="19"/>
        <v>50.90074709821473</v>
      </c>
      <c r="BL45" s="155">
        <f t="shared" si="20"/>
        <v>51.969662787277244</v>
      </c>
      <c r="BM45" s="155">
        <f t="shared" si="21"/>
        <v>53.061025705810053</v>
      </c>
      <c r="BN45" s="155">
        <f t="shared" si="22"/>
        <v>54.175307245632055</v>
      </c>
      <c r="BO45" s="155">
        <f t="shared" si="23"/>
        <v>55.312988697790317</v>
      </c>
      <c r="BP45" s="155">
        <f t="shared" si="24"/>
        <v>34.080601044227564</v>
      </c>
      <c r="BR45" s="206" t="s">
        <v>267</v>
      </c>
      <c r="BS45" s="155">
        <f t="shared" si="27"/>
        <v>420.29742529903751</v>
      </c>
      <c r="BT45" s="155">
        <f t="shared" si="28"/>
        <v>7.2</v>
      </c>
    </row>
    <row r="46" spans="1:72">
      <c r="A46" s="155" t="s">
        <v>229</v>
      </c>
      <c r="B46" s="155" t="s">
        <v>1328</v>
      </c>
      <c r="C46" s="155" t="s">
        <v>208</v>
      </c>
      <c r="D46" s="155">
        <v>40</v>
      </c>
      <c r="E46" s="189">
        <v>0</v>
      </c>
      <c r="F46" s="67">
        <v>0</v>
      </c>
      <c r="G46" s="67">
        <v>180</v>
      </c>
      <c r="H46" s="67">
        <v>360</v>
      </c>
      <c r="I46" s="67">
        <v>720</v>
      </c>
      <c r="J46" s="67">
        <v>2562</v>
      </c>
      <c r="K46" s="67">
        <v>3946</v>
      </c>
      <c r="L46" s="67">
        <v>3946</v>
      </c>
      <c r="M46" s="67">
        <v>2535</v>
      </c>
      <c r="N46" s="67">
        <v>0</v>
      </c>
      <c r="O46" s="67">
        <v>0</v>
      </c>
      <c r="Q46" s="201" t="s">
        <v>229</v>
      </c>
      <c r="R46" s="201" t="s">
        <v>1328</v>
      </c>
      <c r="S46" s="201" t="s">
        <v>208</v>
      </c>
      <c r="T46" s="76">
        <f>SUM($E46:F46)</f>
        <v>0</v>
      </c>
      <c r="U46" s="76">
        <f>SUM($E46:G46)</f>
        <v>180</v>
      </c>
      <c r="V46" s="76">
        <f>SUM($E46:H46)</f>
        <v>540</v>
      </c>
      <c r="W46" s="76">
        <f>SUM($E46:I46)</f>
        <v>1260</v>
      </c>
      <c r="X46" s="76">
        <f>SUM($E46:J46)</f>
        <v>3822</v>
      </c>
      <c r="Y46" s="76">
        <f>SUM($E46:K46)</f>
        <v>7768</v>
      </c>
      <c r="Z46" s="76">
        <f>SUM($E46:L46)</f>
        <v>11714</v>
      </c>
      <c r="AA46" s="76">
        <f>SUM($E46:M46)</f>
        <v>14249</v>
      </c>
      <c r="AB46" s="76">
        <f>SUM($E46:N46)</f>
        <v>14249</v>
      </c>
      <c r="AC46" s="76">
        <f>SUM($E46:O46)</f>
        <v>14249</v>
      </c>
      <c r="AE46" s="76">
        <f t="shared" si="4"/>
        <v>0</v>
      </c>
      <c r="AF46" s="76">
        <f t="shared" si="5"/>
        <v>183.77999999999997</v>
      </c>
      <c r="AG46" s="76">
        <f t="shared" si="6"/>
        <v>562.91813999999988</v>
      </c>
      <c r="AH46" s="76">
        <f t="shared" si="7"/>
        <v>1341.0586488599995</v>
      </c>
      <c r="AI46" s="76">
        <f t="shared" si="8"/>
        <v>4153.30333747438</v>
      </c>
      <c r="AJ46" s="76">
        <f t="shared" si="9"/>
        <v>8618.6238598473319</v>
      </c>
      <c r="AK46" s="76">
        <f t="shared" si="10"/>
        <v>13269.656237388121</v>
      </c>
      <c r="AL46" s="76">
        <f t="shared" si="11"/>
        <v>16480.279809868593</v>
      </c>
      <c r="AM46" s="76">
        <f t="shared" si="12"/>
        <v>16826.36568587583</v>
      </c>
      <c r="AN46" s="76">
        <f t="shared" si="13"/>
        <v>17179.719365279219</v>
      </c>
      <c r="AP46" s="201" t="s">
        <v>229</v>
      </c>
      <c r="AQ46" s="201" t="s">
        <v>208</v>
      </c>
      <c r="AR46" s="155" cm="1">
        <f t="array" ref="AR46">_xlfn.IFS($AQ46=$AP$1,$AQ$1*AE46,$AQ46=$AP$2,$AQ$2*AE46,$AQ46=$AP$3,$AQ$3*AE46,$AQ46=$AP$4,$AQ$4*AE46)</f>
        <v>0</v>
      </c>
      <c r="AS46" s="155" cm="1">
        <f t="array" ref="AS46">_xlfn.IFS($AQ46=$AP$1,$AQ$1*AF46,$AQ46=$AP$2,$AQ$2*AF46,$AQ46=$AP$3,$AQ$3*AF46,$AQ46=$AP$4,$AQ$4*AF46)</f>
        <v>25.966764522806141</v>
      </c>
      <c r="AT46" s="155" cm="1">
        <f t="array" ref="AT46">_xlfn.IFS($AQ46=$AP$1,$AQ$1*AG46,$AQ46=$AP$2,$AQ$2*AG46,$AQ46=$AP$3,$AQ$3*AG46,$AQ46=$AP$4,$AQ$4*AG46)</f>
        <v>79.536199733355204</v>
      </c>
      <c r="AU46" s="155" cm="1">
        <f t="array" ref="AU46">_xlfn.IFS($AQ46=$AP$1,$AQ$1*AH46,$AQ46=$AP$2,$AQ$2*AH46,$AQ46=$AP$3,$AQ$3*AH46,$AQ46=$AP$4,$AQ$4*AH46)</f>
        <v>189.48173983142985</v>
      </c>
      <c r="AV46" s="155" cm="1">
        <f t="array" ref="AV46">_xlfn.IFS($AQ46=$AP$1,$AQ$1*AI46,$AQ46=$AP$2,$AQ$2*AI46,$AQ46=$AP$3,$AQ$3*AI46,$AQ46=$AP$4,$AQ$4*AI46)</f>
        <v>586.83126431593257</v>
      </c>
      <c r="AW46" s="155" cm="1">
        <f t="array" ref="AW46">_xlfn.IFS($AQ46=$AP$1,$AQ$1*AJ46,$AQ46=$AP$2,$AQ$2*AJ46,$AQ46=$AP$3,$AQ$3*AJ46,$AQ46=$AP$4,$AQ$4*AJ46)</f>
        <v>1217.7482657486901</v>
      </c>
      <c r="AX46" s="155" cm="1">
        <f t="array" ref="AX46">_xlfn.IFS($AQ46=$AP$1,$AQ$1*AK46,$AQ46=$AP$2,$AQ$2*AK46,$AQ46=$AP$3,$AQ$3*AK46,$AQ46=$AP$4,$AQ$4*AK46)</f>
        <v>1874.9049886540597</v>
      </c>
      <c r="AY46" s="155" cm="1">
        <f t="array" ref="AY46">_xlfn.IFS($AQ46=$AP$1,$AQ$1*AL46,$AQ46=$AP$2,$AQ$2*AL46,$AQ46=$AP$3,$AQ$3*AL46,$AQ46=$AP$4,$AQ$4*AL46)</f>
        <v>2328.5425241746334</v>
      </c>
      <c r="AZ46" s="155" cm="1">
        <f t="array" ref="AZ46">_xlfn.IFS($AQ46=$AP$1,$AQ$1*AM46,$AQ46=$AP$2,$AQ$2*AM46,$AQ46=$AP$3,$AQ$3*AM46,$AQ46=$AP$4,$AQ$4*AM46)</f>
        <v>2377.4419171823001</v>
      </c>
      <c r="BA46" s="155" cm="1">
        <f t="array" ref="BA46">_xlfn.IFS($AQ46=$AP$1,$AQ$1*AN46,$AQ46=$AP$2,$AQ$2*AN46,$AQ46=$AP$3,$AQ$3*AN46,$AQ46=$AP$4,$AQ$4*AN46)</f>
        <v>2427.3681974431283</v>
      </c>
      <c r="BB46" s="155">
        <f>Table2[[#This Row],[FINAL Project System Capacity (MW)]]</f>
        <v>40</v>
      </c>
      <c r="BC46" s="155" t="str">
        <f>Table2[[#This Row],[FN Parent  '#]]</f>
        <v>FN014323</v>
      </c>
      <c r="BD46" s="155">
        <f t="shared" si="25"/>
        <v>40</v>
      </c>
      <c r="BE46" s="155">
        <f t="shared" si="26"/>
        <v>40</v>
      </c>
      <c r="BF46" s="155">
        <f t="shared" si="14"/>
        <v>0</v>
      </c>
      <c r="BG46" s="155">
        <f t="shared" si="15"/>
        <v>0.64916911307015357</v>
      </c>
      <c r="BH46" s="155">
        <f t="shared" si="16"/>
        <v>1.9884049933338801</v>
      </c>
      <c r="BI46" s="155">
        <f t="shared" si="17"/>
        <v>4.7370434957857466</v>
      </c>
      <c r="BJ46" s="155">
        <f t="shared" si="18"/>
        <v>14.670781607898315</v>
      </c>
      <c r="BK46" s="155">
        <f t="shared" si="19"/>
        <v>30.443706643717253</v>
      </c>
      <c r="BL46" s="155">
        <f t="shared" si="20"/>
        <v>46.872624716351496</v>
      </c>
      <c r="BM46" s="155">
        <f t="shared" si="21"/>
        <v>58.213563104365832</v>
      </c>
      <c r="BN46" s="155">
        <f t="shared" si="22"/>
        <v>59.436047929557503</v>
      </c>
      <c r="BO46" s="155">
        <f t="shared" si="23"/>
        <v>60.68420493607821</v>
      </c>
      <c r="BP46" s="155">
        <f t="shared" si="24"/>
        <v>23.259258208634346</v>
      </c>
      <c r="BR46" s="206" t="s">
        <v>268</v>
      </c>
      <c r="BS46" s="155">
        <f t="shared" si="27"/>
        <v>450.51098851140762</v>
      </c>
      <c r="BT46" s="155">
        <f t="shared" si="28"/>
        <v>2</v>
      </c>
    </row>
    <row r="47" spans="1:72">
      <c r="A47" s="155" t="s">
        <v>229</v>
      </c>
      <c r="B47" s="155" t="s">
        <v>1328</v>
      </c>
      <c r="C47" s="155" t="s">
        <v>207</v>
      </c>
      <c r="D47" s="155">
        <v>40</v>
      </c>
      <c r="E47" s="189">
        <v>0</v>
      </c>
      <c r="F47" s="67">
        <v>0</v>
      </c>
      <c r="G47" s="67">
        <v>0</v>
      </c>
      <c r="H47" s="67">
        <v>0</v>
      </c>
      <c r="I47" s="67">
        <v>4</v>
      </c>
      <c r="J47" s="67">
        <v>12</v>
      </c>
      <c r="K47" s="67">
        <v>52</v>
      </c>
      <c r="L47" s="67">
        <v>60</v>
      </c>
      <c r="M47" s="67">
        <v>250</v>
      </c>
      <c r="N47" s="67">
        <v>0</v>
      </c>
      <c r="O47" s="67">
        <v>0</v>
      </c>
      <c r="Q47" s="202" t="s">
        <v>229</v>
      </c>
      <c r="R47" s="202" t="s">
        <v>1328</v>
      </c>
      <c r="S47" s="202" t="s">
        <v>207</v>
      </c>
      <c r="T47" s="76">
        <f>SUM($E47:F50)</f>
        <v>0</v>
      </c>
      <c r="U47" s="76">
        <f>SUM($E47:G50)</f>
        <v>1080</v>
      </c>
      <c r="V47" s="76">
        <f>SUM($E47:H50)</f>
        <v>2520</v>
      </c>
      <c r="W47" s="76">
        <f>SUM($E47:I50)</f>
        <v>3968</v>
      </c>
      <c r="X47" s="76">
        <f>SUM($E47:J50)</f>
        <v>11659</v>
      </c>
      <c r="Y47" s="76">
        <f>SUM($E47:K50)</f>
        <v>21487</v>
      </c>
      <c r="Z47" s="76">
        <f>SUM($E47:L50)</f>
        <v>31083</v>
      </c>
      <c r="AA47" s="76">
        <f>SUM($E47:M50)</f>
        <v>37009</v>
      </c>
      <c r="AB47" s="76">
        <f>SUM($E47:N50)</f>
        <v>37009</v>
      </c>
      <c r="AC47" s="76">
        <f>SUM($E47:O50)</f>
        <v>37009</v>
      </c>
      <c r="AE47" s="76">
        <f t="shared" si="4"/>
        <v>0</v>
      </c>
      <c r="AF47" s="76">
        <f t="shared" si="5"/>
        <v>1102.6799999999998</v>
      </c>
      <c r="AG47" s="76">
        <f t="shared" si="6"/>
        <v>2626.9513199999992</v>
      </c>
      <c r="AH47" s="76">
        <f t="shared" si="7"/>
        <v>4223.270411647999</v>
      </c>
      <c r="AI47" s="76">
        <f t="shared" si="8"/>
        <v>12669.639877449972</v>
      </c>
      <c r="AJ47" s="76">
        <f t="shared" si="9"/>
        <v>23839.903562891297</v>
      </c>
      <c r="AK47" s="76">
        <f t="shared" si="10"/>
        <v>35210.92067839636</v>
      </c>
      <c r="AL47" s="76">
        <f t="shared" si="11"/>
        <v>42804.314371775341</v>
      </c>
      <c r="AM47" s="76">
        <f t="shared" si="12"/>
        <v>43703.204973582615</v>
      </c>
      <c r="AN47" s="76">
        <f t="shared" si="13"/>
        <v>44620.972278027839</v>
      </c>
      <c r="AP47" s="202" t="s">
        <v>229</v>
      </c>
      <c r="AQ47" s="202" t="s">
        <v>207</v>
      </c>
      <c r="AR47" s="155" cm="1">
        <f t="array" ref="AR47">_xlfn.IFS($AQ47=$AP$1,$AQ$1*AE47,$AQ47=$AP$2,$AQ$2*AE47,$AQ47=$AP$3,$AQ$3*AE47,$AQ47=$AP$4,$AQ$4*AE47)</f>
        <v>0</v>
      </c>
      <c r="AS47" s="155" cm="1">
        <f t="array" ref="AS47">_xlfn.IFS($AQ47=$AP$1,$AQ$1*AF47,$AQ47=$AP$2,$AQ$2*AF47,$AQ47=$AP$3,$AQ$3*AF47,$AQ47=$AP$4,$AQ$4*AF47)</f>
        <v>88.86728345511392</v>
      </c>
      <c r="AT47" s="155" cm="1">
        <f t="array" ref="AT47">_xlfn.IFS($AQ47=$AP$1,$AQ$1*AG47,$AQ47=$AP$2,$AQ$2*AG47,$AQ47=$AP$3,$AQ$3*AG47,$AQ47=$AP$4,$AQ$4*AG47)</f>
        <v>211.7114916178997</v>
      </c>
      <c r="AU47" s="155" cm="1">
        <f t="array" ref="AU47">_xlfn.IFS($AQ47=$AP$1,$AQ$1*AH47,$AQ47=$AP$2,$AQ$2*AH47,$AQ47=$AP$3,$AQ$3*AH47,$AQ47=$AP$4,$AQ$4*AH47)</f>
        <v>340.36218012435017</v>
      </c>
      <c r="AV47" s="155" cm="1">
        <f t="array" ref="AV47">_xlfn.IFS($AQ47=$AP$1,$AQ$1*AI47,$AQ47=$AP$2,$AQ$2*AI47,$AQ47=$AP$3,$AQ$3*AI47,$AQ47=$AP$4,$AQ$4*AI47)</f>
        <v>1021.0727303148344</v>
      </c>
      <c r="AW47" s="155" cm="1">
        <f t="array" ref="AW47">_xlfn.IFS($AQ47=$AP$1,$AQ$1*AJ47,$AQ47=$AP$2,$AQ$2*AJ47,$AQ47=$AP$3,$AQ$3*AJ47,$AQ47=$AP$4,$AQ$4*AJ47)</f>
        <v>1921.3076028095563</v>
      </c>
      <c r="AX47" s="155" cm="1">
        <f t="array" ref="AX47">_xlfn.IFS($AQ47=$AP$1,$AQ$1*AK47,$AQ47=$AP$2,$AQ$2*AK47,$AQ47=$AP$3,$AQ$3*AK47,$AQ47=$AP$4,$AQ$4*AK47)</f>
        <v>2837.7216133806564</v>
      </c>
      <c r="AY47" s="155" cm="1">
        <f t="array" ref="AY47">_xlfn.IFS($AQ47=$AP$1,$AQ$1*AL47,$AQ47=$AP$2,$AQ$2*AL47,$AQ47=$AP$3,$AQ$3*AL47,$AQ47=$AP$4,$AQ$4*AL47)</f>
        <v>3449.6890651670174</v>
      </c>
      <c r="AZ47" s="155" cm="1">
        <f t="array" ref="AZ47">_xlfn.IFS($AQ47=$AP$1,$AQ$1*AM47,$AQ47=$AP$2,$AQ$2*AM47,$AQ47=$AP$3,$AQ$3*AM47,$AQ47=$AP$4,$AQ$4*AM47)</f>
        <v>3522.1325355355239</v>
      </c>
      <c r="BA47" s="155" cm="1">
        <f t="array" ref="BA47">_xlfn.IFS($AQ47=$AP$1,$AQ$1*AN47,$AQ47=$AP$2,$AQ$2*AN47,$AQ47=$AP$3,$AQ$3*AN47,$AQ47=$AP$4,$AQ$4*AN47)</f>
        <v>3596.097318781769</v>
      </c>
      <c r="BB47" s="155">
        <f>Table2[[#This Row],[FINAL Project System Capacity (MW)]]</f>
        <v>40</v>
      </c>
      <c r="BC47" s="155" t="str">
        <f>Table2[[#This Row],[FN Parent  '#]]</f>
        <v>FN014323</v>
      </c>
      <c r="BD47" s="155">
        <f t="shared" si="25"/>
        <v>40</v>
      </c>
      <c r="BF47" s="155">
        <f t="shared" si="14"/>
        <v>0</v>
      </c>
      <c r="BG47" s="155">
        <f t="shared" si="15"/>
        <v>2.2216820863778479</v>
      </c>
      <c r="BH47" s="155">
        <f t="shared" si="16"/>
        <v>5.2927872904474924</v>
      </c>
      <c r="BI47" s="155">
        <f t="shared" si="17"/>
        <v>8.5090545031087537</v>
      </c>
      <c r="BJ47" s="155">
        <f t="shared" si="18"/>
        <v>25.526818257870861</v>
      </c>
      <c r="BK47" s="155">
        <f t="shared" si="19"/>
        <v>48.032690070238907</v>
      </c>
      <c r="BL47" s="155">
        <f t="shared" si="20"/>
        <v>70.943040334516411</v>
      </c>
      <c r="BM47" s="155">
        <f t="shared" si="21"/>
        <v>86.242226629175434</v>
      </c>
      <c r="BN47" s="155">
        <f t="shared" si="22"/>
        <v>88.053313388388091</v>
      </c>
      <c r="BO47" s="155">
        <f t="shared" si="23"/>
        <v>89.902432969544222</v>
      </c>
      <c r="BP47" s="155">
        <f t="shared" si="24"/>
        <v>35.845106069729532</v>
      </c>
      <c r="BR47" s="206" t="s">
        <v>273</v>
      </c>
      <c r="BS47" s="155">
        <f t="shared" si="27"/>
        <v>13.089179503680214</v>
      </c>
      <c r="BT47" s="155">
        <f t="shared" si="28"/>
        <v>40</v>
      </c>
    </row>
    <row r="48" spans="1:72">
      <c r="A48" s="155" t="s">
        <v>229</v>
      </c>
      <c r="B48" s="155" t="s">
        <v>1328</v>
      </c>
      <c r="C48" s="155" t="s">
        <v>207</v>
      </c>
      <c r="D48" s="155">
        <v>40</v>
      </c>
      <c r="E48" s="189">
        <v>0</v>
      </c>
      <c r="F48" s="67">
        <v>0</v>
      </c>
      <c r="G48" s="67">
        <v>0</v>
      </c>
      <c r="H48" s="67">
        <v>0</v>
      </c>
      <c r="I48" s="67">
        <v>4</v>
      </c>
      <c r="J48" s="67">
        <v>12</v>
      </c>
      <c r="K48" s="67">
        <v>52</v>
      </c>
      <c r="L48" s="67">
        <v>60</v>
      </c>
      <c r="M48" s="67">
        <v>250</v>
      </c>
      <c r="N48" s="67">
        <v>0</v>
      </c>
      <c r="O48" s="67">
        <v>0</v>
      </c>
      <c r="Q48" s="201" t="s">
        <v>229</v>
      </c>
      <c r="R48" s="201" t="s">
        <v>1328</v>
      </c>
      <c r="S48" s="201" t="s">
        <v>207</v>
      </c>
      <c r="U48" s="155"/>
      <c r="V48" s="155"/>
      <c r="W48" s="155"/>
      <c r="X48" s="155"/>
      <c r="Y48" s="155"/>
      <c r="Z48" s="155"/>
      <c r="AA48" s="155"/>
      <c r="AB48" s="155"/>
      <c r="AC48" s="155"/>
      <c r="AE48" s="76">
        <f t="shared" si="4"/>
        <v>0</v>
      </c>
      <c r="AF48" s="76">
        <f t="shared" si="5"/>
        <v>0</v>
      </c>
      <c r="AG48" s="76">
        <f t="shared" si="6"/>
        <v>0</v>
      </c>
      <c r="AH48" s="76">
        <f t="shared" si="7"/>
        <v>0</v>
      </c>
      <c r="AI48" s="76">
        <f t="shared" si="8"/>
        <v>0</v>
      </c>
      <c r="AJ48" s="76">
        <f t="shared" si="9"/>
        <v>0</v>
      </c>
      <c r="AK48" s="76">
        <f t="shared" si="10"/>
        <v>0</v>
      </c>
      <c r="AL48" s="76">
        <f t="shared" si="11"/>
        <v>0</v>
      </c>
      <c r="AM48" s="76">
        <f t="shared" si="12"/>
        <v>0</v>
      </c>
      <c r="AN48" s="76">
        <f t="shared" si="13"/>
        <v>0</v>
      </c>
      <c r="AP48" s="201" t="s">
        <v>229</v>
      </c>
      <c r="AQ48" s="201" t="s">
        <v>207</v>
      </c>
      <c r="AR48" s="155" cm="1">
        <f t="array" ref="AR48">_xlfn.IFS($AQ48=$AP$1,$AQ$1*AE48,$AQ48=$AP$2,$AQ$2*AE48,$AQ48=$AP$3,$AQ$3*AE48,$AQ48=$AP$4,$AQ$4*AE48)</f>
        <v>0</v>
      </c>
      <c r="AS48" s="155" cm="1">
        <f t="array" ref="AS48">_xlfn.IFS($AQ48=$AP$1,$AQ$1*AF48,$AQ48=$AP$2,$AQ$2*AF48,$AQ48=$AP$3,$AQ$3*AF48,$AQ48=$AP$4,$AQ$4*AF48)</f>
        <v>0</v>
      </c>
      <c r="AT48" s="155" cm="1">
        <f t="array" ref="AT48">_xlfn.IFS($AQ48=$AP$1,$AQ$1*AG48,$AQ48=$AP$2,$AQ$2*AG48,$AQ48=$AP$3,$AQ$3*AG48,$AQ48=$AP$4,$AQ$4*AG48)</f>
        <v>0</v>
      </c>
      <c r="AU48" s="155" cm="1">
        <f t="array" ref="AU48">_xlfn.IFS($AQ48=$AP$1,$AQ$1*AH48,$AQ48=$AP$2,$AQ$2*AH48,$AQ48=$AP$3,$AQ$3*AH48,$AQ48=$AP$4,$AQ$4*AH48)</f>
        <v>0</v>
      </c>
      <c r="AV48" s="155" cm="1">
        <f t="array" ref="AV48">_xlfn.IFS($AQ48=$AP$1,$AQ$1*AI48,$AQ48=$AP$2,$AQ$2*AI48,$AQ48=$AP$3,$AQ$3*AI48,$AQ48=$AP$4,$AQ$4*AI48)</f>
        <v>0</v>
      </c>
      <c r="AW48" s="155" cm="1">
        <f t="array" ref="AW48">_xlfn.IFS($AQ48=$AP$1,$AQ$1*AJ48,$AQ48=$AP$2,$AQ$2*AJ48,$AQ48=$AP$3,$AQ$3*AJ48,$AQ48=$AP$4,$AQ$4*AJ48)</f>
        <v>0</v>
      </c>
      <c r="AX48" s="155" cm="1">
        <f t="array" ref="AX48">_xlfn.IFS($AQ48=$AP$1,$AQ$1*AK48,$AQ48=$AP$2,$AQ$2*AK48,$AQ48=$AP$3,$AQ$3*AK48,$AQ48=$AP$4,$AQ$4*AK48)</f>
        <v>0</v>
      </c>
      <c r="AY48" s="155" cm="1">
        <f t="array" ref="AY48">_xlfn.IFS($AQ48=$AP$1,$AQ$1*AL48,$AQ48=$AP$2,$AQ$2*AL48,$AQ48=$AP$3,$AQ$3*AL48,$AQ48=$AP$4,$AQ$4*AL48)</f>
        <v>0</v>
      </c>
      <c r="AZ48" s="155" cm="1">
        <f t="array" ref="AZ48">_xlfn.IFS($AQ48=$AP$1,$AQ$1*AM48,$AQ48=$AP$2,$AQ$2*AM48,$AQ48=$AP$3,$AQ$3*AM48,$AQ48=$AP$4,$AQ$4*AM48)</f>
        <v>0</v>
      </c>
      <c r="BA48" s="155" cm="1">
        <f t="array" ref="BA48">_xlfn.IFS($AQ48=$AP$1,$AQ$1*AN48,$AQ48=$AP$2,$AQ$2*AN48,$AQ48=$AP$3,$AQ$3*AN48,$AQ48=$AP$4,$AQ$4*AN48)</f>
        <v>0</v>
      </c>
      <c r="BB48" s="155"/>
      <c r="BC48" s="155" t="str">
        <f>Table2[[#This Row],[FN Parent  '#]]</f>
        <v>FN014323</v>
      </c>
      <c r="BD48" s="155">
        <f t="shared" si="25"/>
        <v>0</v>
      </c>
      <c r="BF48" s="155" t="str">
        <f t="shared" si="14"/>
        <v/>
      </c>
      <c r="BG48" s="155" t="str">
        <f t="shared" si="15"/>
        <v/>
      </c>
      <c r="BH48" s="155" t="str">
        <f t="shared" si="16"/>
        <v/>
      </c>
      <c r="BI48" s="155" t="str">
        <f t="shared" si="17"/>
        <v/>
      </c>
      <c r="BJ48" s="155" t="str">
        <f t="shared" si="18"/>
        <v/>
      </c>
      <c r="BK48" s="155" t="str">
        <f t="shared" si="19"/>
        <v/>
      </c>
      <c r="BL48" s="155" t="str">
        <f t="shared" si="20"/>
        <v/>
      </c>
      <c r="BM48" s="155" t="str">
        <f t="shared" si="21"/>
        <v/>
      </c>
      <c r="BN48" s="155" t="str">
        <f t="shared" si="22"/>
        <v/>
      </c>
      <c r="BO48" s="155" t="str">
        <f t="shared" si="23"/>
        <v/>
      </c>
      <c r="BP48" s="155">
        <f t="shared" si="24"/>
        <v>0</v>
      </c>
      <c r="BR48" s="206" t="s">
        <v>270</v>
      </c>
      <c r="BS48" s="155">
        <f t="shared" si="27"/>
        <v>34.7009190267664</v>
      </c>
      <c r="BT48" s="155">
        <f t="shared" si="28"/>
        <v>10</v>
      </c>
    </row>
    <row r="49" spans="1:72">
      <c r="A49" s="155" t="s">
        <v>229</v>
      </c>
      <c r="B49" s="155" t="s">
        <v>1328</v>
      </c>
      <c r="C49" s="155" t="s">
        <v>207</v>
      </c>
      <c r="D49" s="155">
        <v>40</v>
      </c>
      <c r="E49" s="189">
        <v>0</v>
      </c>
      <c r="F49" s="67">
        <v>0</v>
      </c>
      <c r="G49" s="67">
        <v>180</v>
      </c>
      <c r="H49" s="67">
        <v>360</v>
      </c>
      <c r="I49" s="67">
        <v>720</v>
      </c>
      <c r="J49" s="67">
        <v>6137</v>
      </c>
      <c r="K49" s="67">
        <v>8540</v>
      </c>
      <c r="L49" s="67">
        <v>8532</v>
      </c>
      <c r="M49" s="67">
        <v>4820</v>
      </c>
      <c r="N49" s="67">
        <v>0</v>
      </c>
      <c r="O49" s="67">
        <v>0</v>
      </c>
      <c r="Q49" s="202" t="s">
        <v>229</v>
      </c>
      <c r="R49" s="202" t="s">
        <v>1328</v>
      </c>
      <c r="S49" s="202" t="s">
        <v>207</v>
      </c>
      <c r="T49" s="76"/>
      <c r="U49" s="76"/>
      <c r="V49" s="76"/>
      <c r="W49" s="76"/>
      <c r="X49" s="76"/>
      <c r="Y49" s="76"/>
      <c r="Z49" s="76"/>
      <c r="AA49" s="76"/>
      <c r="AB49" s="76"/>
      <c r="AC49" s="76"/>
      <c r="AE49" s="76">
        <f t="shared" si="4"/>
        <v>0</v>
      </c>
      <c r="AF49" s="76">
        <f t="shared" si="5"/>
        <v>0</v>
      </c>
      <c r="AG49" s="76">
        <f t="shared" si="6"/>
        <v>0</v>
      </c>
      <c r="AH49" s="76">
        <f t="shared" si="7"/>
        <v>0</v>
      </c>
      <c r="AI49" s="76">
        <f t="shared" si="8"/>
        <v>0</v>
      </c>
      <c r="AJ49" s="76">
        <f t="shared" si="9"/>
        <v>0</v>
      </c>
      <c r="AK49" s="76">
        <f t="shared" si="10"/>
        <v>0</v>
      </c>
      <c r="AL49" s="76">
        <f t="shared" si="11"/>
        <v>0</v>
      </c>
      <c r="AM49" s="76">
        <f t="shared" si="12"/>
        <v>0</v>
      </c>
      <c r="AN49" s="76">
        <f t="shared" si="13"/>
        <v>0</v>
      </c>
      <c r="AP49" s="202" t="s">
        <v>229</v>
      </c>
      <c r="AQ49" s="202" t="s">
        <v>207</v>
      </c>
      <c r="AR49" s="155" cm="1">
        <f t="array" ref="AR49">_xlfn.IFS($AQ49=$AP$1,$AQ$1*AE49,$AQ49=$AP$2,$AQ$2*AE49,$AQ49=$AP$3,$AQ$3*AE49,$AQ49=$AP$4,$AQ$4*AE49)</f>
        <v>0</v>
      </c>
      <c r="AS49" s="155" cm="1">
        <f t="array" ref="AS49">_xlfn.IFS($AQ49=$AP$1,$AQ$1*AF49,$AQ49=$AP$2,$AQ$2*AF49,$AQ49=$AP$3,$AQ$3*AF49,$AQ49=$AP$4,$AQ$4*AF49)</f>
        <v>0</v>
      </c>
      <c r="AT49" s="155" cm="1">
        <f t="array" ref="AT49">_xlfn.IFS($AQ49=$AP$1,$AQ$1*AG49,$AQ49=$AP$2,$AQ$2*AG49,$AQ49=$AP$3,$AQ$3*AG49,$AQ49=$AP$4,$AQ$4*AG49)</f>
        <v>0</v>
      </c>
      <c r="AU49" s="155" cm="1">
        <f t="array" ref="AU49">_xlfn.IFS($AQ49=$AP$1,$AQ$1*AH49,$AQ49=$AP$2,$AQ$2*AH49,$AQ49=$AP$3,$AQ$3*AH49,$AQ49=$AP$4,$AQ$4*AH49)</f>
        <v>0</v>
      </c>
      <c r="AV49" s="155" cm="1">
        <f t="array" ref="AV49">_xlfn.IFS($AQ49=$AP$1,$AQ$1*AI49,$AQ49=$AP$2,$AQ$2*AI49,$AQ49=$AP$3,$AQ$3*AI49,$AQ49=$AP$4,$AQ$4*AI49)</f>
        <v>0</v>
      </c>
      <c r="AW49" s="155" cm="1">
        <f t="array" ref="AW49">_xlfn.IFS($AQ49=$AP$1,$AQ$1*AJ49,$AQ49=$AP$2,$AQ$2*AJ49,$AQ49=$AP$3,$AQ$3*AJ49,$AQ49=$AP$4,$AQ$4*AJ49)</f>
        <v>0</v>
      </c>
      <c r="AX49" s="155" cm="1">
        <f t="array" ref="AX49">_xlfn.IFS($AQ49=$AP$1,$AQ$1*AK49,$AQ49=$AP$2,$AQ$2*AK49,$AQ49=$AP$3,$AQ$3*AK49,$AQ49=$AP$4,$AQ$4*AK49)</f>
        <v>0</v>
      </c>
      <c r="AY49" s="155" cm="1">
        <f t="array" ref="AY49">_xlfn.IFS($AQ49=$AP$1,$AQ$1*AL49,$AQ49=$AP$2,$AQ$2*AL49,$AQ49=$AP$3,$AQ$3*AL49,$AQ49=$AP$4,$AQ$4*AL49)</f>
        <v>0</v>
      </c>
      <c r="AZ49" s="155" cm="1">
        <f t="array" ref="AZ49">_xlfn.IFS($AQ49=$AP$1,$AQ$1*AM49,$AQ49=$AP$2,$AQ$2*AM49,$AQ49=$AP$3,$AQ$3*AM49,$AQ49=$AP$4,$AQ$4*AM49)</f>
        <v>0</v>
      </c>
      <c r="BA49" s="155" cm="1">
        <f t="array" ref="BA49">_xlfn.IFS($AQ49=$AP$1,$AQ$1*AN49,$AQ49=$AP$2,$AQ$2*AN49,$AQ49=$AP$3,$AQ$3*AN49,$AQ49=$AP$4,$AQ$4*AN49)</f>
        <v>0</v>
      </c>
      <c r="BB49" s="155"/>
      <c r="BC49" s="155" t="str">
        <f>Table2[[#This Row],[FN Parent  '#]]</f>
        <v>FN014323</v>
      </c>
      <c r="BD49" s="155">
        <f t="shared" si="25"/>
        <v>0</v>
      </c>
      <c r="BF49" s="155" t="str">
        <f t="shared" si="14"/>
        <v/>
      </c>
      <c r="BG49" s="155" t="str">
        <f t="shared" si="15"/>
        <v/>
      </c>
      <c r="BH49" s="155" t="str">
        <f t="shared" si="16"/>
        <v/>
      </c>
      <c r="BI49" s="155" t="str">
        <f t="shared" si="17"/>
        <v/>
      </c>
      <c r="BJ49" s="155" t="str">
        <f t="shared" si="18"/>
        <v/>
      </c>
      <c r="BK49" s="155" t="str">
        <f t="shared" si="19"/>
        <v/>
      </c>
      <c r="BL49" s="155" t="str">
        <f t="shared" si="20"/>
        <v/>
      </c>
      <c r="BM49" s="155" t="str">
        <f t="shared" si="21"/>
        <v/>
      </c>
      <c r="BN49" s="155" t="str">
        <f t="shared" si="22"/>
        <v/>
      </c>
      <c r="BO49" s="155" t="str">
        <f t="shared" si="23"/>
        <v/>
      </c>
      <c r="BP49" s="155">
        <f t="shared" si="24"/>
        <v>0</v>
      </c>
      <c r="BR49" s="206" t="s">
        <v>271</v>
      </c>
      <c r="BS49" s="155">
        <f t="shared" si="27"/>
        <v>109.43815636289943</v>
      </c>
      <c r="BT49" s="155">
        <f t="shared" si="28"/>
        <v>47</v>
      </c>
    </row>
    <row r="50" spans="1:72">
      <c r="A50" s="155" t="s">
        <v>229</v>
      </c>
      <c r="B50" s="155" t="s">
        <v>1328</v>
      </c>
      <c r="C50" s="155" t="s">
        <v>207</v>
      </c>
      <c r="D50" s="155">
        <v>40</v>
      </c>
      <c r="E50" s="189">
        <v>0</v>
      </c>
      <c r="F50" s="67">
        <v>0</v>
      </c>
      <c r="G50" s="67">
        <v>900</v>
      </c>
      <c r="H50" s="67">
        <v>1080</v>
      </c>
      <c r="I50" s="67">
        <v>720</v>
      </c>
      <c r="J50" s="67">
        <v>1530</v>
      </c>
      <c r="K50" s="67">
        <v>1184</v>
      </c>
      <c r="L50" s="67">
        <v>944</v>
      </c>
      <c r="M50" s="67">
        <v>606</v>
      </c>
      <c r="N50" s="67">
        <v>0</v>
      </c>
      <c r="O50" s="67">
        <v>0</v>
      </c>
      <c r="Q50" s="201" t="s">
        <v>229</v>
      </c>
      <c r="R50" s="201" t="s">
        <v>1328</v>
      </c>
      <c r="S50" s="201" t="s">
        <v>207</v>
      </c>
      <c r="T50" s="76"/>
      <c r="U50" s="76"/>
      <c r="V50" s="76"/>
      <c r="W50" s="76"/>
      <c r="X50" s="76"/>
      <c r="Y50" s="76"/>
      <c r="Z50" s="76"/>
      <c r="AA50" s="76"/>
      <c r="AB50" s="76"/>
      <c r="AC50" s="76"/>
      <c r="AE50" s="76">
        <f t="shared" si="4"/>
        <v>0</v>
      </c>
      <c r="AF50" s="76">
        <f t="shared" si="5"/>
        <v>0</v>
      </c>
      <c r="AG50" s="76">
        <f t="shared" si="6"/>
        <v>0</v>
      </c>
      <c r="AH50" s="76">
        <f t="shared" si="7"/>
        <v>0</v>
      </c>
      <c r="AI50" s="76">
        <f t="shared" si="8"/>
        <v>0</v>
      </c>
      <c r="AJ50" s="76">
        <f t="shared" si="9"/>
        <v>0</v>
      </c>
      <c r="AK50" s="76">
        <f t="shared" si="10"/>
        <v>0</v>
      </c>
      <c r="AL50" s="76">
        <f t="shared" si="11"/>
        <v>0</v>
      </c>
      <c r="AM50" s="76">
        <f t="shared" si="12"/>
        <v>0</v>
      </c>
      <c r="AN50" s="76">
        <f t="shared" si="13"/>
        <v>0</v>
      </c>
      <c r="AP50" s="201" t="s">
        <v>229</v>
      </c>
      <c r="AQ50" s="201" t="s">
        <v>207</v>
      </c>
      <c r="AR50" s="155" cm="1">
        <f t="array" ref="AR50">_xlfn.IFS($AQ50=$AP$1,$AQ$1*AE50,$AQ50=$AP$2,$AQ$2*AE50,$AQ50=$AP$3,$AQ$3*AE50,$AQ50=$AP$4,$AQ$4*AE50)</f>
        <v>0</v>
      </c>
      <c r="AS50" s="155" cm="1">
        <f t="array" ref="AS50">_xlfn.IFS($AQ50=$AP$1,$AQ$1*AF50,$AQ50=$AP$2,$AQ$2*AF50,$AQ50=$AP$3,$AQ$3*AF50,$AQ50=$AP$4,$AQ$4*AF50)</f>
        <v>0</v>
      </c>
      <c r="AT50" s="155" cm="1">
        <f t="array" ref="AT50">_xlfn.IFS($AQ50=$AP$1,$AQ$1*AG50,$AQ50=$AP$2,$AQ$2*AG50,$AQ50=$AP$3,$AQ$3*AG50,$AQ50=$AP$4,$AQ$4*AG50)</f>
        <v>0</v>
      </c>
      <c r="AU50" s="155" cm="1">
        <f t="array" ref="AU50">_xlfn.IFS($AQ50=$AP$1,$AQ$1*AH50,$AQ50=$AP$2,$AQ$2*AH50,$AQ50=$AP$3,$AQ$3*AH50,$AQ50=$AP$4,$AQ$4*AH50)</f>
        <v>0</v>
      </c>
      <c r="AV50" s="155" cm="1">
        <f t="array" ref="AV50">_xlfn.IFS($AQ50=$AP$1,$AQ$1*AI50,$AQ50=$AP$2,$AQ$2*AI50,$AQ50=$AP$3,$AQ$3*AI50,$AQ50=$AP$4,$AQ$4*AI50)</f>
        <v>0</v>
      </c>
      <c r="AW50" s="155" cm="1">
        <f t="array" ref="AW50">_xlfn.IFS($AQ50=$AP$1,$AQ$1*AJ50,$AQ50=$AP$2,$AQ$2*AJ50,$AQ50=$AP$3,$AQ$3*AJ50,$AQ50=$AP$4,$AQ$4*AJ50)</f>
        <v>0</v>
      </c>
      <c r="AX50" s="155" cm="1">
        <f t="array" ref="AX50">_xlfn.IFS($AQ50=$AP$1,$AQ$1*AK50,$AQ50=$AP$2,$AQ$2*AK50,$AQ50=$AP$3,$AQ$3*AK50,$AQ50=$AP$4,$AQ$4*AK50)</f>
        <v>0</v>
      </c>
      <c r="AY50" s="155" cm="1">
        <f t="array" ref="AY50">_xlfn.IFS($AQ50=$AP$1,$AQ$1*AL50,$AQ50=$AP$2,$AQ$2*AL50,$AQ50=$AP$3,$AQ$3*AL50,$AQ50=$AP$4,$AQ$4*AL50)</f>
        <v>0</v>
      </c>
      <c r="AZ50" s="155" cm="1">
        <f t="array" ref="AZ50">_xlfn.IFS($AQ50=$AP$1,$AQ$1*AM50,$AQ50=$AP$2,$AQ$2*AM50,$AQ50=$AP$3,$AQ$3*AM50,$AQ50=$AP$4,$AQ$4*AM50)</f>
        <v>0</v>
      </c>
      <c r="BA50" s="155" cm="1">
        <f t="array" ref="BA50">_xlfn.IFS($AQ50=$AP$1,$AQ$1*AN50,$AQ50=$AP$2,$AQ$2*AN50,$AQ50=$AP$3,$AQ$3*AN50,$AQ50=$AP$4,$AQ$4*AN50)</f>
        <v>0</v>
      </c>
      <c r="BB50" s="155"/>
      <c r="BC50" s="155" t="str">
        <f>Table2[[#This Row],[FN Parent  '#]]</f>
        <v>FN014323</v>
      </c>
      <c r="BD50" s="155">
        <f t="shared" si="25"/>
        <v>0</v>
      </c>
      <c r="BF50" s="155" t="str">
        <f t="shared" si="14"/>
        <v/>
      </c>
      <c r="BG50" s="155" t="str">
        <f t="shared" si="15"/>
        <v/>
      </c>
      <c r="BH50" s="155" t="str">
        <f t="shared" si="16"/>
        <v/>
      </c>
      <c r="BI50" s="155" t="str">
        <f t="shared" si="17"/>
        <v/>
      </c>
      <c r="BJ50" s="155" t="str">
        <f t="shared" si="18"/>
        <v/>
      </c>
      <c r="BK50" s="155" t="str">
        <f t="shared" si="19"/>
        <v/>
      </c>
      <c r="BL50" s="155" t="str">
        <f t="shared" si="20"/>
        <v/>
      </c>
      <c r="BM50" s="155" t="str">
        <f t="shared" si="21"/>
        <v/>
      </c>
      <c r="BN50" s="155" t="str">
        <f t="shared" si="22"/>
        <v/>
      </c>
      <c r="BO50" s="155" t="str">
        <f t="shared" si="23"/>
        <v/>
      </c>
      <c r="BP50" s="155">
        <f t="shared" si="24"/>
        <v>0</v>
      </c>
      <c r="BR50" s="206" t="s">
        <v>272</v>
      </c>
      <c r="BS50" s="155">
        <f t="shared" si="27"/>
        <v>34.931746285954496</v>
      </c>
      <c r="BT50" s="155">
        <f t="shared" si="28"/>
        <v>15.6</v>
      </c>
    </row>
    <row r="51" spans="1:72">
      <c r="A51" s="155" t="s">
        <v>230</v>
      </c>
      <c r="B51" s="155" t="s">
        <v>1291</v>
      </c>
      <c r="C51" s="155" t="s">
        <v>208</v>
      </c>
      <c r="D51" s="155">
        <v>10</v>
      </c>
      <c r="E51" s="189">
        <v>0</v>
      </c>
      <c r="F51" s="67">
        <v>0</v>
      </c>
      <c r="G51" s="67">
        <v>0</v>
      </c>
      <c r="H51" s="67">
        <v>0</v>
      </c>
      <c r="I51" s="67">
        <v>0</v>
      </c>
      <c r="J51" s="67">
        <v>0</v>
      </c>
      <c r="K51" s="67">
        <v>126.72</v>
      </c>
      <c r="L51" s="67">
        <v>1048.4100000000001</v>
      </c>
      <c r="M51" s="67">
        <v>606.87</v>
      </c>
      <c r="N51" s="67">
        <v>906</v>
      </c>
      <c r="O51" s="67">
        <v>0</v>
      </c>
      <c r="Q51" s="202" t="s">
        <v>230</v>
      </c>
      <c r="R51" s="202" t="s">
        <v>1291</v>
      </c>
      <c r="S51" s="202" t="s">
        <v>208</v>
      </c>
      <c r="T51" s="76">
        <f>SUM($E51:F51)</f>
        <v>0</v>
      </c>
      <c r="U51" s="76">
        <f>SUM($E51:G51)</f>
        <v>0</v>
      </c>
      <c r="V51" s="76">
        <f>SUM($E51:H51)</f>
        <v>0</v>
      </c>
      <c r="W51" s="76">
        <f>SUM($E51:I51)</f>
        <v>0</v>
      </c>
      <c r="X51" s="76">
        <f>SUM($E51:J51)</f>
        <v>0</v>
      </c>
      <c r="Y51" s="76">
        <f>SUM($E51:K51)</f>
        <v>126.72</v>
      </c>
      <c r="Z51" s="76">
        <f>SUM($E51:L51)</f>
        <v>1175.1300000000001</v>
      </c>
      <c r="AA51" s="76">
        <f>SUM($E51:M51)</f>
        <v>1782</v>
      </c>
      <c r="AB51" s="76">
        <f>SUM($E51:N51)</f>
        <v>2688</v>
      </c>
      <c r="AC51" s="76">
        <f>SUM($E51:O51)</f>
        <v>2688</v>
      </c>
      <c r="AE51" s="76">
        <f t="shared" si="4"/>
        <v>0</v>
      </c>
      <c r="AF51" s="76">
        <f t="shared" si="5"/>
        <v>0</v>
      </c>
      <c r="AG51" s="76">
        <f t="shared" si="6"/>
        <v>0</v>
      </c>
      <c r="AH51" s="76">
        <f t="shared" si="7"/>
        <v>0</v>
      </c>
      <c r="AI51" s="76">
        <f t="shared" si="8"/>
        <v>0</v>
      </c>
      <c r="AJ51" s="76">
        <f t="shared" si="9"/>
        <v>140.5962944798988</v>
      </c>
      <c r="AK51" s="76">
        <f t="shared" si="10"/>
        <v>1331.1909795323461</v>
      </c>
      <c r="AL51" s="76">
        <f t="shared" si="11"/>
        <v>2061.0469942582522</v>
      </c>
      <c r="AM51" s="76">
        <f t="shared" si="12"/>
        <v>3174.2066786184459</v>
      </c>
      <c r="AN51" s="76">
        <f t="shared" si="13"/>
        <v>3240.8650188694328</v>
      </c>
      <c r="AP51" s="202" t="s">
        <v>230</v>
      </c>
      <c r="AQ51" s="202" t="s">
        <v>208</v>
      </c>
      <c r="AR51" s="155" cm="1">
        <f t="array" ref="AR51">_xlfn.IFS($AQ51=$AP$1,$AQ$1*AE51,$AQ51=$AP$2,$AQ$2*AE51,$AQ51=$AP$3,$AQ$3*AE51,$AQ51=$AP$4,$AQ$4*AE51)</f>
        <v>0</v>
      </c>
      <c r="AS51" s="155" cm="1">
        <f t="array" ref="AS51">_xlfn.IFS($AQ51=$AP$1,$AQ$1*AF51,$AQ51=$AP$2,$AQ$2*AF51,$AQ51=$AP$3,$AQ$3*AF51,$AQ51=$AP$4,$AQ$4*AF51)</f>
        <v>0</v>
      </c>
      <c r="AT51" s="155" cm="1">
        <f t="array" ref="AT51">_xlfn.IFS($AQ51=$AP$1,$AQ$1*AG51,$AQ51=$AP$2,$AQ$2*AG51,$AQ51=$AP$3,$AQ$3*AG51,$AQ51=$AP$4,$AQ$4*AG51)</f>
        <v>0</v>
      </c>
      <c r="AU51" s="155" cm="1">
        <f t="array" ref="AU51">_xlfn.IFS($AQ51=$AP$1,$AQ$1*AH51,$AQ51=$AP$2,$AQ$2*AH51,$AQ51=$AP$3,$AQ$3*AH51,$AQ51=$AP$4,$AQ$4*AH51)</f>
        <v>0</v>
      </c>
      <c r="AV51" s="155" cm="1">
        <f t="array" ref="AV51">_xlfn.IFS($AQ51=$AP$1,$AQ$1*AI51,$AQ51=$AP$2,$AQ$2*AI51,$AQ51=$AP$3,$AQ$3*AI51,$AQ51=$AP$4,$AQ$4*AI51)</f>
        <v>0</v>
      </c>
      <c r="AW51" s="155" cm="1">
        <f t="array" ref="AW51">_xlfn.IFS($AQ51=$AP$1,$AQ$1*AJ51,$AQ51=$AP$2,$AQ$2*AJ51,$AQ51=$AP$3,$AQ$3*AJ51,$AQ51=$AP$4,$AQ$4*AJ51)</f>
        <v>19.865224026219618</v>
      </c>
      <c r="AX51" s="155" cm="1">
        <f t="array" ref="AX51">_xlfn.IFS($AQ51=$AP$1,$AQ$1*AK51,$AQ51=$AP$2,$AQ$2*AK51,$AQ51=$AP$3,$AQ$3*AK51,$AQ51=$AP$4,$AQ$4*AK51)</f>
        <v>188.08751061268953</v>
      </c>
      <c r="AY51" s="155" cm="1">
        <f t="array" ref="AY51">_xlfn.IFS($AQ51=$AP$1,$AQ$1*AL51,$AQ51=$AP$2,$AQ$2*AL51,$AQ51=$AP$3,$AQ$3*AL51,$AQ51=$AP$4,$AQ$4*AL51)</f>
        <v>291.21080623757439</v>
      </c>
      <c r="AZ51" s="155" cm="1">
        <f t="array" ref="AZ51">_xlfn.IFS($AQ51=$AP$1,$AQ$1*AM51,$AQ51=$AP$2,$AQ$2*AM51,$AQ51=$AP$3,$AQ$3*AM51,$AQ51=$AP$4,$AQ$4*AM51)</f>
        <v>448.49209582328757</v>
      </c>
      <c r="BA51" s="155" cm="1">
        <f t="array" ref="BA51">_xlfn.IFS($AQ51=$AP$1,$AQ$1*AN51,$AQ51=$AP$2,$AQ$2*AN51,$AQ51=$AP$3,$AQ$3*AN51,$AQ51=$AP$4,$AQ$4*AN51)</f>
        <v>457.91042983557651</v>
      </c>
      <c r="BB51" s="155">
        <f>Table2[[#This Row],[FINAL Project System Capacity (MW)]]</f>
        <v>10</v>
      </c>
      <c r="BC51" s="155" t="str">
        <f>Table2[[#This Row],[FN Parent  '#]]</f>
        <v>FN012619</v>
      </c>
      <c r="BD51" s="155">
        <f t="shared" si="25"/>
        <v>10</v>
      </c>
      <c r="BE51" s="155">
        <f t="shared" si="26"/>
        <v>10</v>
      </c>
      <c r="BF51" s="155">
        <f t="shared" si="14"/>
        <v>0</v>
      </c>
      <c r="BG51" s="155">
        <f t="shared" si="15"/>
        <v>0</v>
      </c>
      <c r="BH51" s="155">
        <f t="shared" si="16"/>
        <v>0</v>
      </c>
      <c r="BI51" s="155">
        <f t="shared" si="17"/>
        <v>0</v>
      </c>
      <c r="BJ51" s="155">
        <f t="shared" si="18"/>
        <v>0</v>
      </c>
      <c r="BK51" s="155">
        <f t="shared" si="19"/>
        <v>1.9865224026219619</v>
      </c>
      <c r="BL51" s="155">
        <f t="shared" si="20"/>
        <v>18.808751061268953</v>
      </c>
      <c r="BM51" s="155">
        <f t="shared" si="21"/>
        <v>29.12108062375744</v>
      </c>
      <c r="BN51" s="155">
        <f t="shared" si="22"/>
        <v>44.849209582328754</v>
      </c>
      <c r="BO51" s="155">
        <f t="shared" si="23"/>
        <v>45.791042983557652</v>
      </c>
      <c r="BP51" s="155">
        <f t="shared" si="24"/>
        <v>11.107715739602224</v>
      </c>
      <c r="BR51" s="206" t="s">
        <v>274</v>
      </c>
      <c r="BS51" s="155">
        <f t="shared" si="27"/>
        <v>263.31975677607562</v>
      </c>
      <c r="BT51" s="155">
        <f t="shared" si="28"/>
        <v>11</v>
      </c>
    </row>
    <row r="52" spans="1:72">
      <c r="A52" s="155" t="s">
        <v>231</v>
      </c>
      <c r="B52" s="155" t="s">
        <v>1345</v>
      </c>
      <c r="C52" s="155" t="s">
        <v>208</v>
      </c>
      <c r="D52" s="155">
        <v>0.5</v>
      </c>
      <c r="E52" s="189">
        <v>114.06476000000001</v>
      </c>
      <c r="F52" s="67">
        <v>397.72</v>
      </c>
      <c r="G52" s="67">
        <v>0</v>
      </c>
      <c r="H52" s="67">
        <v>0</v>
      </c>
      <c r="I52" s="67">
        <v>0</v>
      </c>
      <c r="J52" s="67">
        <v>0</v>
      </c>
      <c r="K52" s="67">
        <v>0</v>
      </c>
      <c r="L52" s="67">
        <v>0</v>
      </c>
      <c r="M52" s="67">
        <v>0</v>
      </c>
      <c r="N52" s="67">
        <v>0</v>
      </c>
      <c r="O52" s="67">
        <v>0</v>
      </c>
      <c r="Q52" s="201" t="s">
        <v>231</v>
      </c>
      <c r="R52" s="201" t="s">
        <v>1345</v>
      </c>
      <c r="S52" s="201" t="s">
        <v>208</v>
      </c>
      <c r="T52" s="76">
        <f>SUM($E52:F53)</f>
        <v>511.78476000000001</v>
      </c>
      <c r="U52" s="76">
        <f>SUM($E52:G53)</f>
        <v>511.78476000000001</v>
      </c>
      <c r="V52" s="76">
        <f>SUM($E52:H53)</f>
        <v>511.78476000000001</v>
      </c>
      <c r="W52" s="76">
        <f>SUM($E52:I53)</f>
        <v>683.78476000000001</v>
      </c>
      <c r="X52" s="76">
        <f>SUM($E52:J53)</f>
        <v>1345.78476</v>
      </c>
      <c r="Y52" s="76">
        <f>SUM($E52:K53)</f>
        <v>2114.78476</v>
      </c>
      <c r="Z52" s="76">
        <f>SUM($E52:L53)</f>
        <v>2114.78476</v>
      </c>
      <c r="AA52" s="76">
        <f>SUM($E52:M53)</f>
        <v>2114.78476</v>
      </c>
      <c r="AB52" s="76">
        <f>SUM($E52:N53)</f>
        <v>2114.78476</v>
      </c>
      <c r="AC52" s="76">
        <f>SUM($E52:O53)</f>
        <v>2114.78476</v>
      </c>
      <c r="AE52" s="76">
        <f t="shared" si="4"/>
        <v>511.78476000000001</v>
      </c>
      <c r="AF52" s="76">
        <f t="shared" si="5"/>
        <v>522.53223995999997</v>
      </c>
      <c r="AG52" s="76">
        <f t="shared" si="6"/>
        <v>533.50541699915982</v>
      </c>
      <c r="AH52" s="76">
        <f t="shared" si="7"/>
        <v>727.77417964814219</v>
      </c>
      <c r="AI52" s="76">
        <f t="shared" si="8"/>
        <v>1462.4417412951746</v>
      </c>
      <c r="AJ52" s="76">
        <f t="shared" si="9"/>
        <v>2346.3612758724912</v>
      </c>
      <c r="AK52" s="76">
        <f t="shared" si="10"/>
        <v>2395.6348626658132</v>
      </c>
      <c r="AL52" s="76">
        <f t="shared" si="11"/>
        <v>2445.9431947817952</v>
      </c>
      <c r="AM52" s="76">
        <f t="shared" si="12"/>
        <v>2497.3080018722126</v>
      </c>
      <c r="AN52" s="76">
        <f t="shared" si="13"/>
        <v>2549.7514699115286</v>
      </c>
      <c r="AP52" s="201" t="s">
        <v>231</v>
      </c>
      <c r="AQ52" s="201" t="s">
        <v>208</v>
      </c>
      <c r="AR52" s="155" cm="1">
        <f t="array" ref="AR52">_xlfn.IFS($AQ52=$AP$1,$AQ$1*AE52,$AQ52=$AP$2,$AQ$2*AE52,$AQ52=$AP$3,$AQ$3*AE52,$AQ52=$AP$4,$AQ$4*AE52)</f>
        <v>72.311428606381853</v>
      </c>
      <c r="AS52" s="155" cm="1">
        <f t="array" ref="AS52">_xlfn.IFS($AQ52=$AP$1,$AQ$1*AF52,$AQ52=$AP$2,$AQ$2*AF52,$AQ52=$AP$3,$AQ$3*AF52,$AQ52=$AP$4,$AQ$4*AF52)</f>
        <v>73.829968607115873</v>
      </c>
      <c r="AT52" s="155" cm="1">
        <f t="array" ref="AT52">_xlfn.IFS($AQ52=$AP$1,$AQ$1*AG52,$AQ52=$AP$2,$AQ$2*AG52,$AQ52=$AP$3,$AQ$3*AG52,$AQ52=$AP$4,$AQ$4*AG52)</f>
        <v>75.380397947865276</v>
      </c>
      <c r="AU52" s="155" cm="1">
        <f t="array" ref="AU52">_xlfn.IFS($AQ52=$AP$1,$AQ$1*AH52,$AQ52=$AP$2,$AQ$2*AH52,$AQ52=$AP$3,$AQ$3*AH52,$AQ52=$AP$4,$AQ$4*AH52)</f>
        <v>102.82914761509264</v>
      </c>
      <c r="AV52" s="155" cm="1">
        <f t="array" ref="AV52">_xlfn.IFS($AQ52=$AP$1,$AQ$1*AI52,$AQ52=$AP$2,$AQ$2*AI52,$AQ52=$AP$3,$AQ$3*AI52,$AQ52=$AP$4,$AQ$4*AI52)</f>
        <v>206.63227948925007</v>
      </c>
      <c r="AW52" s="155" cm="1">
        <f t="array" ref="AW52">_xlfn.IFS($AQ52=$AP$1,$AQ$1*AJ52,$AQ52=$AP$2,$AQ$2*AJ52,$AQ52=$AP$3,$AQ$3*AJ52,$AQ52=$AP$4,$AQ$4*AJ52)</f>
        <v>331.52361919693089</v>
      </c>
      <c r="AX52" s="155" cm="1">
        <f t="array" ref="AX52">_xlfn.IFS($AQ52=$AP$1,$AQ$1*AK52,$AQ52=$AP$2,$AQ$2*AK52,$AQ52=$AP$3,$AQ$3*AK52,$AQ52=$AP$4,$AQ$4*AK52)</f>
        <v>338.48561520006643</v>
      </c>
      <c r="AY52" s="155" cm="1">
        <f t="array" ref="AY52">_xlfn.IFS($AQ52=$AP$1,$AQ$1*AL52,$AQ52=$AP$2,$AQ$2*AL52,$AQ52=$AP$3,$AQ$3*AL52,$AQ52=$AP$4,$AQ$4*AL52)</f>
        <v>345.59381311926779</v>
      </c>
      <c r="AZ52" s="155" cm="1">
        <f t="array" ref="AZ52">_xlfn.IFS($AQ52=$AP$1,$AQ$1*AM52,$AQ52=$AP$2,$AQ$2*AM52,$AQ52=$AP$3,$AQ$3*AM52,$AQ52=$AP$4,$AQ$4*AM52)</f>
        <v>352.85128319477241</v>
      </c>
      <c r="BA52" s="155" cm="1">
        <f t="array" ref="BA52">_xlfn.IFS($AQ52=$AP$1,$AQ$1*AN52,$AQ52=$AP$2,$AQ$2*AN52,$AQ52=$AP$3,$AQ$3*AN52,$AQ52=$AP$4,$AQ$4*AN52)</f>
        <v>360.26116014186255</v>
      </c>
      <c r="BB52" s="155">
        <f>Table2[[#This Row],[FINAL Project System Capacity (MW)]]</f>
        <v>0.5</v>
      </c>
      <c r="BC52" s="155" t="str">
        <f>Table2[[#This Row],[FN Parent  '#]]</f>
        <v>Individual Project</v>
      </c>
      <c r="BD52" s="155">
        <f>BB52+BB53</f>
        <v>1.5</v>
      </c>
      <c r="BE52" s="155">
        <f t="shared" si="26"/>
        <v>1.5</v>
      </c>
      <c r="BF52" s="155">
        <f t="shared" si="14"/>
        <v>48.207619070921233</v>
      </c>
      <c r="BG52" s="155">
        <f t="shared" si="15"/>
        <v>49.219979071410584</v>
      </c>
      <c r="BH52" s="155">
        <f t="shared" si="16"/>
        <v>50.253598631910187</v>
      </c>
      <c r="BI52" s="155">
        <f t="shared" si="17"/>
        <v>68.55276507672842</v>
      </c>
      <c r="BJ52" s="155">
        <f t="shared" si="18"/>
        <v>137.75485299283338</v>
      </c>
      <c r="BK52" s="155">
        <f t="shared" si="19"/>
        <v>221.01574613128727</v>
      </c>
      <c r="BL52" s="155">
        <f t="shared" si="20"/>
        <v>225.65707680004428</v>
      </c>
      <c r="BM52" s="155">
        <f t="shared" si="21"/>
        <v>230.39587541284519</v>
      </c>
      <c r="BN52" s="155">
        <f t="shared" si="22"/>
        <v>235.23418879651493</v>
      </c>
      <c r="BO52" s="155">
        <f t="shared" si="23"/>
        <v>240.17410676124169</v>
      </c>
      <c r="BP52" s="155">
        <f t="shared" si="24"/>
        <v>135.74509227261558</v>
      </c>
      <c r="BR52" s="206" t="s">
        <v>275</v>
      </c>
      <c r="BS52" s="155">
        <f t="shared" si="27"/>
        <v>141.67474978316682</v>
      </c>
      <c r="BT52" s="155">
        <f t="shared" si="28"/>
        <v>41.5</v>
      </c>
    </row>
    <row r="53" spans="1:72">
      <c r="A53" s="155" t="s">
        <v>231</v>
      </c>
      <c r="B53" s="155" t="s">
        <v>1345</v>
      </c>
      <c r="C53" s="155" t="s">
        <v>208</v>
      </c>
      <c r="D53" s="155">
        <v>1</v>
      </c>
      <c r="E53" s="189">
        <v>0</v>
      </c>
      <c r="F53" s="67">
        <v>0</v>
      </c>
      <c r="G53" s="67">
        <v>0</v>
      </c>
      <c r="H53" s="67">
        <v>0</v>
      </c>
      <c r="I53" s="67">
        <v>172</v>
      </c>
      <c r="J53" s="67">
        <v>662</v>
      </c>
      <c r="K53" s="67">
        <v>769</v>
      </c>
      <c r="L53" s="67">
        <v>0</v>
      </c>
      <c r="M53" s="67">
        <v>0</v>
      </c>
      <c r="N53" s="67">
        <v>0</v>
      </c>
      <c r="O53" s="67">
        <v>0</v>
      </c>
      <c r="Q53" s="202" t="s">
        <v>231</v>
      </c>
      <c r="R53" s="202" t="s">
        <v>1345</v>
      </c>
      <c r="S53" s="202" t="s">
        <v>208</v>
      </c>
      <c r="U53" s="155"/>
      <c r="V53" s="155"/>
      <c r="W53" s="155"/>
      <c r="X53" s="155"/>
      <c r="Y53" s="155"/>
      <c r="Z53" s="155"/>
      <c r="AA53" s="155"/>
      <c r="AB53" s="155"/>
      <c r="AC53" s="155"/>
      <c r="AE53" s="76">
        <f t="shared" si="4"/>
        <v>0</v>
      </c>
      <c r="AF53" s="76">
        <f t="shared" si="5"/>
        <v>0</v>
      </c>
      <c r="AG53" s="76">
        <f t="shared" si="6"/>
        <v>0</v>
      </c>
      <c r="AH53" s="76">
        <f t="shared" si="7"/>
        <v>0</v>
      </c>
      <c r="AI53" s="76">
        <f t="shared" si="8"/>
        <v>0</v>
      </c>
      <c r="AJ53" s="76">
        <f t="shared" si="9"/>
        <v>0</v>
      </c>
      <c r="AK53" s="76">
        <f t="shared" si="10"/>
        <v>0</v>
      </c>
      <c r="AL53" s="76">
        <f t="shared" si="11"/>
        <v>0</v>
      </c>
      <c r="AM53" s="76">
        <f t="shared" si="12"/>
        <v>0</v>
      </c>
      <c r="AN53" s="76">
        <f t="shared" si="13"/>
        <v>0</v>
      </c>
      <c r="AP53" s="202" t="s">
        <v>231</v>
      </c>
      <c r="AQ53" s="202" t="s">
        <v>208</v>
      </c>
      <c r="AR53" s="155" cm="1">
        <f t="array" ref="AR53">_xlfn.IFS($AQ53=$AP$1,$AQ$1*AE53,$AQ53=$AP$2,$AQ$2*AE53,$AQ53=$AP$3,$AQ$3*AE53,$AQ53=$AP$4,$AQ$4*AE53)</f>
        <v>0</v>
      </c>
      <c r="AS53" s="155" cm="1">
        <f t="array" ref="AS53">_xlfn.IFS($AQ53=$AP$1,$AQ$1*AF53,$AQ53=$AP$2,$AQ$2*AF53,$AQ53=$AP$3,$AQ$3*AF53,$AQ53=$AP$4,$AQ$4*AF53)</f>
        <v>0</v>
      </c>
      <c r="AT53" s="155" cm="1">
        <f t="array" ref="AT53">_xlfn.IFS($AQ53=$AP$1,$AQ$1*AG53,$AQ53=$AP$2,$AQ$2*AG53,$AQ53=$AP$3,$AQ$3*AG53,$AQ53=$AP$4,$AQ$4*AG53)</f>
        <v>0</v>
      </c>
      <c r="AU53" s="155" cm="1">
        <f t="array" ref="AU53">_xlfn.IFS($AQ53=$AP$1,$AQ$1*AH53,$AQ53=$AP$2,$AQ$2*AH53,$AQ53=$AP$3,$AQ$3*AH53,$AQ53=$AP$4,$AQ$4*AH53)</f>
        <v>0</v>
      </c>
      <c r="AV53" s="155" cm="1">
        <f t="array" ref="AV53">_xlfn.IFS($AQ53=$AP$1,$AQ$1*AI53,$AQ53=$AP$2,$AQ$2*AI53,$AQ53=$AP$3,$AQ$3*AI53,$AQ53=$AP$4,$AQ$4*AI53)</f>
        <v>0</v>
      </c>
      <c r="AW53" s="155" cm="1">
        <f t="array" ref="AW53">_xlfn.IFS($AQ53=$AP$1,$AQ$1*AJ53,$AQ53=$AP$2,$AQ$2*AJ53,$AQ53=$AP$3,$AQ$3*AJ53,$AQ53=$AP$4,$AQ$4*AJ53)</f>
        <v>0</v>
      </c>
      <c r="AX53" s="155" cm="1">
        <f t="array" ref="AX53">_xlfn.IFS($AQ53=$AP$1,$AQ$1*AK53,$AQ53=$AP$2,$AQ$2*AK53,$AQ53=$AP$3,$AQ$3*AK53,$AQ53=$AP$4,$AQ$4*AK53)</f>
        <v>0</v>
      </c>
      <c r="AY53" s="155" cm="1">
        <f t="array" ref="AY53">_xlfn.IFS($AQ53=$AP$1,$AQ$1*AL53,$AQ53=$AP$2,$AQ$2*AL53,$AQ53=$AP$3,$AQ$3*AL53,$AQ53=$AP$4,$AQ$4*AL53)</f>
        <v>0</v>
      </c>
      <c r="AZ53" s="155" cm="1">
        <f t="array" ref="AZ53">_xlfn.IFS($AQ53=$AP$1,$AQ$1*AM53,$AQ53=$AP$2,$AQ$2*AM53,$AQ53=$AP$3,$AQ$3*AM53,$AQ53=$AP$4,$AQ$4*AM53)</f>
        <v>0</v>
      </c>
      <c r="BA53" s="155" cm="1">
        <f t="array" ref="BA53">_xlfn.IFS($AQ53=$AP$1,$AQ$1*AN53,$AQ53=$AP$2,$AQ$2*AN53,$AQ53=$AP$3,$AQ$3*AN53,$AQ53=$AP$4,$AQ$4*AN53)</f>
        <v>0</v>
      </c>
      <c r="BB53" s="155">
        <f>Table2[[#This Row],[FINAL Project System Capacity (MW)]]</f>
        <v>1</v>
      </c>
      <c r="BC53" s="155" t="str">
        <f>Table2[[#This Row],[FN Parent  '#]]</f>
        <v>Individual Project</v>
      </c>
      <c r="BD53" s="155"/>
      <c r="BF53" s="155" t="str">
        <f t="shared" si="14"/>
        <v/>
      </c>
      <c r="BG53" s="155" t="str">
        <f t="shared" si="15"/>
        <v/>
      </c>
      <c r="BH53" s="155" t="str">
        <f t="shared" si="16"/>
        <v/>
      </c>
      <c r="BI53" s="155" t="str">
        <f t="shared" si="17"/>
        <v/>
      </c>
      <c r="BJ53" s="155" t="str">
        <f t="shared" si="18"/>
        <v/>
      </c>
      <c r="BK53" s="155" t="str">
        <f t="shared" si="19"/>
        <v/>
      </c>
      <c r="BL53" s="155" t="str">
        <f t="shared" si="20"/>
        <v/>
      </c>
      <c r="BM53" s="155" t="str">
        <f t="shared" si="21"/>
        <v/>
      </c>
      <c r="BN53" s="155" t="str">
        <f t="shared" si="22"/>
        <v/>
      </c>
      <c r="BO53" s="155" t="str">
        <f t="shared" si="23"/>
        <v/>
      </c>
      <c r="BP53" s="155">
        <f t="shared" si="24"/>
        <v>0</v>
      </c>
      <c r="BR53" s="206" t="s">
        <v>276</v>
      </c>
      <c r="BS53" s="155">
        <f t="shared" si="27"/>
        <v>21.721144438779685</v>
      </c>
      <c r="BT53" s="155">
        <f t="shared" si="28"/>
        <v>10</v>
      </c>
    </row>
    <row r="54" spans="1:72">
      <c r="A54" s="155" t="s">
        <v>232</v>
      </c>
      <c r="B54" s="155" t="s">
        <v>1173</v>
      </c>
      <c r="C54" s="155" t="s">
        <v>208</v>
      </c>
      <c r="D54" s="155">
        <v>1.5</v>
      </c>
      <c r="E54" s="189">
        <v>93</v>
      </c>
      <c r="F54" s="67">
        <v>0</v>
      </c>
      <c r="G54" s="67">
        <v>405.54</v>
      </c>
      <c r="H54" s="67">
        <v>0</v>
      </c>
      <c r="I54" s="67">
        <v>0</v>
      </c>
      <c r="J54" s="67">
        <v>0</v>
      </c>
      <c r="K54" s="67">
        <v>0</v>
      </c>
      <c r="L54" s="67">
        <v>0</v>
      </c>
      <c r="M54" s="67">
        <v>0</v>
      </c>
      <c r="N54" s="67">
        <v>0</v>
      </c>
      <c r="O54" s="67">
        <v>0</v>
      </c>
      <c r="Q54" s="201" t="s">
        <v>232</v>
      </c>
      <c r="R54" s="201" t="s">
        <v>1173</v>
      </c>
      <c r="S54" s="201" t="s">
        <v>208</v>
      </c>
      <c r="T54" s="76">
        <f>SUM($E54:F56)</f>
        <v>93</v>
      </c>
      <c r="U54" s="76">
        <f>SUM($E54:G56)</f>
        <v>538.54</v>
      </c>
      <c r="V54" s="76">
        <f>SUM($E54:H56)</f>
        <v>2007.75</v>
      </c>
      <c r="W54" s="76">
        <f>SUM($E54:I56)</f>
        <v>2007.75</v>
      </c>
      <c r="X54" s="76">
        <f>SUM($E54:J56)</f>
        <v>2007.75</v>
      </c>
      <c r="Y54" s="76">
        <f>SUM($E54:K56)</f>
        <v>2007.75</v>
      </c>
      <c r="Z54" s="76">
        <f>SUM($E54:L56)</f>
        <v>2007.75</v>
      </c>
      <c r="AA54" s="76">
        <f>SUM($E54:M56)</f>
        <v>2007.75</v>
      </c>
      <c r="AB54" s="76">
        <f>SUM($E54:N56)</f>
        <v>2007.75</v>
      </c>
      <c r="AC54" s="76">
        <f>SUM($E54:O56)</f>
        <v>2007.75</v>
      </c>
      <c r="AE54" s="76">
        <f t="shared" si="4"/>
        <v>93</v>
      </c>
      <c r="AF54" s="76">
        <f t="shared" si="5"/>
        <v>549.84933999999987</v>
      </c>
      <c r="AG54" s="76">
        <f t="shared" si="6"/>
        <v>2092.9609177499997</v>
      </c>
      <c r="AH54" s="76">
        <f t="shared" si="7"/>
        <v>2136.9130970227493</v>
      </c>
      <c r="AI54" s="76">
        <f t="shared" si="8"/>
        <v>2181.7882720602265</v>
      </c>
      <c r="AJ54" s="76">
        <f t="shared" si="9"/>
        <v>2227.6058257734912</v>
      </c>
      <c r="AK54" s="76">
        <f t="shared" si="10"/>
        <v>2274.3855481147343</v>
      </c>
      <c r="AL54" s="76">
        <f t="shared" si="11"/>
        <v>2322.1476446251436</v>
      </c>
      <c r="AM54" s="76">
        <f t="shared" si="12"/>
        <v>2370.9127451622712</v>
      </c>
      <c r="AN54" s="76">
        <f t="shared" si="13"/>
        <v>2420.7019128106781</v>
      </c>
      <c r="AP54" s="201" t="s">
        <v>232</v>
      </c>
      <c r="AQ54" s="201" t="s">
        <v>208</v>
      </c>
      <c r="AR54" s="155" cm="1">
        <f t="array" ref="AR54">_xlfn.IFS($AQ54=$AP$1,$AQ$1*AE54,$AQ54=$AP$2,$AQ$2*AE54,$AQ54=$AP$3,$AQ$3*AE54,$AQ54=$AP$4,$AQ$4*AE54)</f>
        <v>13.140217110789919</v>
      </c>
      <c r="AS54" s="155" cm="1">
        <f t="array" ref="AS54">_xlfn.IFS($AQ54=$AP$1,$AQ$1*AF54,$AQ54=$AP$2,$AQ$2*AF54,$AQ54=$AP$3,$AQ$3*AF54,$AQ54=$AP$4,$AQ$4*AF54)</f>
        <v>77.689674256177881</v>
      </c>
      <c r="AT54" s="155" cm="1">
        <f t="array" ref="AT54">_xlfn.IFS($AQ54=$AP$1,$AQ$1*AG54,$AQ54=$AP$2,$AQ$2*AG54,$AQ54=$AP$3,$AQ$3*AG54,$AQ54=$AP$4,$AQ$4*AG54)</f>
        <v>295.7200092863776</v>
      </c>
      <c r="AU54" s="155" cm="1">
        <f t="array" ref="AU54">_xlfn.IFS($AQ54=$AP$1,$AQ$1*AH54,$AQ54=$AP$2,$AQ$2*AH54,$AQ54=$AP$3,$AQ$3*AH54,$AQ54=$AP$4,$AQ$4*AH54)</f>
        <v>301.93012948139148</v>
      </c>
      <c r="AV54" s="155" cm="1">
        <f t="array" ref="AV54">_xlfn.IFS($AQ54=$AP$1,$AQ$1*AI54,$AQ54=$AP$2,$AQ$2*AI54,$AQ54=$AP$3,$AQ$3*AI54,$AQ54=$AP$4,$AQ$4*AI54)</f>
        <v>308.27066220050062</v>
      </c>
      <c r="AW54" s="155" cm="1">
        <f t="array" ref="AW54">_xlfn.IFS($AQ54=$AP$1,$AQ$1*AJ54,$AQ54=$AP$2,$AQ$2*AJ54,$AQ54=$AP$3,$AQ$3*AJ54,$AQ54=$AP$4,$AQ$4*AJ54)</f>
        <v>314.74434610671113</v>
      </c>
      <c r="AX54" s="155" cm="1">
        <f t="array" ref="AX54">_xlfn.IFS($AQ54=$AP$1,$AQ$1*AK54,$AQ54=$AP$2,$AQ$2*AK54,$AQ54=$AP$3,$AQ$3*AK54,$AQ54=$AP$4,$AQ$4*AK54)</f>
        <v>321.35397737495208</v>
      </c>
      <c r="AY54" s="155" cm="1">
        <f t="array" ref="AY54">_xlfn.IFS($AQ54=$AP$1,$AQ$1*AL54,$AQ54=$AP$2,$AQ$2*AL54,$AQ54=$AP$3,$AQ$3*AL54,$AQ54=$AP$4,$AQ$4*AL54)</f>
        <v>328.10241089982605</v>
      </c>
      <c r="AZ54" s="155" cm="1">
        <f t="array" ref="AZ54">_xlfn.IFS($AQ54=$AP$1,$AQ$1*AM54,$AQ54=$AP$2,$AQ$2*AM54,$AQ54=$AP$3,$AQ$3*AM54,$AQ54=$AP$4,$AQ$4*AM54)</f>
        <v>334.99256152872232</v>
      </c>
      <c r="BA54" s="155" cm="1">
        <f t="array" ref="BA54">_xlfn.IFS($AQ54=$AP$1,$AQ$1*AN54,$AQ54=$AP$2,$AQ$2*AN54,$AQ54=$AP$3,$AQ$3*AN54,$AQ54=$AP$4,$AQ$4*AN54)</f>
        <v>342.02740532082538</v>
      </c>
      <c r="BB54" s="155">
        <f>Table2[[#This Row],[FINAL Project System Capacity (MW)]]</f>
        <v>1.5</v>
      </c>
      <c r="BC54" s="155" t="str">
        <f>Table2[[#This Row],[FN Parent  '#]]</f>
        <v>FN011227</v>
      </c>
      <c r="BD54" s="155">
        <f t="shared" si="25"/>
        <v>1.5</v>
      </c>
      <c r="BE54" s="155">
        <f t="shared" si="26"/>
        <v>1.5</v>
      </c>
      <c r="BF54" s="155">
        <f t="shared" si="14"/>
        <v>8.7601447405266128</v>
      </c>
      <c r="BG54" s="155">
        <f t="shared" si="15"/>
        <v>51.793116170785254</v>
      </c>
      <c r="BH54" s="155">
        <f t="shared" si="16"/>
        <v>197.14667285758506</v>
      </c>
      <c r="BI54" s="155">
        <f t="shared" si="17"/>
        <v>201.28675298759433</v>
      </c>
      <c r="BJ54" s="155">
        <f t="shared" si="18"/>
        <v>205.51377480033375</v>
      </c>
      <c r="BK54" s="155">
        <f t="shared" si="19"/>
        <v>209.82956407114077</v>
      </c>
      <c r="BL54" s="155">
        <f t="shared" si="20"/>
        <v>214.23598491663472</v>
      </c>
      <c r="BM54" s="155">
        <f t="shared" si="21"/>
        <v>218.73494059988403</v>
      </c>
      <c r="BN54" s="155">
        <f t="shared" si="22"/>
        <v>223.32837435248155</v>
      </c>
      <c r="BO54" s="155">
        <f t="shared" si="23"/>
        <v>228.0182702138836</v>
      </c>
      <c r="BP54" s="155">
        <f t="shared" si="24"/>
        <v>164.29206708722356</v>
      </c>
      <c r="BR54" s="206" t="s">
        <v>277</v>
      </c>
      <c r="BS54" s="155">
        <f t="shared" si="27"/>
        <v>20.826047142577426</v>
      </c>
      <c r="BT54" s="155">
        <f t="shared" si="28"/>
        <v>2</v>
      </c>
    </row>
    <row r="55" spans="1:72">
      <c r="A55" s="155" t="s">
        <v>232</v>
      </c>
      <c r="B55" s="155" t="s">
        <v>1173</v>
      </c>
      <c r="C55" s="155" t="s">
        <v>208</v>
      </c>
      <c r="D55" s="155">
        <v>1.5</v>
      </c>
      <c r="E55" s="189">
        <v>0</v>
      </c>
      <c r="F55" s="67">
        <v>0</v>
      </c>
      <c r="G55" s="67">
        <v>20</v>
      </c>
      <c r="H55" s="67">
        <v>1055.21</v>
      </c>
      <c r="I55" s="67">
        <v>0</v>
      </c>
      <c r="J55" s="67">
        <v>0</v>
      </c>
      <c r="K55" s="67">
        <v>0</v>
      </c>
      <c r="L55" s="67">
        <v>0</v>
      </c>
      <c r="M55" s="67">
        <v>0</v>
      </c>
      <c r="N55" s="67">
        <v>0</v>
      </c>
      <c r="O55" s="67">
        <v>0</v>
      </c>
      <c r="Q55" s="202" t="s">
        <v>232</v>
      </c>
      <c r="R55" s="202" t="s">
        <v>1173</v>
      </c>
      <c r="S55" s="202" t="s">
        <v>208</v>
      </c>
      <c r="U55" s="155"/>
      <c r="V55" s="155"/>
      <c r="W55" s="155"/>
      <c r="X55" s="155"/>
      <c r="Y55" s="155"/>
      <c r="Z55" s="155"/>
      <c r="AA55" s="155"/>
      <c r="AB55" s="155"/>
      <c r="AC55" s="155"/>
      <c r="AE55" s="76">
        <f t="shared" si="4"/>
        <v>0</v>
      </c>
      <c r="AF55" s="76">
        <f t="shared" si="5"/>
        <v>0</v>
      </c>
      <c r="AG55" s="76">
        <f t="shared" si="6"/>
        <v>0</v>
      </c>
      <c r="AH55" s="76">
        <f t="shared" si="7"/>
        <v>0</v>
      </c>
      <c r="AI55" s="76">
        <f t="shared" si="8"/>
        <v>0</v>
      </c>
      <c r="AJ55" s="76">
        <f t="shared" si="9"/>
        <v>0</v>
      </c>
      <c r="AK55" s="76">
        <f t="shared" si="10"/>
        <v>0</v>
      </c>
      <c r="AL55" s="76">
        <f t="shared" si="11"/>
        <v>0</v>
      </c>
      <c r="AM55" s="76">
        <f t="shared" si="12"/>
        <v>0</v>
      </c>
      <c r="AN55" s="76">
        <f t="shared" si="13"/>
        <v>0</v>
      </c>
      <c r="AP55" s="202" t="s">
        <v>232</v>
      </c>
      <c r="AQ55" s="202" t="s">
        <v>208</v>
      </c>
      <c r="AR55" s="155" cm="1">
        <f t="array" ref="AR55">_xlfn.IFS($AQ55=$AP$1,$AQ$1*AE55,$AQ55=$AP$2,$AQ$2*AE55,$AQ55=$AP$3,$AQ$3*AE55,$AQ55=$AP$4,$AQ$4*AE55)</f>
        <v>0</v>
      </c>
      <c r="AS55" s="155" cm="1">
        <f t="array" ref="AS55">_xlfn.IFS($AQ55=$AP$1,$AQ$1*AF55,$AQ55=$AP$2,$AQ$2*AF55,$AQ55=$AP$3,$AQ$3*AF55,$AQ55=$AP$4,$AQ$4*AF55)</f>
        <v>0</v>
      </c>
      <c r="AT55" s="155" cm="1">
        <f t="array" ref="AT55">_xlfn.IFS($AQ55=$AP$1,$AQ$1*AG55,$AQ55=$AP$2,$AQ$2*AG55,$AQ55=$AP$3,$AQ$3*AG55,$AQ55=$AP$4,$AQ$4*AG55)</f>
        <v>0</v>
      </c>
      <c r="AU55" s="155" cm="1">
        <f t="array" ref="AU55">_xlfn.IFS($AQ55=$AP$1,$AQ$1*AH55,$AQ55=$AP$2,$AQ$2*AH55,$AQ55=$AP$3,$AQ$3*AH55,$AQ55=$AP$4,$AQ$4*AH55)</f>
        <v>0</v>
      </c>
      <c r="AV55" s="155" cm="1">
        <f t="array" ref="AV55">_xlfn.IFS($AQ55=$AP$1,$AQ$1*AI55,$AQ55=$AP$2,$AQ$2*AI55,$AQ55=$AP$3,$AQ$3*AI55,$AQ55=$AP$4,$AQ$4*AI55)</f>
        <v>0</v>
      </c>
      <c r="AW55" s="155" cm="1">
        <f t="array" ref="AW55">_xlfn.IFS($AQ55=$AP$1,$AQ$1*AJ55,$AQ55=$AP$2,$AQ$2*AJ55,$AQ55=$AP$3,$AQ$3*AJ55,$AQ55=$AP$4,$AQ$4*AJ55)</f>
        <v>0</v>
      </c>
      <c r="AX55" s="155" cm="1">
        <f t="array" ref="AX55">_xlfn.IFS($AQ55=$AP$1,$AQ$1*AK55,$AQ55=$AP$2,$AQ$2*AK55,$AQ55=$AP$3,$AQ$3*AK55,$AQ55=$AP$4,$AQ$4*AK55)</f>
        <v>0</v>
      </c>
      <c r="AY55" s="155" cm="1">
        <f t="array" ref="AY55">_xlfn.IFS($AQ55=$AP$1,$AQ$1*AL55,$AQ55=$AP$2,$AQ$2*AL55,$AQ55=$AP$3,$AQ$3*AL55,$AQ55=$AP$4,$AQ$4*AL55)</f>
        <v>0</v>
      </c>
      <c r="AZ55" s="155" cm="1">
        <f t="array" ref="AZ55">_xlfn.IFS($AQ55=$AP$1,$AQ$1*AM55,$AQ55=$AP$2,$AQ$2*AM55,$AQ55=$AP$3,$AQ$3*AM55,$AQ55=$AP$4,$AQ$4*AM55)</f>
        <v>0</v>
      </c>
      <c r="BA55" s="155" cm="1">
        <f t="array" ref="BA55">_xlfn.IFS($AQ55=$AP$1,$AQ$1*AN55,$AQ55=$AP$2,$AQ$2*AN55,$AQ55=$AP$3,$AQ$3*AN55,$AQ55=$AP$4,$AQ$4*AN55)</f>
        <v>0</v>
      </c>
      <c r="BB55" s="155"/>
      <c r="BC55" s="155" t="str">
        <f>Table2[[#This Row],[FN Parent  '#]]</f>
        <v>FN011227</v>
      </c>
      <c r="BD55" s="155">
        <f t="shared" si="25"/>
        <v>0</v>
      </c>
      <c r="BF55" s="155" t="str">
        <f t="shared" si="14"/>
        <v/>
      </c>
      <c r="BG55" s="155" t="str">
        <f t="shared" si="15"/>
        <v/>
      </c>
      <c r="BH55" s="155" t="str">
        <f t="shared" si="16"/>
        <v/>
      </c>
      <c r="BI55" s="155" t="str">
        <f t="shared" si="17"/>
        <v/>
      </c>
      <c r="BJ55" s="155" t="str">
        <f t="shared" si="18"/>
        <v/>
      </c>
      <c r="BK55" s="155" t="str">
        <f t="shared" si="19"/>
        <v/>
      </c>
      <c r="BL55" s="155" t="str">
        <f t="shared" si="20"/>
        <v/>
      </c>
      <c r="BM55" s="155" t="str">
        <f t="shared" si="21"/>
        <v/>
      </c>
      <c r="BN55" s="155" t="str">
        <f t="shared" si="22"/>
        <v/>
      </c>
      <c r="BO55" s="155" t="str">
        <f t="shared" si="23"/>
        <v/>
      </c>
      <c r="BP55" s="155">
        <f t="shared" si="24"/>
        <v>0</v>
      </c>
      <c r="BR55" s="206" t="s">
        <v>279</v>
      </c>
      <c r="BS55" s="155">
        <f t="shared" si="27"/>
        <v>9.4470293697795533</v>
      </c>
      <c r="BT55" s="155">
        <f t="shared" si="28"/>
        <v>5</v>
      </c>
    </row>
    <row r="56" spans="1:72">
      <c r="A56" s="155" t="s">
        <v>232</v>
      </c>
      <c r="B56" s="155" t="s">
        <v>1173</v>
      </c>
      <c r="C56" s="155" t="s">
        <v>208</v>
      </c>
      <c r="D56" s="155">
        <v>1.5</v>
      </c>
      <c r="E56" s="189">
        <v>0</v>
      </c>
      <c r="F56" s="67">
        <v>0</v>
      </c>
      <c r="G56" s="67">
        <v>20</v>
      </c>
      <c r="H56" s="67">
        <v>414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Q56" s="201" t="s">
        <v>232</v>
      </c>
      <c r="R56" s="201" t="s">
        <v>1173</v>
      </c>
      <c r="S56" s="201" t="s">
        <v>208</v>
      </c>
      <c r="U56" s="155"/>
      <c r="V56" s="155"/>
      <c r="W56" s="155"/>
      <c r="X56" s="155"/>
      <c r="Y56" s="155"/>
      <c r="Z56" s="155"/>
      <c r="AA56" s="155"/>
      <c r="AB56" s="155"/>
      <c r="AC56" s="155"/>
      <c r="AE56" s="76">
        <f t="shared" si="4"/>
        <v>0</v>
      </c>
      <c r="AF56" s="76">
        <f t="shared" si="5"/>
        <v>0</v>
      </c>
      <c r="AG56" s="76">
        <f t="shared" si="6"/>
        <v>0</v>
      </c>
      <c r="AH56" s="76">
        <f t="shared" si="7"/>
        <v>0</v>
      </c>
      <c r="AI56" s="76">
        <f t="shared" si="8"/>
        <v>0</v>
      </c>
      <c r="AJ56" s="76">
        <f t="shared" si="9"/>
        <v>0</v>
      </c>
      <c r="AK56" s="76">
        <f t="shared" si="10"/>
        <v>0</v>
      </c>
      <c r="AL56" s="76">
        <f t="shared" si="11"/>
        <v>0</v>
      </c>
      <c r="AM56" s="76">
        <f t="shared" si="12"/>
        <v>0</v>
      </c>
      <c r="AN56" s="76">
        <f t="shared" si="13"/>
        <v>0</v>
      </c>
      <c r="AP56" s="201" t="s">
        <v>232</v>
      </c>
      <c r="AQ56" s="201" t="s">
        <v>208</v>
      </c>
      <c r="AR56" s="155" cm="1">
        <f t="array" ref="AR56">_xlfn.IFS($AQ56=$AP$1,$AQ$1*AE56,$AQ56=$AP$2,$AQ$2*AE56,$AQ56=$AP$3,$AQ$3*AE56,$AQ56=$AP$4,$AQ$4*AE56)</f>
        <v>0</v>
      </c>
      <c r="AS56" s="155" cm="1">
        <f t="array" ref="AS56">_xlfn.IFS($AQ56=$AP$1,$AQ$1*AF56,$AQ56=$AP$2,$AQ$2*AF56,$AQ56=$AP$3,$AQ$3*AF56,$AQ56=$AP$4,$AQ$4*AF56)</f>
        <v>0</v>
      </c>
      <c r="AT56" s="155" cm="1">
        <f t="array" ref="AT56">_xlfn.IFS($AQ56=$AP$1,$AQ$1*AG56,$AQ56=$AP$2,$AQ$2*AG56,$AQ56=$AP$3,$AQ$3*AG56,$AQ56=$AP$4,$AQ$4*AG56)</f>
        <v>0</v>
      </c>
      <c r="AU56" s="155" cm="1">
        <f t="array" ref="AU56">_xlfn.IFS($AQ56=$AP$1,$AQ$1*AH56,$AQ56=$AP$2,$AQ$2*AH56,$AQ56=$AP$3,$AQ$3*AH56,$AQ56=$AP$4,$AQ$4*AH56)</f>
        <v>0</v>
      </c>
      <c r="AV56" s="155" cm="1">
        <f t="array" ref="AV56">_xlfn.IFS($AQ56=$AP$1,$AQ$1*AI56,$AQ56=$AP$2,$AQ$2*AI56,$AQ56=$AP$3,$AQ$3*AI56,$AQ56=$AP$4,$AQ$4*AI56)</f>
        <v>0</v>
      </c>
      <c r="AW56" s="155" cm="1">
        <f t="array" ref="AW56">_xlfn.IFS($AQ56=$AP$1,$AQ$1*AJ56,$AQ56=$AP$2,$AQ$2*AJ56,$AQ56=$AP$3,$AQ$3*AJ56,$AQ56=$AP$4,$AQ$4*AJ56)</f>
        <v>0</v>
      </c>
      <c r="AX56" s="155" cm="1">
        <f t="array" ref="AX56">_xlfn.IFS($AQ56=$AP$1,$AQ$1*AK56,$AQ56=$AP$2,$AQ$2*AK56,$AQ56=$AP$3,$AQ$3*AK56,$AQ56=$AP$4,$AQ$4*AK56)</f>
        <v>0</v>
      </c>
      <c r="AY56" s="155" cm="1">
        <f t="array" ref="AY56">_xlfn.IFS($AQ56=$AP$1,$AQ$1*AL56,$AQ56=$AP$2,$AQ$2*AL56,$AQ56=$AP$3,$AQ$3*AL56,$AQ56=$AP$4,$AQ$4*AL56)</f>
        <v>0</v>
      </c>
      <c r="AZ56" s="155" cm="1">
        <f t="array" ref="AZ56">_xlfn.IFS($AQ56=$AP$1,$AQ$1*AM56,$AQ56=$AP$2,$AQ$2*AM56,$AQ56=$AP$3,$AQ$3*AM56,$AQ56=$AP$4,$AQ$4*AM56)</f>
        <v>0</v>
      </c>
      <c r="BA56" s="155" cm="1">
        <f t="array" ref="BA56">_xlfn.IFS($AQ56=$AP$1,$AQ$1*AN56,$AQ56=$AP$2,$AQ$2*AN56,$AQ56=$AP$3,$AQ$3*AN56,$AQ56=$AP$4,$AQ$4*AN56)</f>
        <v>0</v>
      </c>
      <c r="BB56" s="155"/>
      <c r="BC56" s="155" t="str">
        <f>Table2[[#This Row],[FN Parent  '#]]</f>
        <v>FN011227</v>
      </c>
      <c r="BD56" s="155">
        <f t="shared" si="25"/>
        <v>0</v>
      </c>
      <c r="BF56" s="155" t="str">
        <f t="shared" si="14"/>
        <v/>
      </c>
      <c r="BG56" s="155" t="str">
        <f t="shared" si="15"/>
        <v/>
      </c>
      <c r="BH56" s="155" t="str">
        <f t="shared" si="16"/>
        <v/>
      </c>
      <c r="BI56" s="155" t="str">
        <f t="shared" si="17"/>
        <v/>
      </c>
      <c r="BJ56" s="155" t="str">
        <f t="shared" si="18"/>
        <v/>
      </c>
      <c r="BK56" s="155" t="str">
        <f t="shared" si="19"/>
        <v/>
      </c>
      <c r="BL56" s="155" t="str">
        <f t="shared" si="20"/>
        <v/>
      </c>
      <c r="BM56" s="155" t="str">
        <f t="shared" si="21"/>
        <v/>
      </c>
      <c r="BN56" s="155" t="str">
        <f t="shared" si="22"/>
        <v/>
      </c>
      <c r="BO56" s="155" t="str">
        <f t="shared" si="23"/>
        <v/>
      </c>
      <c r="BP56" s="155">
        <f t="shared" si="24"/>
        <v>0</v>
      </c>
      <c r="BR56" s="206" t="s">
        <v>234</v>
      </c>
      <c r="BS56" s="155">
        <f t="shared" si="27"/>
        <v>90.013243054804789</v>
      </c>
      <c r="BT56" s="155">
        <f t="shared" si="28"/>
        <v>4</v>
      </c>
    </row>
    <row r="57" spans="1:72">
      <c r="A57" s="155" t="s">
        <v>232</v>
      </c>
      <c r="B57" s="155" t="s">
        <v>1276</v>
      </c>
      <c r="C57" s="155" t="s">
        <v>207</v>
      </c>
      <c r="D57" s="155">
        <v>24.6</v>
      </c>
      <c r="E57" s="189">
        <v>0</v>
      </c>
      <c r="F57" s="67">
        <v>0</v>
      </c>
      <c r="G57" s="67">
        <v>0</v>
      </c>
      <c r="H57" s="67">
        <v>0</v>
      </c>
      <c r="I57" s="67">
        <v>0</v>
      </c>
      <c r="J57" s="67">
        <v>0</v>
      </c>
      <c r="K57" s="67">
        <v>110.25</v>
      </c>
      <c r="L57" s="67">
        <v>915.07500000000005</v>
      </c>
      <c r="M57" s="67">
        <v>529.20000000000005</v>
      </c>
      <c r="N57" s="67">
        <v>838.13099999999997</v>
      </c>
      <c r="O57" s="67">
        <v>5990.3649999999998</v>
      </c>
      <c r="Q57" s="202" t="s">
        <v>232</v>
      </c>
      <c r="R57" s="202" t="s">
        <v>1276</v>
      </c>
      <c r="S57" s="202" t="s">
        <v>207</v>
      </c>
      <c r="T57" s="76">
        <f>SUM($E57:F60)</f>
        <v>0</v>
      </c>
      <c r="U57" s="76">
        <f>SUM($E57:G60)</f>
        <v>0</v>
      </c>
      <c r="V57" s="76">
        <f>SUM($E57:H60)</f>
        <v>0</v>
      </c>
      <c r="W57" s="76">
        <f>SUM($E57:I60)</f>
        <v>320</v>
      </c>
      <c r="X57" s="76">
        <f>SUM($E57:J60)</f>
        <v>3504</v>
      </c>
      <c r="Y57" s="76">
        <f>SUM($E57:K60)</f>
        <v>5151.25</v>
      </c>
      <c r="Z57" s="76">
        <f>SUM($E57:L60)</f>
        <v>16895.325000000001</v>
      </c>
      <c r="AA57" s="76">
        <f>SUM($E57:M60)</f>
        <v>31448.385999999999</v>
      </c>
      <c r="AB57" s="76">
        <f>SUM($E57:N60)</f>
        <v>39158.28</v>
      </c>
      <c r="AC57" s="76">
        <f>SUM($E57:O60)</f>
        <v>50153.601000000002</v>
      </c>
      <c r="AE57" s="76">
        <f t="shared" si="4"/>
        <v>0</v>
      </c>
      <c r="AF57" s="76">
        <f t="shared" si="5"/>
        <v>0</v>
      </c>
      <c r="AG57" s="76">
        <f t="shared" si="6"/>
        <v>0</v>
      </c>
      <c r="AH57" s="76">
        <f t="shared" si="7"/>
        <v>340.58632351999989</v>
      </c>
      <c r="AI57" s="76">
        <f t="shared" si="8"/>
        <v>3807.7380676374223</v>
      </c>
      <c r="AJ57" s="76">
        <f t="shared" si="9"/>
        <v>5715.3303499019776</v>
      </c>
      <c r="AK57" s="76">
        <f t="shared" si="10"/>
        <v>19139.077579729335</v>
      </c>
      <c r="AL57" s="76">
        <f t="shared" si="11"/>
        <v>36372.952547459761</v>
      </c>
      <c r="AM57" s="76">
        <f t="shared" si="12"/>
        <v>46241.247730361276</v>
      </c>
      <c r="AN57" s="76">
        <f t="shared" si="13"/>
        <v>60469.141016084446</v>
      </c>
      <c r="AP57" s="202" t="s">
        <v>232</v>
      </c>
      <c r="AQ57" s="202" t="s">
        <v>207</v>
      </c>
      <c r="AR57" s="155" cm="1">
        <f t="array" ref="AR57">_xlfn.IFS($AQ57=$AP$1,$AQ$1*AE57,$AQ57=$AP$2,$AQ$2*AE57,$AQ57=$AP$3,$AQ$3*AE57,$AQ57=$AP$4,$AQ$4*AE57)</f>
        <v>0</v>
      </c>
      <c r="AS57" s="155" cm="1">
        <f t="array" ref="AS57">_xlfn.IFS($AQ57=$AP$1,$AQ$1*AF57,$AQ57=$AP$2,$AQ$2*AF57,$AQ57=$AP$3,$AQ$3*AF57,$AQ57=$AP$4,$AQ$4*AF57)</f>
        <v>0</v>
      </c>
      <c r="AT57" s="155" cm="1">
        <f t="array" ref="AT57">_xlfn.IFS($AQ57=$AP$1,$AQ$1*AG57,$AQ57=$AP$2,$AQ$2*AG57,$AQ57=$AP$3,$AQ$3*AG57,$AQ57=$AP$4,$AQ$4*AG57)</f>
        <v>0</v>
      </c>
      <c r="AU57" s="155" cm="1">
        <f t="array" ref="AU57">_xlfn.IFS($AQ57=$AP$1,$AQ$1*AH57,$AQ57=$AP$2,$AQ$2*AH57,$AQ57=$AP$3,$AQ$3*AH57,$AQ57=$AP$4,$AQ$4*AH57)</f>
        <v>27.448562913254044</v>
      </c>
      <c r="AV57" s="155" cm="1">
        <f t="array" ref="AV57">_xlfn.IFS($AQ57=$AP$1,$AQ$1*AI57,$AQ57=$AP$2,$AQ$2*AI57,$AQ57=$AP$3,$AQ$3*AI57,$AQ57=$AP$4,$AQ$4*AI57)</f>
        <v>306.87356094203449</v>
      </c>
      <c r="AW57" s="155" cm="1">
        <f t="array" ref="AW57">_xlfn.IFS($AQ57=$AP$1,$AQ$1*AJ57,$AQ57=$AP$2,$AQ$2*AJ57,$AQ57=$AP$3,$AQ$3*AJ57,$AQ57=$AP$4,$AQ$4*AJ57)</f>
        <v>460.61040577896995</v>
      </c>
      <c r="AX57" s="155" cm="1">
        <f t="array" ref="AX57">_xlfn.IFS($AQ57=$AP$1,$AQ$1*AK57,$AQ57=$AP$2,$AQ$2*AK57,$AQ57=$AP$3,$AQ$3*AK57,$AQ57=$AP$4,$AQ$4*AK57)</f>
        <v>1542.458222101809</v>
      </c>
      <c r="AY57" s="155" cm="1">
        <f t="array" ref="AY57">_xlfn.IFS($AQ57=$AP$1,$AQ$1*AL57,$AQ57=$AP$2,$AQ$2*AL57,$AQ57=$AP$3,$AQ$3*AL57,$AQ57=$AP$4,$AQ$4*AL57)</f>
        <v>2931.3721878827178</v>
      </c>
      <c r="AZ57" s="155" cm="1">
        <f t="array" ref="AZ57">_xlfn.IFS($AQ57=$AP$1,$AQ$1*AM57,$AQ57=$AP$2,$AQ$2*AM57,$AQ57=$AP$3,$AQ$3*AM57,$AQ57=$AP$4,$AQ$4*AM57)</f>
        <v>3726.6787004136827</v>
      </c>
      <c r="BA57" s="155" cm="1">
        <f t="array" ref="BA57">_xlfn.IFS($AQ57=$AP$1,$AQ$1*AN57,$AQ57=$AP$2,$AQ$2*AN57,$AQ57=$AP$3,$AQ$3*AN57,$AQ57=$AP$4,$AQ$4*AN57)</f>
        <v>4873.3343263355036</v>
      </c>
      <c r="BB57" s="155">
        <f>Table2[[#This Row],[FINAL Project System Capacity (MW)]]</f>
        <v>24.6</v>
      </c>
      <c r="BC57" s="155" t="str">
        <f>Table2[[#This Row],[FN Parent  '#]]</f>
        <v>FN012140</v>
      </c>
      <c r="BD57" s="155">
        <f t="shared" si="25"/>
        <v>24.6</v>
      </c>
      <c r="BE57" s="155">
        <f t="shared" si="26"/>
        <v>24.6</v>
      </c>
      <c r="BF57" s="155">
        <f t="shared" si="14"/>
        <v>0</v>
      </c>
      <c r="BG57" s="155">
        <f t="shared" si="15"/>
        <v>0</v>
      </c>
      <c r="BH57" s="155">
        <f t="shared" si="16"/>
        <v>0</v>
      </c>
      <c r="BI57" s="155">
        <f t="shared" si="17"/>
        <v>1.1157952403761806</v>
      </c>
      <c r="BJ57" s="155">
        <f t="shared" si="18"/>
        <v>12.474534997643678</v>
      </c>
      <c r="BK57" s="155">
        <f t="shared" si="19"/>
        <v>18.724000234917476</v>
      </c>
      <c r="BL57" s="155">
        <f t="shared" si="20"/>
        <v>62.701553743975971</v>
      </c>
      <c r="BM57" s="155">
        <f t="shared" si="21"/>
        <v>119.16147105214299</v>
      </c>
      <c r="BN57" s="155">
        <f t="shared" si="22"/>
        <v>151.491004081857</v>
      </c>
      <c r="BO57" s="155">
        <f t="shared" si="23"/>
        <v>198.10302139575217</v>
      </c>
      <c r="BP57" s="155">
        <f t="shared" si="24"/>
        <v>44.866854460667916</v>
      </c>
      <c r="BR57" s="206" t="s">
        <v>280</v>
      </c>
      <c r="BS57" s="155">
        <f t="shared" si="27"/>
        <v>52.12973064640785</v>
      </c>
      <c r="BT57" s="155">
        <f t="shared" si="28"/>
        <v>15</v>
      </c>
    </row>
    <row r="58" spans="1:72">
      <c r="A58" s="155" t="s">
        <v>232</v>
      </c>
      <c r="B58" s="155" t="s">
        <v>1276</v>
      </c>
      <c r="C58" s="155" t="s">
        <v>207</v>
      </c>
      <c r="D58" s="155">
        <v>24.6</v>
      </c>
      <c r="E58" s="189">
        <v>0</v>
      </c>
      <c r="F58" s="67">
        <v>0</v>
      </c>
      <c r="G58" s="67">
        <v>0</v>
      </c>
      <c r="H58" s="67">
        <v>0</v>
      </c>
      <c r="I58" s="67">
        <v>105</v>
      </c>
      <c r="J58" s="67">
        <v>872</v>
      </c>
      <c r="K58" s="67">
        <v>504</v>
      </c>
      <c r="L58" s="67">
        <v>3699</v>
      </c>
      <c r="M58" s="67">
        <v>2804</v>
      </c>
      <c r="N58" s="67">
        <v>291.10399999999998</v>
      </c>
      <c r="O58" s="67">
        <v>0</v>
      </c>
      <c r="Q58" s="201" t="s">
        <v>232</v>
      </c>
      <c r="R58" s="201" t="s">
        <v>1276</v>
      </c>
      <c r="S58" s="201" t="s">
        <v>207</v>
      </c>
      <c r="U58" s="155"/>
      <c r="V58" s="155"/>
      <c r="W58" s="155"/>
      <c r="X58" s="155"/>
      <c r="Y58" s="155"/>
      <c r="Z58" s="155"/>
      <c r="AA58" s="155"/>
      <c r="AB58" s="155"/>
      <c r="AC58" s="155"/>
      <c r="AE58" s="76">
        <f t="shared" si="4"/>
        <v>0</v>
      </c>
      <c r="AF58" s="76">
        <f t="shared" si="5"/>
        <v>0</v>
      </c>
      <c r="AG58" s="76">
        <f t="shared" si="6"/>
        <v>0</v>
      </c>
      <c r="AH58" s="76">
        <f t="shared" si="7"/>
        <v>0</v>
      </c>
      <c r="AI58" s="76">
        <f t="shared" si="8"/>
        <v>0</v>
      </c>
      <c r="AJ58" s="76">
        <f t="shared" si="9"/>
        <v>0</v>
      </c>
      <c r="AK58" s="76">
        <f t="shared" si="10"/>
        <v>0</v>
      </c>
      <c r="AL58" s="76">
        <f t="shared" si="11"/>
        <v>0</v>
      </c>
      <c r="AM58" s="76">
        <f t="shared" si="12"/>
        <v>0</v>
      </c>
      <c r="AN58" s="76">
        <f t="shared" si="13"/>
        <v>0</v>
      </c>
      <c r="AP58" s="201" t="s">
        <v>232</v>
      </c>
      <c r="AQ58" s="201" t="s">
        <v>207</v>
      </c>
      <c r="AR58" s="155" cm="1">
        <f t="array" ref="AR58">_xlfn.IFS($AQ58=$AP$1,$AQ$1*AE58,$AQ58=$AP$2,$AQ$2*AE58,$AQ58=$AP$3,$AQ$3*AE58,$AQ58=$AP$4,$AQ$4*AE58)</f>
        <v>0</v>
      </c>
      <c r="AS58" s="155" cm="1">
        <f t="array" ref="AS58">_xlfn.IFS($AQ58=$AP$1,$AQ$1*AF58,$AQ58=$AP$2,$AQ$2*AF58,$AQ58=$AP$3,$AQ$3*AF58,$AQ58=$AP$4,$AQ$4*AF58)</f>
        <v>0</v>
      </c>
      <c r="AT58" s="155" cm="1">
        <f t="array" ref="AT58">_xlfn.IFS($AQ58=$AP$1,$AQ$1*AG58,$AQ58=$AP$2,$AQ$2*AG58,$AQ58=$AP$3,$AQ$3*AG58,$AQ58=$AP$4,$AQ$4*AG58)</f>
        <v>0</v>
      </c>
      <c r="AU58" s="155" cm="1">
        <f t="array" ref="AU58">_xlfn.IFS($AQ58=$AP$1,$AQ$1*AH58,$AQ58=$AP$2,$AQ$2*AH58,$AQ58=$AP$3,$AQ$3*AH58,$AQ58=$AP$4,$AQ$4*AH58)</f>
        <v>0</v>
      </c>
      <c r="AV58" s="155" cm="1">
        <f t="array" ref="AV58">_xlfn.IFS($AQ58=$AP$1,$AQ$1*AI58,$AQ58=$AP$2,$AQ$2*AI58,$AQ58=$AP$3,$AQ$3*AI58,$AQ58=$AP$4,$AQ$4*AI58)</f>
        <v>0</v>
      </c>
      <c r="AW58" s="155" cm="1">
        <f t="array" ref="AW58">_xlfn.IFS($AQ58=$AP$1,$AQ$1*AJ58,$AQ58=$AP$2,$AQ$2*AJ58,$AQ58=$AP$3,$AQ$3*AJ58,$AQ58=$AP$4,$AQ$4*AJ58)</f>
        <v>0</v>
      </c>
      <c r="AX58" s="155" cm="1">
        <f t="array" ref="AX58">_xlfn.IFS($AQ58=$AP$1,$AQ$1*AK58,$AQ58=$AP$2,$AQ$2*AK58,$AQ58=$AP$3,$AQ$3*AK58,$AQ58=$AP$4,$AQ$4*AK58)</f>
        <v>0</v>
      </c>
      <c r="AY58" s="155" cm="1">
        <f t="array" ref="AY58">_xlfn.IFS($AQ58=$AP$1,$AQ$1*AL58,$AQ58=$AP$2,$AQ$2*AL58,$AQ58=$AP$3,$AQ$3*AL58,$AQ58=$AP$4,$AQ$4*AL58)</f>
        <v>0</v>
      </c>
      <c r="AZ58" s="155" cm="1">
        <f t="array" ref="AZ58">_xlfn.IFS($AQ58=$AP$1,$AQ$1*AM58,$AQ58=$AP$2,$AQ$2*AM58,$AQ58=$AP$3,$AQ$3*AM58,$AQ58=$AP$4,$AQ$4*AM58)</f>
        <v>0</v>
      </c>
      <c r="BA58" s="155" cm="1">
        <f t="array" ref="BA58">_xlfn.IFS($AQ58=$AP$1,$AQ$1*AN58,$AQ58=$AP$2,$AQ$2*AN58,$AQ58=$AP$3,$AQ$3*AN58,$AQ58=$AP$4,$AQ$4*AN58)</f>
        <v>0</v>
      </c>
      <c r="BB58" s="155"/>
      <c r="BC58" s="155" t="str">
        <f>Table2[[#This Row],[FN Parent  '#]]</f>
        <v>FN012140</v>
      </c>
      <c r="BD58" s="155">
        <f t="shared" si="25"/>
        <v>0</v>
      </c>
      <c r="BF58" s="155" t="str">
        <f t="shared" si="14"/>
        <v/>
      </c>
      <c r="BG58" s="155" t="str">
        <f t="shared" si="15"/>
        <v/>
      </c>
      <c r="BH58" s="155" t="str">
        <f t="shared" si="16"/>
        <v/>
      </c>
      <c r="BI58" s="155" t="str">
        <f t="shared" si="17"/>
        <v/>
      </c>
      <c r="BJ58" s="155" t="str">
        <f t="shared" si="18"/>
        <v/>
      </c>
      <c r="BK58" s="155" t="str">
        <f t="shared" si="19"/>
        <v/>
      </c>
      <c r="BL58" s="155" t="str">
        <f t="shared" si="20"/>
        <v/>
      </c>
      <c r="BM58" s="155" t="str">
        <f t="shared" si="21"/>
        <v/>
      </c>
      <c r="BN58" s="155" t="str">
        <f t="shared" si="22"/>
        <v/>
      </c>
      <c r="BO58" s="155" t="str">
        <f t="shared" si="23"/>
        <v/>
      </c>
      <c r="BP58" s="155">
        <f t="shared" si="24"/>
        <v>0</v>
      </c>
      <c r="BR58" s="206" t="s">
        <v>282</v>
      </c>
      <c r="BS58" s="155">
        <f t="shared" si="27"/>
        <v>24.520247523324027</v>
      </c>
      <c r="BT58" s="155">
        <f t="shared" si="28"/>
        <v>10</v>
      </c>
    </row>
    <row r="59" spans="1:72">
      <c r="A59" s="155" t="s">
        <v>232</v>
      </c>
      <c r="B59" s="155" t="s">
        <v>1276</v>
      </c>
      <c r="C59" s="155" t="s">
        <v>207</v>
      </c>
      <c r="D59" s="155">
        <v>24.6</v>
      </c>
      <c r="E59" s="189">
        <v>0</v>
      </c>
      <c r="F59" s="67">
        <v>0</v>
      </c>
      <c r="G59" s="67">
        <v>0</v>
      </c>
      <c r="H59" s="67">
        <v>0</v>
      </c>
      <c r="I59" s="67">
        <v>105</v>
      </c>
      <c r="J59" s="67">
        <v>1397</v>
      </c>
      <c r="K59" s="67">
        <v>504</v>
      </c>
      <c r="L59" s="67">
        <v>3246</v>
      </c>
      <c r="M59" s="67">
        <v>8274.8610000000008</v>
      </c>
      <c r="N59" s="67">
        <v>6275</v>
      </c>
      <c r="O59" s="67">
        <v>5004.9560000000001</v>
      </c>
      <c r="Q59" s="202" t="s">
        <v>232</v>
      </c>
      <c r="R59" s="202" t="s">
        <v>1276</v>
      </c>
      <c r="S59" s="202" t="s">
        <v>207</v>
      </c>
      <c r="U59" s="155"/>
      <c r="V59" s="155"/>
      <c r="W59" s="155"/>
      <c r="X59" s="155"/>
      <c r="Y59" s="155"/>
      <c r="Z59" s="155"/>
      <c r="AA59" s="155"/>
      <c r="AB59" s="155"/>
      <c r="AC59" s="155"/>
      <c r="AE59" s="76">
        <f t="shared" si="4"/>
        <v>0</v>
      </c>
      <c r="AF59" s="76">
        <f t="shared" si="5"/>
        <v>0</v>
      </c>
      <c r="AG59" s="76">
        <f t="shared" si="6"/>
        <v>0</v>
      </c>
      <c r="AH59" s="76">
        <f t="shared" si="7"/>
        <v>0</v>
      </c>
      <c r="AI59" s="76">
        <f t="shared" si="8"/>
        <v>0</v>
      </c>
      <c r="AJ59" s="76">
        <f t="shared" si="9"/>
        <v>0</v>
      </c>
      <c r="AK59" s="76">
        <f t="shared" si="10"/>
        <v>0</v>
      </c>
      <c r="AL59" s="76">
        <f t="shared" si="11"/>
        <v>0</v>
      </c>
      <c r="AM59" s="76">
        <f t="shared" si="12"/>
        <v>0</v>
      </c>
      <c r="AN59" s="76">
        <f t="shared" si="13"/>
        <v>0</v>
      </c>
      <c r="AP59" s="202" t="s">
        <v>232</v>
      </c>
      <c r="AQ59" s="202" t="s">
        <v>207</v>
      </c>
      <c r="AR59" s="155" cm="1">
        <f t="array" ref="AR59">_xlfn.IFS($AQ59=$AP$1,$AQ$1*AE59,$AQ59=$AP$2,$AQ$2*AE59,$AQ59=$AP$3,$AQ$3*AE59,$AQ59=$AP$4,$AQ$4*AE59)</f>
        <v>0</v>
      </c>
      <c r="AS59" s="155" cm="1">
        <f t="array" ref="AS59">_xlfn.IFS($AQ59=$AP$1,$AQ$1*AF59,$AQ59=$AP$2,$AQ$2*AF59,$AQ59=$AP$3,$AQ$3*AF59,$AQ59=$AP$4,$AQ$4*AF59)</f>
        <v>0</v>
      </c>
      <c r="AT59" s="155" cm="1">
        <f t="array" ref="AT59">_xlfn.IFS($AQ59=$AP$1,$AQ$1*AG59,$AQ59=$AP$2,$AQ$2*AG59,$AQ59=$AP$3,$AQ$3*AG59,$AQ59=$AP$4,$AQ$4*AG59)</f>
        <v>0</v>
      </c>
      <c r="AU59" s="155" cm="1">
        <f t="array" ref="AU59">_xlfn.IFS($AQ59=$AP$1,$AQ$1*AH59,$AQ59=$AP$2,$AQ$2*AH59,$AQ59=$AP$3,$AQ$3*AH59,$AQ59=$AP$4,$AQ$4*AH59)</f>
        <v>0</v>
      </c>
      <c r="AV59" s="155" cm="1">
        <f t="array" ref="AV59">_xlfn.IFS($AQ59=$AP$1,$AQ$1*AI59,$AQ59=$AP$2,$AQ$2*AI59,$AQ59=$AP$3,$AQ$3*AI59,$AQ59=$AP$4,$AQ$4*AI59)</f>
        <v>0</v>
      </c>
      <c r="AW59" s="155" cm="1">
        <f t="array" ref="AW59">_xlfn.IFS($AQ59=$AP$1,$AQ$1*AJ59,$AQ59=$AP$2,$AQ$2*AJ59,$AQ59=$AP$3,$AQ$3*AJ59,$AQ59=$AP$4,$AQ$4*AJ59)</f>
        <v>0</v>
      </c>
      <c r="AX59" s="155" cm="1">
        <f t="array" ref="AX59">_xlfn.IFS($AQ59=$AP$1,$AQ$1*AK59,$AQ59=$AP$2,$AQ$2*AK59,$AQ59=$AP$3,$AQ$3*AK59,$AQ59=$AP$4,$AQ$4*AK59)</f>
        <v>0</v>
      </c>
      <c r="AY59" s="155" cm="1">
        <f t="array" ref="AY59">_xlfn.IFS($AQ59=$AP$1,$AQ$1*AL59,$AQ59=$AP$2,$AQ$2*AL59,$AQ59=$AP$3,$AQ$3*AL59,$AQ59=$AP$4,$AQ$4*AL59)</f>
        <v>0</v>
      </c>
      <c r="AZ59" s="155" cm="1">
        <f t="array" ref="AZ59">_xlfn.IFS($AQ59=$AP$1,$AQ$1*AM59,$AQ59=$AP$2,$AQ$2*AM59,$AQ59=$AP$3,$AQ$3*AM59,$AQ59=$AP$4,$AQ$4*AM59)</f>
        <v>0</v>
      </c>
      <c r="BA59" s="155" cm="1">
        <f t="array" ref="BA59">_xlfn.IFS($AQ59=$AP$1,$AQ$1*AN59,$AQ59=$AP$2,$AQ$2*AN59,$AQ59=$AP$3,$AQ$3*AN59,$AQ59=$AP$4,$AQ$4*AN59)</f>
        <v>0</v>
      </c>
      <c r="BB59" s="155"/>
      <c r="BC59" s="155" t="str">
        <f>Table2[[#This Row],[FN Parent  '#]]</f>
        <v>FN012140</v>
      </c>
      <c r="BD59" s="155">
        <f t="shared" si="25"/>
        <v>0</v>
      </c>
      <c r="BF59" s="155" t="str">
        <f t="shared" si="14"/>
        <v/>
      </c>
      <c r="BG59" s="155" t="str">
        <f t="shared" si="15"/>
        <v/>
      </c>
      <c r="BH59" s="155" t="str">
        <f t="shared" si="16"/>
        <v/>
      </c>
      <c r="BI59" s="155" t="str">
        <f t="shared" si="17"/>
        <v/>
      </c>
      <c r="BJ59" s="155" t="str">
        <f t="shared" si="18"/>
        <v/>
      </c>
      <c r="BK59" s="155" t="str">
        <f t="shared" si="19"/>
        <v/>
      </c>
      <c r="BL59" s="155" t="str">
        <f t="shared" si="20"/>
        <v/>
      </c>
      <c r="BM59" s="155" t="str">
        <f t="shared" si="21"/>
        <v/>
      </c>
      <c r="BN59" s="155" t="str">
        <f t="shared" si="22"/>
        <v/>
      </c>
      <c r="BO59" s="155" t="str">
        <f t="shared" si="23"/>
        <v/>
      </c>
      <c r="BP59" s="155">
        <f t="shared" si="24"/>
        <v>0</v>
      </c>
      <c r="BR59" s="206" t="s">
        <v>283</v>
      </c>
      <c r="BS59" s="155">
        <f t="shared" si="27"/>
        <v>43.113309495206202</v>
      </c>
      <c r="BT59" s="155">
        <f t="shared" si="28"/>
        <v>15</v>
      </c>
    </row>
    <row r="60" spans="1:72">
      <c r="A60" s="155" t="s">
        <v>232</v>
      </c>
      <c r="B60" s="155" t="s">
        <v>1276</v>
      </c>
      <c r="C60" s="155" t="s">
        <v>207</v>
      </c>
      <c r="D60" s="155">
        <v>24.6</v>
      </c>
      <c r="E60" s="189">
        <v>0</v>
      </c>
      <c r="F60" s="67">
        <v>0</v>
      </c>
      <c r="G60" s="67">
        <v>0</v>
      </c>
      <c r="H60" s="67">
        <v>0</v>
      </c>
      <c r="I60" s="67">
        <v>110</v>
      </c>
      <c r="J60" s="67">
        <v>915</v>
      </c>
      <c r="K60" s="67">
        <v>529</v>
      </c>
      <c r="L60" s="67">
        <v>3884</v>
      </c>
      <c r="M60" s="67">
        <v>2945</v>
      </c>
      <c r="N60" s="67">
        <v>305.65900000000005</v>
      </c>
      <c r="O60" s="67">
        <v>0</v>
      </c>
      <c r="Q60" s="201" t="s">
        <v>232</v>
      </c>
      <c r="R60" s="201" t="s">
        <v>1276</v>
      </c>
      <c r="S60" s="201" t="s">
        <v>207</v>
      </c>
      <c r="U60" s="155"/>
      <c r="V60" s="155"/>
      <c r="W60" s="155"/>
      <c r="X60" s="155"/>
      <c r="Y60" s="155"/>
      <c r="Z60" s="155"/>
      <c r="AA60" s="155"/>
      <c r="AB60" s="155"/>
      <c r="AC60" s="155"/>
      <c r="AE60" s="76">
        <f t="shared" si="4"/>
        <v>0</v>
      </c>
      <c r="AF60" s="76">
        <f t="shared" si="5"/>
        <v>0</v>
      </c>
      <c r="AG60" s="76">
        <f t="shared" si="6"/>
        <v>0</v>
      </c>
      <c r="AH60" s="76">
        <f t="shared" si="7"/>
        <v>0</v>
      </c>
      <c r="AI60" s="76">
        <f t="shared" si="8"/>
        <v>0</v>
      </c>
      <c r="AJ60" s="76">
        <f t="shared" si="9"/>
        <v>0</v>
      </c>
      <c r="AK60" s="76">
        <f t="shared" si="10"/>
        <v>0</v>
      </c>
      <c r="AL60" s="76">
        <f t="shared" si="11"/>
        <v>0</v>
      </c>
      <c r="AM60" s="76">
        <f t="shared" si="12"/>
        <v>0</v>
      </c>
      <c r="AN60" s="76">
        <f t="shared" si="13"/>
        <v>0</v>
      </c>
      <c r="AP60" s="201" t="s">
        <v>232</v>
      </c>
      <c r="AQ60" s="201" t="s">
        <v>207</v>
      </c>
      <c r="AR60" s="155" cm="1">
        <f t="array" ref="AR60">_xlfn.IFS($AQ60=$AP$1,$AQ$1*AE60,$AQ60=$AP$2,$AQ$2*AE60,$AQ60=$AP$3,$AQ$3*AE60,$AQ60=$AP$4,$AQ$4*AE60)</f>
        <v>0</v>
      </c>
      <c r="AS60" s="155" cm="1">
        <f t="array" ref="AS60">_xlfn.IFS($AQ60=$AP$1,$AQ$1*AF60,$AQ60=$AP$2,$AQ$2*AF60,$AQ60=$AP$3,$AQ$3*AF60,$AQ60=$AP$4,$AQ$4*AF60)</f>
        <v>0</v>
      </c>
      <c r="AT60" s="155" cm="1">
        <f t="array" ref="AT60">_xlfn.IFS($AQ60=$AP$1,$AQ$1*AG60,$AQ60=$AP$2,$AQ$2*AG60,$AQ60=$AP$3,$AQ$3*AG60,$AQ60=$AP$4,$AQ$4*AG60)</f>
        <v>0</v>
      </c>
      <c r="AU60" s="155" cm="1">
        <f t="array" ref="AU60">_xlfn.IFS($AQ60=$AP$1,$AQ$1*AH60,$AQ60=$AP$2,$AQ$2*AH60,$AQ60=$AP$3,$AQ$3*AH60,$AQ60=$AP$4,$AQ$4*AH60)</f>
        <v>0</v>
      </c>
      <c r="AV60" s="155" cm="1">
        <f t="array" ref="AV60">_xlfn.IFS($AQ60=$AP$1,$AQ$1*AI60,$AQ60=$AP$2,$AQ$2*AI60,$AQ60=$AP$3,$AQ$3*AI60,$AQ60=$AP$4,$AQ$4*AI60)</f>
        <v>0</v>
      </c>
      <c r="AW60" s="155" cm="1">
        <f t="array" ref="AW60">_xlfn.IFS($AQ60=$AP$1,$AQ$1*AJ60,$AQ60=$AP$2,$AQ$2*AJ60,$AQ60=$AP$3,$AQ$3*AJ60,$AQ60=$AP$4,$AQ$4*AJ60)</f>
        <v>0</v>
      </c>
      <c r="AX60" s="155" cm="1">
        <f t="array" ref="AX60">_xlfn.IFS($AQ60=$AP$1,$AQ$1*AK60,$AQ60=$AP$2,$AQ$2*AK60,$AQ60=$AP$3,$AQ$3*AK60,$AQ60=$AP$4,$AQ$4*AK60)</f>
        <v>0</v>
      </c>
      <c r="AY60" s="155" cm="1">
        <f t="array" ref="AY60">_xlfn.IFS($AQ60=$AP$1,$AQ$1*AL60,$AQ60=$AP$2,$AQ$2*AL60,$AQ60=$AP$3,$AQ$3*AL60,$AQ60=$AP$4,$AQ$4*AL60)</f>
        <v>0</v>
      </c>
      <c r="AZ60" s="155" cm="1">
        <f t="array" ref="AZ60">_xlfn.IFS($AQ60=$AP$1,$AQ$1*AM60,$AQ60=$AP$2,$AQ$2*AM60,$AQ60=$AP$3,$AQ$3*AM60,$AQ60=$AP$4,$AQ$4*AM60)</f>
        <v>0</v>
      </c>
      <c r="BA60" s="155" cm="1">
        <f t="array" ref="BA60">_xlfn.IFS($AQ60=$AP$1,$AQ$1*AN60,$AQ60=$AP$2,$AQ$2*AN60,$AQ60=$AP$3,$AQ$3*AN60,$AQ60=$AP$4,$AQ$4*AN60)</f>
        <v>0</v>
      </c>
      <c r="BB60" s="155"/>
      <c r="BC60" s="155" t="str">
        <f>Table2[[#This Row],[FN Parent  '#]]</f>
        <v>FN012140</v>
      </c>
      <c r="BD60" s="155">
        <f t="shared" si="25"/>
        <v>0</v>
      </c>
      <c r="BF60" s="155" t="str">
        <f t="shared" si="14"/>
        <v/>
      </c>
      <c r="BG60" s="155" t="str">
        <f t="shared" si="15"/>
        <v/>
      </c>
      <c r="BH60" s="155" t="str">
        <f t="shared" si="16"/>
        <v/>
      </c>
      <c r="BI60" s="155" t="str">
        <f t="shared" si="17"/>
        <v/>
      </c>
      <c r="BJ60" s="155" t="str">
        <f t="shared" si="18"/>
        <v/>
      </c>
      <c r="BK60" s="155" t="str">
        <f t="shared" si="19"/>
        <v/>
      </c>
      <c r="BL60" s="155" t="str">
        <f t="shared" si="20"/>
        <v/>
      </c>
      <c r="BM60" s="155" t="str">
        <f t="shared" si="21"/>
        <v/>
      </c>
      <c r="BN60" s="155" t="str">
        <f t="shared" si="22"/>
        <v/>
      </c>
      <c r="BO60" s="155" t="str">
        <f t="shared" si="23"/>
        <v/>
      </c>
      <c r="BP60" s="155">
        <f t="shared" si="24"/>
        <v>0</v>
      </c>
      <c r="BR60" s="206" t="s">
        <v>284</v>
      </c>
      <c r="BS60" s="155">
        <f t="shared" si="27"/>
        <v>53.189077864327309</v>
      </c>
      <c r="BT60" s="155">
        <f t="shared" si="28"/>
        <v>32.9</v>
      </c>
    </row>
    <row r="61" spans="1:72">
      <c r="A61" s="155" t="s">
        <v>235</v>
      </c>
      <c r="B61" s="155" t="s">
        <v>1255</v>
      </c>
      <c r="C61" s="155" t="s">
        <v>208</v>
      </c>
      <c r="D61" s="155">
        <v>32.5</v>
      </c>
      <c r="E61" s="189">
        <v>0</v>
      </c>
      <c r="F61" s="67">
        <v>0</v>
      </c>
      <c r="G61" s="67">
        <v>0</v>
      </c>
      <c r="H61" s="67">
        <v>0</v>
      </c>
      <c r="I61" s="67">
        <v>495</v>
      </c>
      <c r="J61" s="67">
        <v>1980</v>
      </c>
      <c r="K61" s="67">
        <v>1980</v>
      </c>
      <c r="L61" s="67">
        <v>0</v>
      </c>
      <c r="M61" s="67">
        <v>0</v>
      </c>
      <c r="N61" s="67">
        <v>0</v>
      </c>
      <c r="O61" s="67">
        <v>0</v>
      </c>
      <c r="Q61" s="202" t="s">
        <v>235</v>
      </c>
      <c r="R61" s="202" t="s">
        <v>1255</v>
      </c>
      <c r="S61" s="202" t="s">
        <v>208</v>
      </c>
      <c r="T61" s="76">
        <f>SUM($E61:F61)</f>
        <v>0</v>
      </c>
      <c r="U61" s="76">
        <f>SUM($E61:G61)</f>
        <v>0</v>
      </c>
      <c r="V61" s="76">
        <f>SUM($E61:H61)</f>
        <v>0</v>
      </c>
      <c r="W61" s="76">
        <f>SUM($E61:I61)</f>
        <v>495</v>
      </c>
      <c r="X61" s="76">
        <f>SUM($E61:J61)</f>
        <v>2475</v>
      </c>
      <c r="Y61" s="76">
        <f>SUM($E61:K61)</f>
        <v>4455</v>
      </c>
      <c r="Z61" s="76">
        <f>SUM($E61:L61)</f>
        <v>4455</v>
      </c>
      <c r="AA61" s="76">
        <f>SUM($E61:M61)</f>
        <v>4455</v>
      </c>
      <c r="AB61" s="76">
        <f>SUM($E61:N61)</f>
        <v>4455</v>
      </c>
      <c r="AC61" s="76">
        <f>SUM($E61:O61)</f>
        <v>4455</v>
      </c>
      <c r="AE61" s="76">
        <f t="shared" si="4"/>
        <v>0</v>
      </c>
      <c r="AF61" s="76">
        <f t="shared" si="5"/>
        <v>0</v>
      </c>
      <c r="AG61" s="76">
        <f t="shared" si="6"/>
        <v>0</v>
      </c>
      <c r="AH61" s="76">
        <f t="shared" si="7"/>
        <v>526.84446919499987</v>
      </c>
      <c r="AI61" s="76">
        <f t="shared" si="8"/>
        <v>2689.5410152404738</v>
      </c>
      <c r="AJ61" s="76">
        <f t="shared" si="9"/>
        <v>4942.8384778089421</v>
      </c>
      <c r="AK61" s="76">
        <f t="shared" si="10"/>
        <v>5046.6380858429293</v>
      </c>
      <c r="AL61" s="76">
        <f t="shared" si="11"/>
        <v>5152.61748564563</v>
      </c>
      <c r="AM61" s="76">
        <f t="shared" si="12"/>
        <v>5260.8224528441879</v>
      </c>
      <c r="AN61" s="76">
        <f t="shared" si="13"/>
        <v>5371.2997243539148</v>
      </c>
      <c r="AP61" s="202" t="s">
        <v>235</v>
      </c>
      <c r="AQ61" s="202" t="s">
        <v>208</v>
      </c>
      <c r="AR61" s="155" cm="1">
        <f t="array" ref="AR61">_xlfn.IFS($AQ61=$AP$1,$AQ$1*AE61,$AQ61=$AP$2,$AQ$2*AE61,$AQ61=$AP$3,$AQ$3*AE61,$AQ61=$AP$4,$AQ$4*AE61)</f>
        <v>0</v>
      </c>
      <c r="AS61" s="155" cm="1">
        <f t="array" ref="AS61">_xlfn.IFS($AQ61=$AP$1,$AQ$1*AF61,$AQ61=$AP$2,$AQ$2*AF61,$AQ61=$AP$3,$AQ$3*AF61,$AQ61=$AP$4,$AQ$4*AF61)</f>
        <v>0</v>
      </c>
      <c r="AT61" s="155" cm="1">
        <f t="array" ref="AT61">_xlfn.IFS($AQ61=$AP$1,$AQ$1*AG61,$AQ61=$AP$2,$AQ$2*AG61,$AQ61=$AP$3,$AQ$3*AG61,$AQ61=$AP$4,$AQ$4*AG61)</f>
        <v>0</v>
      </c>
      <c r="AU61" s="155" cm="1">
        <f t="array" ref="AU61">_xlfn.IFS($AQ61=$AP$1,$AQ$1*AH61,$AQ61=$AP$2,$AQ$2*AH61,$AQ61=$AP$3,$AQ$3*AH61,$AQ61=$AP$4,$AQ$4*AH61)</f>
        <v>74.439254933776027</v>
      </c>
      <c r="AV61" s="155" cm="1">
        <f t="array" ref="AV61">_xlfn.IFS($AQ61=$AP$1,$AQ$1*AI61,$AQ61=$AP$2,$AQ$2*AI61,$AQ61=$AP$3,$AQ$3*AI61,$AQ61=$AP$4,$AQ$4*AI61)</f>
        <v>380.01239643692651</v>
      </c>
      <c r="AW61" s="155" cm="1">
        <f t="array" ref="AW61">_xlfn.IFS($AQ61=$AP$1,$AQ$1*AJ61,$AQ61=$AP$2,$AQ$2*AJ61,$AQ61=$AP$3,$AQ$3*AJ61,$AQ61=$AP$4,$AQ$4*AJ61)</f>
        <v>698.38678217178347</v>
      </c>
      <c r="AX61" s="155" cm="1">
        <f t="array" ref="AX61">_xlfn.IFS($AQ61=$AP$1,$AQ$1*AK61,$AQ61=$AP$2,$AQ$2*AK61,$AQ61=$AP$3,$AQ$3*AK61,$AQ61=$AP$4,$AQ$4*AK61)</f>
        <v>713.05290459739081</v>
      </c>
      <c r="AY61" s="155" cm="1">
        <f t="array" ref="AY61">_xlfn.IFS($AQ61=$AP$1,$AQ$1*AL61,$AQ61=$AP$2,$AQ$2*AL61,$AQ61=$AP$3,$AQ$3*AL61,$AQ61=$AP$4,$AQ$4*AL61)</f>
        <v>728.02701559393586</v>
      </c>
      <c r="AZ61" s="155" cm="1">
        <f t="array" ref="AZ61">_xlfn.IFS($AQ61=$AP$1,$AQ$1*AM61,$AQ61=$AP$2,$AQ$2*AM61,$AQ61=$AP$3,$AQ$3*AM61,$AQ61=$AP$4,$AQ$4*AM61)</f>
        <v>743.31558292140846</v>
      </c>
      <c r="BA61" s="155" cm="1">
        <f t="array" ref="BA61">_xlfn.IFS($AQ61=$AP$1,$AQ$1*AN61,$AQ61=$AP$2,$AQ$2*AN61,$AQ61=$AP$3,$AQ$3*AN61,$AQ61=$AP$4,$AQ$4*AN61)</f>
        <v>758.92521016275793</v>
      </c>
      <c r="BB61" s="155">
        <f>Table2[[#This Row],[FINAL Project System Capacity (MW)]]</f>
        <v>32.5</v>
      </c>
      <c r="BC61" s="155" t="str">
        <f>Table2[[#This Row],[FN Parent  '#]]</f>
        <v>FN011975</v>
      </c>
      <c r="BD61" s="155">
        <f t="shared" si="25"/>
        <v>32.5</v>
      </c>
      <c r="BE61" s="155">
        <f t="shared" si="26"/>
        <v>32.5</v>
      </c>
      <c r="BF61" s="155">
        <f t="shared" si="14"/>
        <v>0</v>
      </c>
      <c r="BG61" s="155">
        <f t="shared" si="15"/>
        <v>0</v>
      </c>
      <c r="BH61" s="155">
        <f t="shared" si="16"/>
        <v>0</v>
      </c>
      <c r="BI61" s="155">
        <f t="shared" si="17"/>
        <v>2.2904386133469545</v>
      </c>
      <c r="BJ61" s="155">
        <f t="shared" si="18"/>
        <v>11.692689121136199</v>
      </c>
      <c r="BK61" s="155">
        <f t="shared" si="19"/>
        <v>21.488824066824108</v>
      </c>
      <c r="BL61" s="155">
        <f t="shared" si="20"/>
        <v>21.940089372227408</v>
      </c>
      <c r="BM61" s="155">
        <f t="shared" si="21"/>
        <v>22.400831249044181</v>
      </c>
      <c r="BN61" s="155">
        <f t="shared" si="22"/>
        <v>22.871248705274105</v>
      </c>
      <c r="BO61" s="155">
        <f t="shared" si="23"/>
        <v>23.351544928084859</v>
      </c>
      <c r="BP61" s="155">
        <f t="shared" si="24"/>
        <v>10.770653769026371</v>
      </c>
      <c r="BR61" s="206" t="s">
        <v>285</v>
      </c>
      <c r="BS61" s="155">
        <f t="shared" si="27"/>
        <v>39.441542553715486</v>
      </c>
      <c r="BT61" s="155">
        <f t="shared" si="28"/>
        <v>15</v>
      </c>
    </row>
    <row r="62" spans="1:72">
      <c r="A62" s="155" t="s">
        <v>235</v>
      </c>
      <c r="B62" s="155" t="s">
        <v>1255</v>
      </c>
      <c r="C62" s="155" t="s">
        <v>207</v>
      </c>
      <c r="D62" s="155">
        <v>32.5</v>
      </c>
      <c r="E62" s="189">
        <v>0</v>
      </c>
      <c r="F62" s="67">
        <v>0</v>
      </c>
      <c r="G62" s="67">
        <v>0</v>
      </c>
      <c r="H62" s="67">
        <v>0</v>
      </c>
      <c r="I62" s="67">
        <v>121.551</v>
      </c>
      <c r="J62" s="67">
        <v>1616.623</v>
      </c>
      <c r="K62" s="67">
        <v>583.44299999999998</v>
      </c>
      <c r="L62" s="67">
        <v>1442.4839999999999</v>
      </c>
      <c r="M62" s="67">
        <v>9579.1859999999997</v>
      </c>
      <c r="N62" s="67">
        <v>9579.1859999999997</v>
      </c>
      <c r="O62" s="67">
        <v>5793.8620000000001</v>
      </c>
      <c r="Q62" s="201" t="s">
        <v>235</v>
      </c>
      <c r="R62" s="201" t="s">
        <v>1255</v>
      </c>
      <c r="S62" s="201" t="s">
        <v>207</v>
      </c>
      <c r="T62" s="76">
        <f>SUM($E62:F62)</f>
        <v>0</v>
      </c>
      <c r="U62" s="76">
        <f>SUM($E62:G62)</f>
        <v>0</v>
      </c>
      <c r="V62" s="76">
        <f>SUM($E62:H62)</f>
        <v>0</v>
      </c>
      <c r="W62" s="76">
        <f>SUM($E62:I62)</f>
        <v>121.551</v>
      </c>
      <c r="X62" s="76">
        <f>SUM($E62:J62)</f>
        <v>1738.174</v>
      </c>
      <c r="Y62" s="76">
        <f>SUM($E62:K62)</f>
        <v>2321.6170000000002</v>
      </c>
      <c r="Z62" s="76">
        <f>SUM($E62:L62)</f>
        <v>3764.1010000000001</v>
      </c>
      <c r="AA62" s="76">
        <f>SUM($E62:M62)</f>
        <v>13343.287</v>
      </c>
      <c r="AB62" s="76">
        <f>SUM($E62:N62)</f>
        <v>22922.472999999998</v>
      </c>
      <c r="AC62" s="76">
        <f>SUM($E62:O62)</f>
        <v>28716.334999999999</v>
      </c>
      <c r="AE62" s="76">
        <f t="shared" si="4"/>
        <v>0</v>
      </c>
      <c r="AF62" s="76">
        <f t="shared" si="5"/>
        <v>0</v>
      </c>
      <c r="AG62" s="76">
        <f t="shared" si="6"/>
        <v>0</v>
      </c>
      <c r="AH62" s="76">
        <f t="shared" si="7"/>
        <v>129.37065065681097</v>
      </c>
      <c r="AI62" s="76">
        <f t="shared" si="8"/>
        <v>1888.8445513634726</v>
      </c>
      <c r="AJ62" s="76">
        <f t="shared" si="9"/>
        <v>2575.842387954066</v>
      </c>
      <c r="AK62" s="76">
        <f t="shared" si="10"/>
        <v>4263.9855141547605</v>
      </c>
      <c r="AL62" s="76">
        <f t="shared" si="11"/>
        <v>15432.739374228513</v>
      </c>
      <c r="AM62" s="76">
        <f t="shared" si="12"/>
        <v>27068.700478813615</v>
      </c>
      <c r="AN62" s="76">
        <f t="shared" si="13"/>
        <v>34622.680644209802</v>
      </c>
      <c r="AP62" s="201" t="s">
        <v>235</v>
      </c>
      <c r="AQ62" s="201" t="s">
        <v>207</v>
      </c>
      <c r="AR62" s="155" cm="1">
        <f t="array" ref="AR62">_xlfn.IFS($AQ62=$AP$1,$AQ$1*AE62,$AQ62=$AP$2,$AQ$2*AE62,$AQ62=$AP$3,$AQ$3*AE62,$AQ62=$AP$4,$AQ$4*AE62)</f>
        <v>0</v>
      </c>
      <c r="AS62" s="155" cm="1">
        <f t="array" ref="AS62">_xlfn.IFS($AQ62=$AP$1,$AQ$1*AF62,$AQ62=$AP$2,$AQ$2*AF62,$AQ62=$AP$3,$AQ$3*AF62,$AQ62=$AP$4,$AQ$4*AF62)</f>
        <v>0</v>
      </c>
      <c r="AT62" s="155" cm="1">
        <f t="array" ref="AT62">_xlfn.IFS($AQ62=$AP$1,$AQ$1*AG62,$AQ62=$AP$2,$AQ$2*AG62,$AQ62=$AP$3,$AQ$3*AG62,$AQ62=$AP$4,$AQ$4*AG62)</f>
        <v>0</v>
      </c>
      <c r="AU62" s="155" cm="1">
        <f t="array" ref="AU62">_xlfn.IFS($AQ62=$AP$1,$AQ$1*AH62,$AQ62=$AP$2,$AQ$2*AH62,$AQ62=$AP$3,$AQ$3*AH62,$AQ62=$AP$4,$AQ$4*AH62)</f>
        <v>10.426250845840444</v>
      </c>
      <c r="AV62" s="155" cm="1">
        <f t="array" ref="AV62">_xlfn.IFS($AQ62=$AP$1,$AQ$1*AI62,$AQ62=$AP$2,$AQ$2*AI62,$AQ62=$AP$3,$AQ$3*AI62,$AQ62=$AP$4,$AQ$4*AI62)</f>
        <v>152.22592606074767</v>
      </c>
      <c r="AW62" s="155" cm="1">
        <f t="array" ref="AW62">_xlfn.IFS($AQ62=$AP$1,$AQ$1*AJ62,$AQ62=$AP$2,$AQ$2*AJ62,$AQ62=$AP$3,$AQ$3*AJ62,$AQ62=$AP$4,$AQ$4*AJ62)</f>
        <v>207.59251607539045</v>
      </c>
      <c r="AX62" s="155" cm="1">
        <f t="array" ref="AX62">_xlfn.IFS($AQ62=$AP$1,$AQ$1*AK62,$AQ62=$AP$2,$AQ$2*AK62,$AQ62=$AP$3,$AQ$3*AK62,$AQ62=$AP$4,$AQ$4*AK62)</f>
        <v>343.643495243308</v>
      </c>
      <c r="AY62" s="155" cm="1">
        <f t="array" ref="AY62">_xlfn.IFS($AQ62=$AP$1,$AQ$1*AL62,$AQ62=$AP$2,$AQ$2*AL62,$AQ62=$AP$3,$AQ$3*AL62,$AQ62=$AP$4,$AQ$4*AL62)</f>
        <v>1243.7566877593345</v>
      </c>
      <c r="AZ62" s="155" cm="1">
        <f t="array" ref="AZ62">_xlfn.IFS($AQ62=$AP$1,$AQ$1*AM62,$AQ62=$AP$2,$AQ$2*AM62,$AQ62=$AP$3,$AQ$3*AM62,$AQ62=$AP$4,$AQ$4*AM62)</f>
        <v>2181.5230875796315</v>
      </c>
      <c r="BA62" s="155" cm="1">
        <f t="array" ref="BA62">_xlfn.IFS($AQ62=$AP$1,$AQ$1*AN62,$AQ62=$AP$2,$AQ$2*AN62,$AQ62=$AP$3,$AQ$3*AN62,$AQ62=$AP$4,$AQ$4*AN62)</f>
        <v>2790.3141208554425</v>
      </c>
      <c r="BB62" s="155">
        <f>Table2[[#This Row],[FINAL Project System Capacity (MW)]]</f>
        <v>32.5</v>
      </c>
      <c r="BC62" s="155" t="str">
        <f>Table2[[#This Row],[FN Parent  '#]]</f>
        <v>FN011975</v>
      </c>
      <c r="BD62" s="155">
        <f t="shared" si="25"/>
        <v>32.5</v>
      </c>
      <c r="BF62" s="155">
        <f t="shared" si="14"/>
        <v>0</v>
      </c>
      <c r="BG62" s="155">
        <f t="shared" si="15"/>
        <v>0</v>
      </c>
      <c r="BH62" s="155">
        <f t="shared" si="16"/>
        <v>0</v>
      </c>
      <c r="BI62" s="155">
        <f t="shared" si="17"/>
        <v>0.32080771833355215</v>
      </c>
      <c r="BJ62" s="155">
        <f t="shared" si="18"/>
        <v>4.6838746480230053</v>
      </c>
      <c r="BK62" s="155">
        <f t="shared" si="19"/>
        <v>6.3874620330889371</v>
      </c>
      <c r="BL62" s="155">
        <f t="shared" si="20"/>
        <v>10.573646007486399</v>
      </c>
      <c r="BM62" s="155">
        <f t="shared" si="21"/>
        <v>38.269436546441057</v>
      </c>
      <c r="BN62" s="155">
        <f t="shared" si="22"/>
        <v>67.123787310142504</v>
      </c>
      <c r="BO62" s="155">
        <f t="shared" si="23"/>
        <v>85.855819103244386</v>
      </c>
      <c r="BP62" s="155">
        <f t="shared" si="24"/>
        <v>16.716170341644613</v>
      </c>
      <c r="BR62" s="206" t="s">
        <v>212</v>
      </c>
      <c r="BS62" s="155">
        <f t="shared" si="27"/>
        <v>25.133660092228212</v>
      </c>
      <c r="BT62" s="155">
        <f t="shared" si="28"/>
        <v>14.7</v>
      </c>
    </row>
    <row r="63" spans="1:72">
      <c r="A63" s="155" t="s">
        <v>236</v>
      </c>
      <c r="B63" s="155" t="s">
        <v>1345</v>
      </c>
      <c r="C63" s="155" t="s">
        <v>208</v>
      </c>
      <c r="D63" s="155">
        <v>15</v>
      </c>
      <c r="E63" s="189">
        <v>0</v>
      </c>
      <c r="F63" s="67">
        <v>0</v>
      </c>
      <c r="G63" s="67">
        <v>0</v>
      </c>
      <c r="H63" s="67">
        <v>0</v>
      </c>
      <c r="I63" s="67">
        <v>0</v>
      </c>
      <c r="J63" s="67">
        <v>0</v>
      </c>
      <c r="K63" s="67">
        <v>126.72</v>
      </c>
      <c r="L63" s="67">
        <v>1048.4100000000001</v>
      </c>
      <c r="M63" s="67">
        <v>606.86964</v>
      </c>
      <c r="N63" s="67">
        <v>960.3</v>
      </c>
      <c r="O63" s="67">
        <v>0</v>
      </c>
      <c r="Q63" s="202" t="s">
        <v>236</v>
      </c>
      <c r="R63" s="202" t="s">
        <v>1345</v>
      </c>
      <c r="S63" s="202" t="s">
        <v>208</v>
      </c>
      <c r="T63" s="76">
        <f>SUM($E63:F64)</f>
        <v>120</v>
      </c>
      <c r="U63" s="76">
        <f>SUM($E63:G64)</f>
        <v>340</v>
      </c>
      <c r="V63" s="76">
        <f>SUM($E63:H64)</f>
        <v>1410</v>
      </c>
      <c r="W63" s="76">
        <f>SUM($E63:I64)</f>
        <v>8860</v>
      </c>
      <c r="X63" s="76">
        <f>SUM($E63:J64)</f>
        <v>10850</v>
      </c>
      <c r="Y63" s="76">
        <f>SUM($E63:K64)</f>
        <v>11476.72</v>
      </c>
      <c r="Z63" s="76">
        <f>SUM($E63:L64)</f>
        <v>12525.130000000001</v>
      </c>
      <c r="AA63" s="76">
        <f>SUM($E63:M64)</f>
        <v>13131.99964</v>
      </c>
      <c r="AB63" s="76">
        <f>SUM($E63:N64)</f>
        <v>14092.299640000001</v>
      </c>
      <c r="AC63" s="76">
        <f>SUM($E63:O64)</f>
        <v>14092.299640000001</v>
      </c>
      <c r="AE63" s="76">
        <f t="shared" si="4"/>
        <v>120</v>
      </c>
      <c r="AF63" s="76">
        <f t="shared" si="5"/>
        <v>347.14</v>
      </c>
      <c r="AG63" s="76">
        <f t="shared" si="6"/>
        <v>1469.8418099999997</v>
      </c>
      <c r="AH63" s="76">
        <f t="shared" si="7"/>
        <v>9429.9838324599968</v>
      </c>
      <c r="AI63" s="76">
        <f t="shared" si="8"/>
        <v>11790.513137518845</v>
      </c>
      <c r="AJ63" s="76">
        <f t="shared" si="9"/>
        <v>12733.462001131187</v>
      </c>
      <c r="AK63" s="76">
        <f t="shared" si="10"/>
        <v>14188.506866023312</v>
      </c>
      <c r="AL63" s="76">
        <f t="shared" si="11"/>
        <v>15188.366097992395</v>
      </c>
      <c r="AM63" s="76">
        <f t="shared" si="12"/>
        <v>16641.321292552202</v>
      </c>
      <c r="AN63" s="76">
        <f t="shared" si="13"/>
        <v>16990.789039695796</v>
      </c>
      <c r="AP63" s="202" t="s">
        <v>236</v>
      </c>
      <c r="AQ63" s="202" t="s">
        <v>208</v>
      </c>
      <c r="AR63" s="155" cm="1">
        <f t="array" ref="AR63">_xlfn.IFS($AQ63=$AP$1,$AQ$1*AE63,$AQ63=$AP$2,$AQ$2*AE63,$AQ63=$AP$3,$AQ$3*AE63,$AQ63=$AP$4,$AQ$4*AE63)</f>
        <v>16.955118852632154</v>
      </c>
      <c r="AS63" s="155" cm="1">
        <f t="array" ref="AS63">_xlfn.IFS($AQ63=$AP$1,$AQ$1*AF63,$AQ63=$AP$2,$AQ$2*AF63,$AQ63=$AP$3,$AQ$3*AF63,$AQ63=$AP$4,$AQ$4*AF63)</f>
        <v>49.048332987522713</v>
      </c>
      <c r="AT63" s="155" cm="1">
        <f t="array" ref="AT63">_xlfn.IFS($AQ63=$AP$1,$AQ$1*AG63,$AQ63=$AP$2,$AQ$2*AG63,$AQ63=$AP$3,$AQ$3*AG63,$AQ63=$AP$4,$AQ$4*AG63)</f>
        <v>207.67785485931637</v>
      </c>
      <c r="AU63" s="155" cm="1">
        <f t="array" ref="AU63">_xlfn.IFS($AQ63=$AP$1,$AQ$1*AH63,$AQ63=$AP$2,$AQ$2*AH63,$AQ63=$AP$3,$AQ$3*AH63,$AQ63=$AP$4,$AQ$4*AH63)</f>
        <v>1332.3874721479908</v>
      </c>
      <c r="AV63" s="155" cm="1">
        <f t="array" ref="AV63">_xlfn.IFS($AQ63=$AP$1,$AQ$1*AI63,$AQ63=$AP$2,$AQ$2*AI63,$AQ63=$AP$3,$AQ$3*AI63,$AQ63=$AP$4,$AQ$4*AI63)</f>
        <v>1665.9129298346072</v>
      </c>
      <c r="AW63" s="155" cm="1">
        <f t="array" ref="AW63">_xlfn.IFS($AQ63=$AP$1,$AQ$1*AJ63,$AQ63=$AP$2,$AQ$2*AJ63,$AQ63=$AP$3,$AQ$3*AJ63,$AQ63=$AP$4,$AQ$4*AJ63)</f>
        <v>1799.1446802887879</v>
      </c>
      <c r="AX63" s="155" cm="1">
        <f t="array" ref="AX63">_xlfn.IFS($AQ63=$AP$1,$AQ$1*AK63,$AQ63=$AP$2,$AQ$2*AK63,$AQ63=$AP$3,$AQ$3*AK63,$AQ63=$AP$4,$AQ$4*AK63)</f>
        <v>2004.7318354567717</v>
      </c>
      <c r="AY63" s="155" cm="1">
        <f t="array" ref="AY63">_xlfn.IFS($AQ63=$AP$1,$AQ$1*AL63,$AQ63=$AP$2,$AQ$2*AL63,$AQ63=$AP$3,$AQ$3*AL63,$AQ63=$AP$4,$AQ$4*AL63)</f>
        <v>2146.0046030729159</v>
      </c>
      <c r="AZ63" s="155" cm="1">
        <f t="array" ref="AZ63">_xlfn.IFS($AQ63=$AP$1,$AQ$1*AM63,$AQ63=$AP$2,$AQ$2*AM63,$AQ63=$AP$3,$AQ$3*AM63,$AQ63=$AP$4,$AQ$4*AM63)</f>
        <v>2351.2965031671729</v>
      </c>
      <c r="BA63" s="155" cm="1">
        <f t="array" ref="BA63">_xlfn.IFS($AQ63=$AP$1,$AQ$1*AN63,$AQ63=$AP$2,$AQ$2*AN63,$AQ63=$AP$3,$AQ$3*AN63,$AQ63=$AP$4,$AQ$4*AN63)</f>
        <v>2400.6737297336831</v>
      </c>
      <c r="BB63" s="155">
        <f>Table2[[#This Row],[FINAL Project System Capacity (MW)]]</f>
        <v>15</v>
      </c>
      <c r="BC63" s="155" t="str">
        <f>Table2[[#This Row],[FN Parent  '#]]</f>
        <v>Individual Project</v>
      </c>
      <c r="BD63" s="155">
        <f>BB63+BB64</f>
        <v>37</v>
      </c>
      <c r="BE63" s="155">
        <f t="shared" si="26"/>
        <v>37</v>
      </c>
      <c r="BF63" s="155">
        <f t="shared" si="14"/>
        <v>0.45824645547654469</v>
      </c>
      <c r="BG63" s="155">
        <f t="shared" si="15"/>
        <v>1.3256306212843976</v>
      </c>
      <c r="BH63" s="155">
        <f t="shared" si="16"/>
        <v>5.6129149961977394</v>
      </c>
      <c r="BI63" s="155">
        <f t="shared" si="17"/>
        <v>36.010472220215966</v>
      </c>
      <c r="BJ63" s="155">
        <f t="shared" si="18"/>
        <v>45.024673779313709</v>
      </c>
      <c r="BK63" s="155">
        <f t="shared" si="19"/>
        <v>48.625531899696966</v>
      </c>
      <c r="BL63" s="155">
        <f t="shared" si="20"/>
        <v>54.181941498831669</v>
      </c>
      <c r="BM63" s="155">
        <f t="shared" si="21"/>
        <v>58.000124407376106</v>
      </c>
      <c r="BN63" s="155">
        <f t="shared" si="22"/>
        <v>63.548554139653319</v>
      </c>
      <c r="BO63" s="155">
        <f t="shared" si="23"/>
        <v>64.883073776586031</v>
      </c>
      <c r="BP63" s="155">
        <f t="shared" si="24"/>
        <v>33.283420368483277</v>
      </c>
      <c r="BR63" s="206" t="s">
        <v>210</v>
      </c>
      <c r="BS63" s="155">
        <f t="shared" si="27"/>
        <v>122.91380856601297</v>
      </c>
      <c r="BT63" s="155">
        <f t="shared" si="28"/>
        <v>5.5</v>
      </c>
    </row>
    <row r="64" spans="1:72">
      <c r="A64" s="155" t="s">
        <v>236</v>
      </c>
      <c r="B64" s="155" t="s">
        <v>1345</v>
      </c>
      <c r="C64" s="155" t="s">
        <v>208</v>
      </c>
      <c r="D64" s="155">
        <v>22</v>
      </c>
      <c r="E64" s="189">
        <v>0</v>
      </c>
      <c r="F64" s="67">
        <v>120</v>
      </c>
      <c r="G64" s="67">
        <v>220</v>
      </c>
      <c r="H64" s="67">
        <v>1070</v>
      </c>
      <c r="I64" s="67">
        <v>7450</v>
      </c>
      <c r="J64" s="67">
        <v>1990</v>
      </c>
      <c r="K64" s="67">
        <v>500</v>
      </c>
      <c r="L64" s="67">
        <v>0</v>
      </c>
      <c r="M64" s="67">
        <v>0</v>
      </c>
      <c r="N64" s="67">
        <v>0</v>
      </c>
      <c r="O64" s="67">
        <v>0</v>
      </c>
      <c r="Q64" s="201" t="s">
        <v>236</v>
      </c>
      <c r="R64" s="201" t="s">
        <v>1345</v>
      </c>
      <c r="S64" s="201" t="s">
        <v>208</v>
      </c>
      <c r="U64" s="155"/>
      <c r="V64" s="155"/>
      <c r="W64" s="155"/>
      <c r="X64" s="155"/>
      <c r="Y64" s="155"/>
      <c r="Z64" s="155"/>
      <c r="AA64" s="155"/>
      <c r="AB64" s="155"/>
      <c r="AC64" s="155"/>
      <c r="AE64" s="76">
        <f t="shared" si="4"/>
        <v>0</v>
      </c>
      <c r="AF64" s="76">
        <f t="shared" si="5"/>
        <v>0</v>
      </c>
      <c r="AG64" s="76">
        <f t="shared" si="6"/>
        <v>0</v>
      </c>
      <c r="AH64" s="76">
        <f t="shared" si="7"/>
        <v>0</v>
      </c>
      <c r="AI64" s="76">
        <f t="shared" si="8"/>
        <v>0</v>
      </c>
      <c r="AJ64" s="76">
        <f t="shared" si="9"/>
        <v>0</v>
      </c>
      <c r="AK64" s="76">
        <f t="shared" si="10"/>
        <v>0</v>
      </c>
      <c r="AL64" s="76">
        <f t="shared" si="11"/>
        <v>0</v>
      </c>
      <c r="AM64" s="76">
        <f t="shared" si="12"/>
        <v>0</v>
      </c>
      <c r="AN64" s="76">
        <f t="shared" si="13"/>
        <v>0</v>
      </c>
      <c r="AP64" s="201" t="s">
        <v>236</v>
      </c>
      <c r="AQ64" s="201" t="s">
        <v>208</v>
      </c>
      <c r="AR64" s="155" cm="1">
        <f t="array" ref="AR64">_xlfn.IFS($AQ64=$AP$1,$AQ$1*AE64,$AQ64=$AP$2,$AQ$2*AE64,$AQ64=$AP$3,$AQ$3*AE64,$AQ64=$AP$4,$AQ$4*AE64)</f>
        <v>0</v>
      </c>
      <c r="AS64" s="155" cm="1">
        <f t="array" ref="AS64">_xlfn.IFS($AQ64=$AP$1,$AQ$1*AF64,$AQ64=$AP$2,$AQ$2*AF64,$AQ64=$AP$3,$AQ$3*AF64,$AQ64=$AP$4,$AQ$4*AF64)</f>
        <v>0</v>
      </c>
      <c r="AT64" s="155" cm="1">
        <f t="array" ref="AT64">_xlfn.IFS($AQ64=$AP$1,$AQ$1*AG64,$AQ64=$AP$2,$AQ$2*AG64,$AQ64=$AP$3,$AQ$3*AG64,$AQ64=$AP$4,$AQ$4*AG64)</f>
        <v>0</v>
      </c>
      <c r="AU64" s="155" cm="1">
        <f t="array" ref="AU64">_xlfn.IFS($AQ64=$AP$1,$AQ$1*AH64,$AQ64=$AP$2,$AQ$2*AH64,$AQ64=$AP$3,$AQ$3*AH64,$AQ64=$AP$4,$AQ$4*AH64)</f>
        <v>0</v>
      </c>
      <c r="AV64" s="155" cm="1">
        <f t="array" ref="AV64">_xlfn.IFS($AQ64=$AP$1,$AQ$1*AI64,$AQ64=$AP$2,$AQ$2*AI64,$AQ64=$AP$3,$AQ$3*AI64,$AQ64=$AP$4,$AQ$4*AI64)</f>
        <v>0</v>
      </c>
      <c r="AW64" s="155" cm="1">
        <f t="array" ref="AW64">_xlfn.IFS($AQ64=$AP$1,$AQ$1*AJ64,$AQ64=$AP$2,$AQ$2*AJ64,$AQ64=$AP$3,$AQ$3*AJ64,$AQ64=$AP$4,$AQ$4*AJ64)</f>
        <v>0</v>
      </c>
      <c r="AX64" s="155" cm="1">
        <f t="array" ref="AX64">_xlfn.IFS($AQ64=$AP$1,$AQ$1*AK64,$AQ64=$AP$2,$AQ$2*AK64,$AQ64=$AP$3,$AQ$3*AK64,$AQ64=$AP$4,$AQ$4*AK64)</f>
        <v>0</v>
      </c>
      <c r="AY64" s="155" cm="1">
        <f t="array" ref="AY64">_xlfn.IFS($AQ64=$AP$1,$AQ$1*AL64,$AQ64=$AP$2,$AQ$2*AL64,$AQ64=$AP$3,$AQ$3*AL64,$AQ64=$AP$4,$AQ$4*AL64)</f>
        <v>0</v>
      </c>
      <c r="AZ64" s="155" cm="1">
        <f t="array" ref="AZ64">_xlfn.IFS($AQ64=$AP$1,$AQ$1*AM64,$AQ64=$AP$2,$AQ$2*AM64,$AQ64=$AP$3,$AQ$3*AM64,$AQ64=$AP$4,$AQ$4*AM64)</f>
        <v>0</v>
      </c>
      <c r="BA64" s="155" cm="1">
        <f t="array" ref="BA64">_xlfn.IFS($AQ64=$AP$1,$AQ$1*AN64,$AQ64=$AP$2,$AQ$2*AN64,$AQ64=$AP$3,$AQ$3*AN64,$AQ64=$AP$4,$AQ$4*AN64)</f>
        <v>0</v>
      </c>
      <c r="BB64" s="155">
        <f>Table2[[#This Row],[FINAL Project System Capacity (MW)]]</f>
        <v>22</v>
      </c>
      <c r="BC64" s="155" t="str">
        <f>Table2[[#This Row],[FN Parent  '#]]</f>
        <v>Individual Project</v>
      </c>
      <c r="BD64" s="155"/>
      <c r="BF64" s="155" t="str">
        <f t="shared" si="14"/>
        <v/>
      </c>
      <c r="BG64" s="155" t="str">
        <f t="shared" si="15"/>
        <v/>
      </c>
      <c r="BH64" s="155" t="str">
        <f t="shared" si="16"/>
        <v/>
      </c>
      <c r="BI64" s="155" t="str">
        <f t="shared" si="17"/>
        <v/>
      </c>
      <c r="BJ64" s="155" t="str">
        <f t="shared" si="18"/>
        <v/>
      </c>
      <c r="BK64" s="155" t="str">
        <f t="shared" si="19"/>
        <v/>
      </c>
      <c r="BL64" s="155" t="str">
        <f t="shared" si="20"/>
        <v/>
      </c>
      <c r="BM64" s="155" t="str">
        <f t="shared" si="21"/>
        <v/>
      </c>
      <c r="BN64" s="155" t="str">
        <f t="shared" si="22"/>
        <v/>
      </c>
      <c r="BO64" s="155" t="str">
        <f t="shared" si="23"/>
        <v/>
      </c>
      <c r="BP64" s="155">
        <f t="shared" si="24"/>
        <v>0</v>
      </c>
      <c r="BR64" s="206" t="s">
        <v>287</v>
      </c>
      <c r="BS64" s="155">
        <f t="shared" si="27"/>
        <v>77.468400968729284</v>
      </c>
      <c r="BT64" s="155">
        <f t="shared" si="28"/>
        <v>14</v>
      </c>
    </row>
    <row r="65" spans="1:72">
      <c r="A65" s="155" t="s">
        <v>236</v>
      </c>
      <c r="B65" s="155" t="s">
        <v>1345</v>
      </c>
      <c r="C65" s="155" t="s">
        <v>207</v>
      </c>
      <c r="D65" s="155">
        <v>15</v>
      </c>
      <c r="E65" s="189">
        <v>0</v>
      </c>
      <c r="F65" s="67">
        <v>0</v>
      </c>
      <c r="G65" s="67">
        <v>0</v>
      </c>
      <c r="H65" s="67">
        <v>0</v>
      </c>
      <c r="I65" s="67">
        <v>0</v>
      </c>
      <c r="J65" s="67">
        <v>128</v>
      </c>
      <c r="K65" s="67">
        <v>1059</v>
      </c>
      <c r="L65" s="67">
        <v>1520</v>
      </c>
      <c r="M65" s="67">
        <v>3526</v>
      </c>
      <c r="N65" s="67">
        <v>3409</v>
      </c>
      <c r="O65" s="67">
        <v>354</v>
      </c>
      <c r="Q65" s="202" t="s">
        <v>236</v>
      </c>
      <c r="R65" s="202" t="s">
        <v>1345</v>
      </c>
      <c r="S65" s="202" t="s">
        <v>207</v>
      </c>
      <c r="T65" s="76">
        <f>SUM($E65:F66)</f>
        <v>2300</v>
      </c>
      <c r="U65" s="76">
        <f>SUM($E65:G66)</f>
        <v>3150</v>
      </c>
      <c r="V65" s="76">
        <f>SUM($E65:H66)</f>
        <v>8250</v>
      </c>
      <c r="W65" s="76">
        <f>SUM($E65:I66)</f>
        <v>16750</v>
      </c>
      <c r="X65" s="76">
        <f>SUM($E65:J66)</f>
        <v>22178</v>
      </c>
      <c r="Y65" s="76">
        <f>SUM($E65:K66)</f>
        <v>24237</v>
      </c>
      <c r="Z65" s="76">
        <f>SUM($E65:L66)</f>
        <v>25757</v>
      </c>
      <c r="AA65" s="76">
        <f>SUM($E65:M66)</f>
        <v>29283</v>
      </c>
      <c r="AB65" s="76">
        <f>SUM($E65:N66)</f>
        <v>32692</v>
      </c>
      <c r="AC65" s="76">
        <f>SUM($E65:O66)</f>
        <v>33046</v>
      </c>
      <c r="AE65" s="76">
        <f t="shared" si="4"/>
        <v>2300</v>
      </c>
      <c r="AF65" s="76">
        <f t="shared" si="5"/>
        <v>3216.1499999999996</v>
      </c>
      <c r="AG65" s="76">
        <f t="shared" si="6"/>
        <v>8600.1382499999982</v>
      </c>
      <c r="AH65" s="76">
        <f t="shared" si="7"/>
        <v>17827.565371749995</v>
      </c>
      <c r="AI65" s="76">
        <f t="shared" si="8"/>
        <v>24100.460863031607</v>
      </c>
      <c r="AJ65" s="76">
        <f t="shared" si="9"/>
        <v>26891.038425736326</v>
      </c>
      <c r="AK65" s="76">
        <f t="shared" si="10"/>
        <v>29177.611038620948</v>
      </c>
      <c r="AL65" s="76">
        <f t="shared" si="11"/>
        <v>33868.484361876763</v>
      </c>
      <c r="AM65" s="76">
        <f t="shared" si="12"/>
        <v>38605.344024328209</v>
      </c>
      <c r="AN65" s="76">
        <f t="shared" si="13"/>
        <v>39842.866597306274</v>
      </c>
      <c r="AP65" s="202" t="s">
        <v>236</v>
      </c>
      <c r="AQ65" s="202" t="s">
        <v>207</v>
      </c>
      <c r="AR65" s="155" cm="1">
        <f t="array" ref="AR65">_xlfn.IFS($AQ65=$AP$1,$AQ$1*AE65,$AQ65=$AP$2,$AQ$2*AE65,$AQ65=$AP$3,$AQ$3*AE65,$AQ65=$AP$4,$AQ$4*AE65)</f>
        <v>185.36180210646975</v>
      </c>
      <c r="AS65" s="155" cm="1">
        <f t="array" ref="AS65">_xlfn.IFS($AQ65=$AP$1,$AQ$1*AF65,$AQ65=$AP$2,$AQ$2*AF65,$AQ65=$AP$3,$AQ$3*AF65,$AQ65=$AP$4,$AQ$4*AF65)</f>
        <v>259.19624341074893</v>
      </c>
      <c r="AT65" s="155" cm="1">
        <f t="array" ref="AT65">_xlfn.IFS($AQ65=$AP$1,$AQ$1*AG65,$AQ65=$AP$2,$AQ$2*AG65,$AQ65=$AP$3,$AQ$3*AG65,$AQ65=$AP$4,$AQ$4*AG65)</f>
        <v>693.10309755860033</v>
      </c>
      <c r="AU65" s="155" cm="1">
        <f t="array" ref="AU65">_xlfn.IFS($AQ65=$AP$1,$AQ$1*AH65,$AQ65=$AP$2,$AQ$2*AH65,$AQ65=$AP$3,$AQ$3*AH65,$AQ65=$AP$4,$AQ$4*AH65)</f>
        <v>1436.7607149906414</v>
      </c>
      <c r="AV65" s="155" cm="1">
        <f t="array" ref="AV65">_xlfn.IFS($AQ65=$AP$1,$AQ$1*AI65,$AQ65=$AP$2,$AQ$2*AI65,$AQ65=$AP$3,$AQ$3*AI65,$AQ65=$AP$4,$AQ$4*AI65)</f>
        <v>1942.3064596382537</v>
      </c>
      <c r="AW65" s="155" cm="1">
        <f t="array" ref="AW65">_xlfn.IFS($AQ65=$AP$1,$AQ$1*AJ65,$AQ65=$AP$2,$AQ$2*AJ65,$AQ65=$AP$3,$AQ$3*AJ65,$AQ65=$AP$4,$AQ$4*AJ65)</f>
        <v>2167.2049317864394</v>
      </c>
      <c r="AX65" s="155" cm="1">
        <f t="array" ref="AX65">_xlfn.IFS($AQ65=$AP$1,$AQ$1*AK65,$AQ65=$AP$2,$AQ$2*AK65,$AQ65=$AP$3,$AQ$3*AK65,$AQ65=$AP$4,$AQ$4*AK65)</f>
        <v>2351.4845927306101</v>
      </c>
      <c r="AY65" s="155" cm="1">
        <f t="array" ref="AY65">_xlfn.IFS($AQ65=$AP$1,$AQ$1*AL65,$AQ65=$AP$2,$AQ$2*AL65,$AQ65=$AP$3,$AQ$3*AL65,$AQ65=$AP$4,$AQ$4*AL65)</f>
        <v>2729.531867796637</v>
      </c>
      <c r="AZ65" s="155" cm="1">
        <f t="array" ref="AZ65">_xlfn.IFS($AQ65=$AP$1,$AQ$1*AM65,$AQ65=$AP$2,$AQ$2*AM65,$AQ65=$AP$3,$AQ$3*AM65,$AQ65=$AP$4,$AQ$4*AM65)</f>
        <v>3111.2852779520476</v>
      </c>
      <c r="BA65" s="155" cm="1">
        <f t="array" ref="BA65">_xlfn.IFS($AQ65=$AP$1,$AQ$1*AN65,$AQ65=$AP$2,$AQ$2*AN65,$AQ65=$AP$3,$AQ$3*AN65,$AQ65=$AP$4,$AQ$4*AN65)</f>
        <v>3211.0198058975475</v>
      </c>
      <c r="BB65" s="155">
        <f>Table2[[#This Row],[FINAL Project System Capacity (MW)]]</f>
        <v>15</v>
      </c>
      <c r="BC65" s="155" t="str">
        <f>Table2[[#This Row],[FN Parent  '#]]</f>
        <v>Individual Project</v>
      </c>
      <c r="BD65" s="155">
        <f>BB65+BB66</f>
        <v>40</v>
      </c>
      <c r="BE65" s="155">
        <f t="shared" si="26"/>
        <v>40</v>
      </c>
      <c r="BF65" s="155">
        <f t="shared" si="14"/>
        <v>4.6340450526617438</v>
      </c>
      <c r="BG65" s="155">
        <f t="shared" si="15"/>
        <v>6.4799060852687234</v>
      </c>
      <c r="BH65" s="155">
        <f t="shared" si="16"/>
        <v>17.327577438965008</v>
      </c>
      <c r="BI65" s="155">
        <f t="shared" si="17"/>
        <v>35.919017874766034</v>
      </c>
      <c r="BJ65" s="155">
        <f t="shared" si="18"/>
        <v>48.557661490956342</v>
      </c>
      <c r="BK65" s="155">
        <f t="shared" si="19"/>
        <v>54.180123294660987</v>
      </c>
      <c r="BL65" s="155">
        <f t="shared" si="20"/>
        <v>58.787114818265252</v>
      </c>
      <c r="BM65" s="155">
        <f t="shared" si="21"/>
        <v>68.238296694915931</v>
      </c>
      <c r="BN65" s="155">
        <f t="shared" si="22"/>
        <v>77.782131948801194</v>
      </c>
      <c r="BO65" s="155">
        <f t="shared" si="23"/>
        <v>80.27549514743869</v>
      </c>
      <c r="BP65" s="155">
        <f t="shared" si="24"/>
        <v>40.199299249943621</v>
      </c>
      <c r="BR65" s="206" t="s">
        <v>288</v>
      </c>
      <c r="BS65" s="155">
        <f t="shared" si="27"/>
        <v>297.18871939183589</v>
      </c>
      <c r="BT65" s="155">
        <f t="shared" si="28"/>
        <v>17.5</v>
      </c>
    </row>
    <row r="66" spans="1:72">
      <c r="A66" s="155" t="s">
        <v>236</v>
      </c>
      <c r="B66" s="155" t="s">
        <v>1345</v>
      </c>
      <c r="C66" s="155" t="s">
        <v>207</v>
      </c>
      <c r="D66" s="155">
        <v>25</v>
      </c>
      <c r="E66" s="189">
        <v>0</v>
      </c>
      <c r="F66" s="67">
        <v>2300</v>
      </c>
      <c r="G66" s="67">
        <v>850</v>
      </c>
      <c r="H66" s="67">
        <v>5100</v>
      </c>
      <c r="I66" s="67">
        <v>8500</v>
      </c>
      <c r="J66" s="67">
        <v>5300</v>
      </c>
      <c r="K66" s="67">
        <v>1000</v>
      </c>
      <c r="L66" s="67">
        <v>0</v>
      </c>
      <c r="M66" s="67">
        <v>0</v>
      </c>
      <c r="N66" s="67">
        <v>0</v>
      </c>
      <c r="O66" s="67">
        <v>0</v>
      </c>
      <c r="Q66" s="201" t="s">
        <v>236</v>
      </c>
      <c r="R66" s="201" t="s">
        <v>1345</v>
      </c>
      <c r="S66" s="201" t="s">
        <v>207</v>
      </c>
      <c r="T66" s="76"/>
      <c r="U66" s="76"/>
      <c r="V66" s="76"/>
      <c r="W66" s="76"/>
      <c r="X66" s="76"/>
      <c r="Y66" s="76"/>
      <c r="Z66" s="76"/>
      <c r="AA66" s="76"/>
      <c r="AB66" s="76"/>
      <c r="AC66" s="76"/>
      <c r="AE66" s="76">
        <f t="shared" si="4"/>
        <v>0</v>
      </c>
      <c r="AF66" s="76">
        <f t="shared" si="5"/>
        <v>0</v>
      </c>
      <c r="AG66" s="76">
        <f t="shared" si="6"/>
        <v>0</v>
      </c>
      <c r="AH66" s="76">
        <f t="shared" si="7"/>
        <v>0</v>
      </c>
      <c r="AI66" s="76">
        <f t="shared" si="8"/>
        <v>0</v>
      </c>
      <c r="AJ66" s="76">
        <f t="shared" si="9"/>
        <v>0</v>
      </c>
      <c r="AK66" s="76">
        <f t="shared" si="10"/>
        <v>0</v>
      </c>
      <c r="AL66" s="76">
        <f t="shared" si="11"/>
        <v>0</v>
      </c>
      <c r="AM66" s="76">
        <f t="shared" si="12"/>
        <v>0</v>
      </c>
      <c r="AN66" s="76">
        <f t="shared" si="13"/>
        <v>0</v>
      </c>
      <c r="AP66" s="201" t="s">
        <v>236</v>
      </c>
      <c r="AQ66" s="201" t="s">
        <v>207</v>
      </c>
      <c r="AR66" s="155" cm="1">
        <f t="array" ref="AR66">_xlfn.IFS($AQ66=$AP$1,$AQ$1*AE66,$AQ66=$AP$2,$AQ$2*AE66,$AQ66=$AP$3,$AQ$3*AE66,$AQ66=$AP$4,$AQ$4*AE66)</f>
        <v>0</v>
      </c>
      <c r="AS66" s="155" cm="1">
        <f t="array" ref="AS66">_xlfn.IFS($AQ66=$AP$1,$AQ$1*AF66,$AQ66=$AP$2,$AQ$2*AF66,$AQ66=$AP$3,$AQ$3*AF66,$AQ66=$AP$4,$AQ$4*AF66)</f>
        <v>0</v>
      </c>
      <c r="AT66" s="155" cm="1">
        <f t="array" ref="AT66">_xlfn.IFS($AQ66=$AP$1,$AQ$1*AG66,$AQ66=$AP$2,$AQ$2*AG66,$AQ66=$AP$3,$AQ$3*AG66,$AQ66=$AP$4,$AQ$4*AG66)</f>
        <v>0</v>
      </c>
      <c r="AU66" s="155" cm="1">
        <f t="array" ref="AU66">_xlfn.IFS($AQ66=$AP$1,$AQ$1*AH66,$AQ66=$AP$2,$AQ$2*AH66,$AQ66=$AP$3,$AQ$3*AH66,$AQ66=$AP$4,$AQ$4*AH66)</f>
        <v>0</v>
      </c>
      <c r="AV66" s="155" cm="1">
        <f t="array" ref="AV66">_xlfn.IFS($AQ66=$AP$1,$AQ$1*AI66,$AQ66=$AP$2,$AQ$2*AI66,$AQ66=$AP$3,$AQ$3*AI66,$AQ66=$AP$4,$AQ$4*AI66)</f>
        <v>0</v>
      </c>
      <c r="AW66" s="155" cm="1">
        <f t="array" ref="AW66">_xlfn.IFS($AQ66=$AP$1,$AQ$1*AJ66,$AQ66=$AP$2,$AQ$2*AJ66,$AQ66=$AP$3,$AQ$3*AJ66,$AQ66=$AP$4,$AQ$4*AJ66)</f>
        <v>0</v>
      </c>
      <c r="AX66" s="155" cm="1">
        <f t="array" ref="AX66">_xlfn.IFS($AQ66=$AP$1,$AQ$1*AK66,$AQ66=$AP$2,$AQ$2*AK66,$AQ66=$AP$3,$AQ$3*AK66,$AQ66=$AP$4,$AQ$4*AK66)</f>
        <v>0</v>
      </c>
      <c r="AY66" s="155" cm="1">
        <f t="array" ref="AY66">_xlfn.IFS($AQ66=$AP$1,$AQ$1*AL66,$AQ66=$AP$2,$AQ$2*AL66,$AQ66=$AP$3,$AQ$3*AL66,$AQ66=$AP$4,$AQ$4*AL66)</f>
        <v>0</v>
      </c>
      <c r="AZ66" s="155" cm="1">
        <f t="array" ref="AZ66">_xlfn.IFS($AQ66=$AP$1,$AQ$1*AM66,$AQ66=$AP$2,$AQ$2*AM66,$AQ66=$AP$3,$AQ$3*AM66,$AQ66=$AP$4,$AQ$4*AM66)</f>
        <v>0</v>
      </c>
      <c r="BA66" s="155" cm="1">
        <f t="array" ref="BA66">_xlfn.IFS($AQ66=$AP$1,$AQ$1*AN66,$AQ66=$AP$2,$AQ$2*AN66,$AQ66=$AP$3,$AQ$3*AN66,$AQ66=$AP$4,$AQ$4*AN66)</f>
        <v>0</v>
      </c>
      <c r="BB66" s="155">
        <f>Table2[[#This Row],[FINAL Project System Capacity (MW)]]</f>
        <v>25</v>
      </c>
      <c r="BC66" s="155" t="str">
        <f>Table2[[#This Row],[FN Parent  '#]]</f>
        <v>Individual Project</v>
      </c>
      <c r="BD66" s="155"/>
      <c r="BF66" s="155" t="str">
        <f t="shared" si="14"/>
        <v/>
      </c>
      <c r="BG66" s="155" t="str">
        <f t="shared" si="15"/>
        <v/>
      </c>
      <c r="BH66" s="155" t="str">
        <f t="shared" si="16"/>
        <v/>
      </c>
      <c r="BI66" s="155" t="str">
        <f t="shared" si="17"/>
        <v/>
      </c>
      <c r="BJ66" s="155" t="str">
        <f t="shared" si="18"/>
        <v/>
      </c>
      <c r="BK66" s="155" t="str">
        <f t="shared" si="19"/>
        <v/>
      </c>
      <c r="BL66" s="155" t="str">
        <f t="shared" si="20"/>
        <v/>
      </c>
      <c r="BM66" s="155" t="str">
        <f t="shared" si="21"/>
        <v/>
      </c>
      <c r="BN66" s="155" t="str">
        <f t="shared" si="22"/>
        <v/>
      </c>
      <c r="BO66" s="155" t="str">
        <f t="shared" si="23"/>
        <v/>
      </c>
      <c r="BP66" s="155">
        <f t="shared" si="24"/>
        <v>0</v>
      </c>
      <c r="BR66" s="206" t="s">
        <v>289</v>
      </c>
      <c r="BS66" s="155">
        <f t="shared" si="27"/>
        <v>48.313414878272326</v>
      </c>
      <c r="BT66" s="155">
        <f t="shared" si="28"/>
        <v>2</v>
      </c>
    </row>
    <row r="67" spans="1:72">
      <c r="A67" s="155" t="s">
        <v>216</v>
      </c>
      <c r="B67" s="155" t="s">
        <v>1345</v>
      </c>
      <c r="C67" s="155" t="s">
        <v>208</v>
      </c>
      <c r="D67" s="155">
        <v>2.2000000000000002</v>
      </c>
      <c r="E67" s="189">
        <v>41</v>
      </c>
      <c r="F67" s="67">
        <v>0</v>
      </c>
      <c r="G67" s="67">
        <v>270.54000000000002</v>
      </c>
      <c r="H67" s="67">
        <v>0</v>
      </c>
      <c r="I67" s="67">
        <v>0</v>
      </c>
      <c r="J67" s="67">
        <v>0</v>
      </c>
      <c r="K67" s="67">
        <v>0</v>
      </c>
      <c r="L67" s="67">
        <v>0</v>
      </c>
      <c r="M67" s="67">
        <v>0</v>
      </c>
      <c r="N67" s="67">
        <v>0</v>
      </c>
      <c r="O67" s="67">
        <v>0</v>
      </c>
      <c r="Q67" s="202" t="s">
        <v>216</v>
      </c>
      <c r="R67" s="202" t="s">
        <v>1345</v>
      </c>
      <c r="S67" s="202" t="s">
        <v>208</v>
      </c>
      <c r="T67" s="76">
        <f>SUM($E67:F67)</f>
        <v>41</v>
      </c>
      <c r="U67" s="76">
        <f>SUM($E67:G67)</f>
        <v>311.54000000000002</v>
      </c>
      <c r="V67" s="76">
        <f>SUM($E67:H67)</f>
        <v>311.54000000000002</v>
      </c>
      <c r="W67" s="76">
        <f>SUM($E67:I67)</f>
        <v>311.54000000000002</v>
      </c>
      <c r="X67" s="76">
        <f>SUM($E67:J67)</f>
        <v>311.54000000000002</v>
      </c>
      <c r="Y67" s="76">
        <f>SUM($E67:K67)</f>
        <v>311.54000000000002</v>
      </c>
      <c r="Z67" s="76">
        <f>SUM($E67:L67)</f>
        <v>311.54000000000002</v>
      </c>
      <c r="AA67" s="76">
        <f>SUM($E67:M67)</f>
        <v>311.54000000000002</v>
      </c>
      <c r="AB67" s="76">
        <f>SUM($E67:N67)</f>
        <v>311.54000000000002</v>
      </c>
      <c r="AC67" s="76">
        <f>SUM($E67:O67)</f>
        <v>311.54000000000002</v>
      </c>
      <c r="AE67" s="76">
        <f t="shared" si="4"/>
        <v>41</v>
      </c>
      <c r="AF67" s="76">
        <f t="shared" si="5"/>
        <v>318.08233999999999</v>
      </c>
      <c r="AG67" s="76">
        <f t="shared" si="6"/>
        <v>324.76206913999994</v>
      </c>
      <c r="AH67" s="76">
        <f t="shared" si="7"/>
        <v>331.58207259193989</v>
      </c>
      <c r="AI67" s="76">
        <f t="shared" si="8"/>
        <v>338.54529611637059</v>
      </c>
      <c r="AJ67" s="76">
        <f t="shared" si="9"/>
        <v>345.65474733481432</v>
      </c>
      <c r="AK67" s="76">
        <f t="shared" si="10"/>
        <v>352.91349702884543</v>
      </c>
      <c r="AL67" s="76">
        <f t="shared" si="11"/>
        <v>360.32468046645113</v>
      </c>
      <c r="AM67" s="76">
        <f t="shared" si="12"/>
        <v>367.89149875624651</v>
      </c>
      <c r="AN67" s="76">
        <f t="shared" si="13"/>
        <v>375.61722023012766</v>
      </c>
      <c r="AP67" s="202" t="s">
        <v>216</v>
      </c>
      <c r="AQ67" s="202" t="s">
        <v>208</v>
      </c>
      <c r="AR67" s="155" cm="1">
        <f t="array" ref="AR67">_xlfn.IFS($AQ67=$AP$1,$AQ$1*AE67,$AQ67=$AP$2,$AQ$2*AE67,$AQ67=$AP$3,$AQ$3*AE67,$AQ67=$AP$4,$AQ$4*AE67)</f>
        <v>5.7929989413159859</v>
      </c>
      <c r="AS67" s="155" cm="1">
        <f t="array" ref="AS67">_xlfn.IFS($AQ67=$AP$1,$AQ$1*AF67,$AQ67=$AP$2,$AQ$2*AF67,$AQ67=$AP$3,$AQ$3*AF67,$AQ67=$AP$4,$AQ$4*AF67)</f>
        <v>44.942698996861253</v>
      </c>
      <c r="AT67" s="155" cm="1">
        <f t="array" ref="AT67">_xlfn.IFS($AQ67=$AP$1,$AQ$1*AG67,$AQ67=$AP$2,$AQ$2*AG67,$AQ67=$AP$3,$AQ$3*AG67,$AQ67=$AP$4,$AQ$4*AG67)</f>
        <v>45.886495675795331</v>
      </c>
      <c r="AU67" s="155" cm="1">
        <f t="array" ref="AU67">_xlfn.IFS($AQ67=$AP$1,$AQ$1*AH67,$AQ67=$AP$2,$AQ$2*AH67,$AQ67=$AP$3,$AQ$3*AH67,$AQ67=$AP$4,$AQ$4*AH67)</f>
        <v>46.850112084987032</v>
      </c>
      <c r="AV67" s="155" cm="1">
        <f t="array" ref="AV67">_xlfn.IFS($AQ67=$AP$1,$AQ$1*AI67,$AQ67=$AP$2,$AQ$2*AI67,$AQ67=$AP$3,$AQ$3*AI67,$AQ67=$AP$4,$AQ$4*AI67)</f>
        <v>47.833964438771751</v>
      </c>
      <c r="AW67" s="155" cm="1">
        <f t="array" ref="AW67">_xlfn.IFS($AQ67=$AP$1,$AQ$1*AJ67,$AQ67=$AP$2,$AQ$2*AJ67,$AQ67=$AP$3,$AQ$3*AJ67,$AQ67=$AP$4,$AQ$4*AJ67)</f>
        <v>48.83847769198595</v>
      </c>
      <c r="AX67" s="155" cm="1">
        <f t="array" ref="AX67">_xlfn.IFS($AQ67=$AP$1,$AQ$1*AK67,$AQ67=$AP$2,$AQ$2*AK67,$AQ67=$AP$3,$AQ$3*AK67,$AQ67=$AP$4,$AQ$4*AK67)</f>
        <v>49.864085723517654</v>
      </c>
      <c r="AY67" s="155" cm="1">
        <f t="array" ref="AY67">_xlfn.IFS($AQ67=$AP$1,$AQ$1*AL67,$AQ67=$AP$2,$AQ$2*AL67,$AQ67=$AP$3,$AQ$3*AL67,$AQ67=$AP$4,$AQ$4*AL67)</f>
        <v>50.911231523711521</v>
      </c>
      <c r="AZ67" s="155" cm="1">
        <f t="array" ref="AZ67">_xlfn.IFS($AQ67=$AP$1,$AQ$1*AM67,$AQ67=$AP$2,$AQ$2*AM67,$AQ67=$AP$3,$AQ$3*AM67,$AQ67=$AP$4,$AQ$4*AM67)</f>
        <v>51.980367385709449</v>
      </c>
      <c r="BA67" s="155" cm="1">
        <f t="array" ref="BA67">_xlfn.IFS($AQ67=$AP$1,$AQ$1*AN67,$AQ67=$AP$2,$AQ$2*AN67,$AQ67=$AP$3,$AQ$3*AN67,$AQ67=$AP$4,$AQ$4*AN67)</f>
        <v>53.07195510080934</v>
      </c>
      <c r="BB67" s="155">
        <f>Table2[[#This Row],[FINAL Project System Capacity (MW)]]</f>
        <v>2.2000000000000002</v>
      </c>
      <c r="BC67" s="155" t="str">
        <f>Table2[[#This Row],[FN Parent  '#]]</f>
        <v>Individual Project</v>
      </c>
      <c r="BD67" s="155">
        <f t="shared" si="25"/>
        <v>2.2000000000000002</v>
      </c>
      <c r="BE67" s="155">
        <f t="shared" si="26"/>
        <v>2.2000000000000002</v>
      </c>
      <c r="BF67" s="155">
        <f t="shared" si="14"/>
        <v>2.6331813369618118</v>
      </c>
      <c r="BG67" s="155">
        <f t="shared" si="15"/>
        <v>20.42849954402784</v>
      </c>
      <c r="BH67" s="155">
        <f t="shared" si="16"/>
        <v>20.857498034452423</v>
      </c>
      <c r="BI67" s="155">
        <f t="shared" si="17"/>
        <v>21.295505493175924</v>
      </c>
      <c r="BJ67" s="155">
        <f t="shared" si="18"/>
        <v>21.742711108532614</v>
      </c>
      <c r="BK67" s="155">
        <f t="shared" si="19"/>
        <v>22.199308041811793</v>
      </c>
      <c r="BL67" s="155">
        <f t="shared" si="20"/>
        <v>22.665493510689842</v>
      </c>
      <c r="BM67" s="155">
        <f t="shared" si="21"/>
        <v>23.141468874414326</v>
      </c>
      <c r="BN67" s="155">
        <f t="shared" si="22"/>
        <v>23.627439720777019</v>
      </c>
      <c r="BO67" s="155">
        <f t="shared" si="23"/>
        <v>24.123615954913333</v>
      </c>
      <c r="BP67" s="155">
        <f t="shared" si="24"/>
        <v>19.45991815496652</v>
      </c>
      <c r="BR67" s="206" t="s">
        <v>290</v>
      </c>
      <c r="BS67" s="155">
        <f t="shared" si="27"/>
        <v>440.02620200726483</v>
      </c>
      <c r="BT67" s="155">
        <f t="shared" si="28"/>
        <v>10</v>
      </c>
    </row>
    <row r="68" spans="1:72">
      <c r="A68" s="155" t="s">
        <v>243</v>
      </c>
      <c r="B68" s="155" t="s">
        <v>1345</v>
      </c>
      <c r="C68" s="155" t="s">
        <v>207</v>
      </c>
      <c r="D68" s="155">
        <v>12.5</v>
      </c>
      <c r="E68" s="189">
        <v>0</v>
      </c>
      <c r="F68" s="67">
        <v>0</v>
      </c>
      <c r="G68" s="67">
        <v>0</v>
      </c>
      <c r="H68" s="67">
        <v>0</v>
      </c>
      <c r="I68" s="67">
        <v>0</v>
      </c>
      <c r="J68" s="67">
        <v>0</v>
      </c>
      <c r="K68" s="67">
        <v>120.78</v>
      </c>
      <c r="L68" s="67">
        <v>1428.059</v>
      </c>
      <c r="M68" s="67">
        <v>6483.3940000000002</v>
      </c>
      <c r="N68" s="67">
        <v>9483.2100000000009</v>
      </c>
      <c r="O68" s="67">
        <v>8793.862000000001</v>
      </c>
      <c r="Q68" s="201" t="s">
        <v>243</v>
      </c>
      <c r="R68" s="201" t="s">
        <v>1345</v>
      </c>
      <c r="S68" s="201" t="s">
        <v>207</v>
      </c>
      <c r="T68" s="76">
        <f>SUM($E68:F68)</f>
        <v>0</v>
      </c>
      <c r="U68" s="76">
        <f>SUM($E68:G68)</f>
        <v>0</v>
      </c>
      <c r="V68" s="76">
        <f>SUM($E68:H68)</f>
        <v>0</v>
      </c>
      <c r="W68" s="76">
        <f>SUM($E68:I68)</f>
        <v>0</v>
      </c>
      <c r="X68" s="76">
        <f>SUM($E68:J68)</f>
        <v>0</v>
      </c>
      <c r="Y68" s="76">
        <f>SUM($E68:K68)</f>
        <v>120.78</v>
      </c>
      <c r="Z68" s="76">
        <f>SUM($E68:L68)</f>
        <v>1548.8389999999999</v>
      </c>
      <c r="AA68" s="76">
        <f>SUM($E68:M68)</f>
        <v>8032.2330000000002</v>
      </c>
      <c r="AB68" s="76">
        <f>SUM($E68:N68)</f>
        <v>17515.442999999999</v>
      </c>
      <c r="AC68" s="76">
        <f>SUM($E68:O68)</f>
        <v>26309.305</v>
      </c>
      <c r="AE68" s="76">
        <f t="shared" si="4"/>
        <v>0</v>
      </c>
      <c r="AF68" s="76">
        <f t="shared" si="5"/>
        <v>0</v>
      </c>
      <c r="AG68" s="76">
        <f t="shared" si="6"/>
        <v>0</v>
      </c>
      <c r="AH68" s="76">
        <f t="shared" si="7"/>
        <v>0</v>
      </c>
      <c r="AI68" s="76">
        <f t="shared" si="8"/>
        <v>0</v>
      </c>
      <c r="AJ68" s="76">
        <f t="shared" si="9"/>
        <v>134.00584317615355</v>
      </c>
      <c r="AK68" s="76">
        <f t="shared" si="10"/>
        <v>1754.5297163274695</v>
      </c>
      <c r="AL68" s="76">
        <f t="shared" si="11"/>
        <v>9290.0166564713491</v>
      </c>
      <c r="AM68" s="76">
        <f t="shared" si="12"/>
        <v>20683.644400878238</v>
      </c>
      <c r="AN68" s="76">
        <f t="shared" si="13"/>
        <v>31720.575240054561</v>
      </c>
      <c r="AP68" s="202" t="s">
        <v>216</v>
      </c>
      <c r="AQ68" s="201" t="s">
        <v>207</v>
      </c>
      <c r="AR68" s="155" cm="1">
        <f t="array" ref="AR68">_xlfn.IFS($AQ68=$AP$1,$AQ$1*AE68,$AQ68=$AP$2,$AQ$2*AE68,$AQ68=$AP$3,$AQ$3*AE68,$AQ68=$AP$4,$AQ$4*AE68)</f>
        <v>0</v>
      </c>
      <c r="AS68" s="155" cm="1">
        <f t="array" ref="AS68">_xlfn.IFS($AQ68=$AP$1,$AQ$1*AF68,$AQ68=$AP$2,$AQ$2*AF68,$AQ68=$AP$3,$AQ$3*AF68,$AQ68=$AP$4,$AQ$4*AF68)</f>
        <v>0</v>
      </c>
      <c r="AT68" s="155" cm="1">
        <f t="array" ref="AT68">_xlfn.IFS($AQ68=$AP$1,$AQ$1*AG68,$AQ68=$AP$2,$AQ$2*AG68,$AQ68=$AP$3,$AQ$3*AG68,$AQ68=$AP$4,$AQ$4*AG68)</f>
        <v>0</v>
      </c>
      <c r="AU68" s="155" cm="1">
        <f t="array" ref="AU68">_xlfn.IFS($AQ68=$AP$1,$AQ$1*AH68,$AQ68=$AP$2,$AQ$2*AH68,$AQ68=$AP$3,$AQ$3*AH68,$AQ68=$AP$4,$AQ$4*AH68)</f>
        <v>0</v>
      </c>
      <c r="AV68" s="155" cm="1">
        <f t="array" ref="AV68">_xlfn.IFS($AQ68=$AP$1,$AQ$1*AI68,$AQ68=$AP$2,$AQ$2*AI68,$AQ68=$AP$3,$AQ$3*AI68,$AQ68=$AP$4,$AQ$4*AI68)</f>
        <v>0</v>
      </c>
      <c r="AW68" s="155" cm="1">
        <f t="array" ref="AW68">_xlfn.IFS($AQ68=$AP$1,$AQ$1*AJ68,$AQ68=$AP$2,$AQ$2*AJ68,$AQ68=$AP$3,$AQ$3*AJ68,$AQ68=$AP$4,$AQ$4*AJ68)</f>
        <v>10.799810688664692</v>
      </c>
      <c r="AX68" s="155" cm="1">
        <f t="array" ref="AX68">_xlfn.IFS($AQ68=$AP$1,$AQ$1*AK68,$AQ68=$AP$2,$AQ$2*AK68,$AQ68=$AP$3,$AQ$3*AK68,$AQ68=$AP$4,$AQ$4*AK68)</f>
        <v>141.40121307296212</v>
      </c>
      <c r="AY68" s="155" cm="1">
        <f t="array" ref="AY68">_xlfn.IFS($AQ68=$AP$1,$AQ$1*AL68,$AQ68=$AP$2,$AQ$2*AL68,$AQ68=$AP$3,$AQ$3*AL68,$AQ68=$AP$4,$AQ$4*AL68)</f>
        <v>748.70183871419556</v>
      </c>
      <c r="AZ68" s="155" cm="1">
        <f t="array" ref="AZ68">_xlfn.IFS($AQ68=$AP$1,$AQ$1*AM68,$AQ68=$AP$2,$AQ$2*AM68,$AQ68=$AP$3,$AQ$3*AM68,$AQ68=$AP$4,$AQ$4*AM68)</f>
        <v>1666.9380870766013</v>
      </c>
      <c r="BA68" s="155" cm="1">
        <f t="array" ref="BA68">_xlfn.IFS($AQ68=$AP$1,$AQ$1*AN68,$AQ68=$AP$2,$AQ$2*AN68,$AQ68=$AP$3,$AQ$3*AN68,$AQ68=$AP$4,$AQ$4*AN68)</f>
        <v>2556.4273871088599</v>
      </c>
      <c r="BB68" s="155">
        <f>Table2[[#This Row],[FINAL Project System Capacity (MW)]]</f>
        <v>12.5</v>
      </c>
      <c r="BC68" s="155" t="str">
        <f>Table2[[#This Row],[FN Parent  '#]]</f>
        <v>Individual Project</v>
      </c>
      <c r="BD68" s="155">
        <f t="shared" si="25"/>
        <v>12.5</v>
      </c>
      <c r="BE68" s="155">
        <f t="shared" si="26"/>
        <v>12.5</v>
      </c>
      <c r="BF68" s="155">
        <f t="shared" si="14"/>
        <v>0</v>
      </c>
      <c r="BG68" s="155">
        <f t="shared" si="15"/>
        <v>0</v>
      </c>
      <c r="BH68" s="155">
        <f t="shared" si="16"/>
        <v>0</v>
      </c>
      <c r="BI68" s="155">
        <f t="shared" si="17"/>
        <v>0</v>
      </c>
      <c r="BJ68" s="155">
        <f t="shared" si="18"/>
        <v>0</v>
      </c>
      <c r="BK68" s="155">
        <f t="shared" si="19"/>
        <v>0.86398485509317535</v>
      </c>
      <c r="BL68" s="155">
        <f t="shared" si="20"/>
        <v>11.312097045836969</v>
      </c>
      <c r="BM68" s="155">
        <f t="shared" si="21"/>
        <v>59.896147097135646</v>
      </c>
      <c r="BN68" s="155">
        <f t="shared" si="22"/>
        <v>133.3550469661281</v>
      </c>
      <c r="BO68" s="155">
        <f t="shared" si="23"/>
        <v>204.51419096870879</v>
      </c>
      <c r="BP68" s="155">
        <f t="shared" si="24"/>
        <v>31.341147739897345</v>
      </c>
      <c r="BR68" s="206" t="s">
        <v>292</v>
      </c>
      <c r="BS68" s="155">
        <f t="shared" si="27"/>
        <v>338.56304971575628</v>
      </c>
      <c r="BT68" s="155">
        <f t="shared" si="28"/>
        <v>6.25</v>
      </c>
    </row>
    <row r="69" spans="1:72">
      <c r="A69" s="155" t="s">
        <v>244</v>
      </c>
      <c r="B69" s="155" t="s">
        <v>1034</v>
      </c>
      <c r="C69" s="155" t="s">
        <v>208</v>
      </c>
      <c r="D69" s="155">
        <v>6</v>
      </c>
      <c r="E69" s="189">
        <v>4437.1117599999998</v>
      </c>
      <c r="F69" s="67">
        <v>658.86915999999997</v>
      </c>
      <c r="G69" s="67">
        <v>0</v>
      </c>
      <c r="H69" s="67">
        <v>0</v>
      </c>
      <c r="I69" s="67">
        <v>0</v>
      </c>
      <c r="J69" s="67">
        <v>0</v>
      </c>
      <c r="K69" s="67">
        <v>0</v>
      </c>
      <c r="L69" s="67">
        <v>0</v>
      </c>
      <c r="M69" s="67">
        <v>0</v>
      </c>
      <c r="N69" s="67">
        <v>0</v>
      </c>
      <c r="O69" s="67">
        <v>0</v>
      </c>
      <c r="Q69" s="202" t="s">
        <v>244</v>
      </c>
      <c r="R69" s="202" t="s">
        <v>1034</v>
      </c>
      <c r="S69" s="202" t="s">
        <v>208</v>
      </c>
      <c r="T69" s="76">
        <f>SUM($E69:F69)</f>
        <v>5095.98092</v>
      </c>
      <c r="U69" s="76">
        <f>SUM($E69:G69)</f>
        <v>5095.98092</v>
      </c>
      <c r="V69" s="76">
        <f>SUM($E69:H69)</f>
        <v>5095.98092</v>
      </c>
      <c r="W69" s="76">
        <f>SUM($E69:I69)</f>
        <v>5095.98092</v>
      </c>
      <c r="X69" s="76">
        <f>SUM($E69:J69)</f>
        <v>5095.98092</v>
      </c>
      <c r="Y69" s="76">
        <f>SUM($E69:K69)</f>
        <v>5095.98092</v>
      </c>
      <c r="Z69" s="76">
        <f>SUM($E69:L69)</f>
        <v>5095.98092</v>
      </c>
      <c r="AA69" s="76">
        <f>SUM($E69:M69)</f>
        <v>5095.98092</v>
      </c>
      <c r="AB69" s="76">
        <f>SUM($E69:N69)</f>
        <v>5095.98092</v>
      </c>
      <c r="AC69" s="76">
        <f>SUM($E69:O69)</f>
        <v>5095.98092</v>
      </c>
      <c r="AE69" s="76">
        <f t="shared" si="4"/>
        <v>5095.98092</v>
      </c>
      <c r="AF69" s="76">
        <f t="shared" si="5"/>
        <v>5202.9965193199996</v>
      </c>
      <c r="AG69" s="76">
        <f t="shared" si="6"/>
        <v>5312.2594462257184</v>
      </c>
      <c r="AH69" s="76">
        <f t="shared" si="7"/>
        <v>5423.816894596458</v>
      </c>
      <c r="AI69" s="76">
        <f t="shared" si="8"/>
        <v>5537.7170493829826</v>
      </c>
      <c r="AJ69" s="76">
        <f t="shared" si="9"/>
        <v>5654.0091074200245</v>
      </c>
      <c r="AK69" s="76">
        <f t="shared" si="10"/>
        <v>5772.7432986758449</v>
      </c>
      <c r="AL69" s="76">
        <f t="shared" si="11"/>
        <v>5893.9709079480372</v>
      </c>
      <c r="AM69" s="76">
        <f t="shared" si="12"/>
        <v>6017.744297014945</v>
      </c>
      <c r="AN69" s="76">
        <f t="shared" si="13"/>
        <v>6144.1169272522575</v>
      </c>
      <c r="AP69" s="202" t="s">
        <v>244</v>
      </c>
      <c r="AQ69" s="202" t="s">
        <v>208</v>
      </c>
      <c r="AR69" s="155" cm="1">
        <f t="array" ref="AR69">_xlfn.IFS($AQ69=$AP$1,$AQ$1*AE69,$AQ69=$AP$2,$AQ$2*AE69,$AQ69=$AP$3,$AQ$3*AE69,$AQ69=$AP$4,$AQ$4*AE69)</f>
        <v>720.02468474454793</v>
      </c>
      <c r="AS69" s="155" cm="1">
        <f t="array" ref="AS69">_xlfn.IFS($AQ69=$AP$1,$AQ$1*AF69,$AQ69=$AP$2,$AQ$2*AF69,$AQ69=$AP$3,$AQ$3*AF69,$AQ69=$AP$4,$AQ$4*AF69)</f>
        <v>735.14520312418335</v>
      </c>
      <c r="AT69" s="155" cm="1">
        <f t="array" ref="AT69">_xlfn.IFS($AQ69=$AP$1,$AQ$1*AG69,$AQ69=$AP$2,$AQ$2*AG69,$AQ69=$AP$3,$AQ$3*AG69,$AQ69=$AP$4,$AQ$4*AG69)</f>
        <v>750.58325238979103</v>
      </c>
      <c r="AU69" s="155" cm="1">
        <f t="array" ref="AU69">_xlfn.IFS($AQ69=$AP$1,$AQ$1*AH69,$AQ69=$AP$2,$AQ$2*AH69,$AQ69=$AP$3,$AQ$3*AH69,$AQ69=$AP$4,$AQ$4*AH69)</f>
        <v>766.34550068997657</v>
      </c>
      <c r="AV69" s="155" cm="1">
        <f t="array" ref="AV69">_xlfn.IFS($AQ69=$AP$1,$AQ$1*AI69,$AQ69=$AP$2,$AQ$2*AI69,$AQ69=$AP$3,$AQ$3*AI69,$AQ69=$AP$4,$AQ$4*AI69)</f>
        <v>782.4387562044659</v>
      </c>
      <c r="AW69" s="155" cm="1">
        <f t="array" ref="AW69">_xlfn.IFS($AQ69=$AP$1,$AQ$1*AJ69,$AQ69=$AP$2,$AQ$2*AJ69,$AQ69=$AP$3,$AQ$3*AJ69,$AQ69=$AP$4,$AQ$4*AJ69)</f>
        <v>798.86997008475964</v>
      </c>
      <c r="AX69" s="155" cm="1">
        <f t="array" ref="AX69">_xlfn.IFS($AQ69=$AP$1,$AQ$1*AK69,$AQ69=$AP$2,$AQ$2*AK69,$AQ69=$AP$3,$AQ$3*AK69,$AQ69=$AP$4,$AQ$4*AK69)</f>
        <v>815.64623945653955</v>
      </c>
      <c r="AY69" s="155" cm="1">
        <f t="array" ref="AY69">_xlfn.IFS($AQ69=$AP$1,$AQ$1*AL69,$AQ69=$AP$2,$AQ$2*AL69,$AQ69=$AP$3,$AQ$3*AL69,$AQ69=$AP$4,$AQ$4*AL69)</f>
        <v>832.77481048512686</v>
      </c>
      <c r="AZ69" s="155" cm="1">
        <f t="array" ref="AZ69">_xlfn.IFS($AQ69=$AP$1,$AQ$1*AM69,$AQ69=$AP$2,$AQ$2*AM69,$AQ69=$AP$3,$AQ$3*AM69,$AQ69=$AP$4,$AQ$4*AM69)</f>
        <v>850.2630815053144</v>
      </c>
      <c r="BA69" s="155" cm="1">
        <f t="array" ref="BA69">_xlfn.IFS($AQ69=$AP$1,$AQ$1*AN69,$AQ69=$AP$2,$AQ$2*AN69,$AQ69=$AP$3,$AQ$3*AN69,$AQ69=$AP$4,$AQ$4*AN69)</f>
        <v>868.11860621692574</v>
      </c>
      <c r="BB69" s="155">
        <f>Table2[[#This Row],[FINAL Project System Capacity (MW)]]</f>
        <v>6</v>
      </c>
      <c r="BC69" s="155" t="str">
        <f>Table2[[#This Row],[FN Parent  '#]]</f>
        <v>FN005875</v>
      </c>
      <c r="BD69" s="155">
        <f t="shared" si="25"/>
        <v>6</v>
      </c>
      <c r="BE69" s="155">
        <f t="shared" si="26"/>
        <v>6</v>
      </c>
      <c r="BF69" s="155">
        <f t="shared" si="14"/>
        <v>120.00411412409132</v>
      </c>
      <c r="BG69" s="155">
        <f t="shared" si="15"/>
        <v>122.52420052069722</v>
      </c>
      <c r="BH69" s="155">
        <f t="shared" si="16"/>
        <v>125.09720873163184</v>
      </c>
      <c r="BI69" s="155">
        <f t="shared" si="17"/>
        <v>127.7242501149961</v>
      </c>
      <c r="BJ69" s="155">
        <f t="shared" si="18"/>
        <v>130.40645936741097</v>
      </c>
      <c r="BK69" s="155">
        <f t="shared" si="19"/>
        <v>133.14499501412661</v>
      </c>
      <c r="BL69" s="155">
        <f t="shared" si="20"/>
        <v>135.94103990942327</v>
      </c>
      <c r="BM69" s="155">
        <f t="shared" si="21"/>
        <v>138.79580174752115</v>
      </c>
      <c r="BN69" s="155">
        <f t="shared" si="22"/>
        <v>141.71051358421906</v>
      </c>
      <c r="BO69" s="155">
        <f t="shared" si="23"/>
        <v>144.68643436948761</v>
      </c>
      <c r="BP69" s="155">
        <f t="shared" si="24"/>
        <v>130.51513535096691</v>
      </c>
      <c r="BR69" s="206" t="s">
        <v>294</v>
      </c>
      <c r="BS69" s="155">
        <f t="shared" si="27"/>
        <v>11.710457909816734</v>
      </c>
      <c r="BT69" s="155">
        <f t="shared" si="28"/>
        <v>5</v>
      </c>
    </row>
    <row r="70" spans="1:72">
      <c r="A70" s="155" t="s">
        <v>244</v>
      </c>
      <c r="B70" s="155" t="s">
        <v>1034</v>
      </c>
      <c r="C70" s="155" t="s">
        <v>207</v>
      </c>
      <c r="D70" s="155">
        <v>6</v>
      </c>
      <c r="E70" s="189">
        <v>16666.251840000001</v>
      </c>
      <c r="F70" s="67">
        <v>739.86738000000003</v>
      </c>
      <c r="G70" s="67">
        <v>0</v>
      </c>
      <c r="H70" s="67">
        <v>0</v>
      </c>
      <c r="I70" s="67">
        <v>0</v>
      </c>
      <c r="J70" s="67">
        <v>0</v>
      </c>
      <c r="K70" s="67">
        <v>0</v>
      </c>
      <c r="L70" s="67">
        <v>0</v>
      </c>
      <c r="M70" s="67">
        <v>0</v>
      </c>
      <c r="N70" s="67">
        <v>0</v>
      </c>
      <c r="O70" s="67">
        <v>0</v>
      </c>
      <c r="Q70" s="201" t="s">
        <v>244</v>
      </c>
      <c r="R70" s="201" t="s">
        <v>1034</v>
      </c>
      <c r="S70" s="201" t="s">
        <v>207</v>
      </c>
      <c r="T70" s="76">
        <f>SUM($E70:F70)</f>
        <v>17406.11922</v>
      </c>
      <c r="U70" s="76">
        <f>SUM($E70:G70)</f>
        <v>17406.11922</v>
      </c>
      <c r="V70" s="76">
        <f>SUM($E70:H70)</f>
        <v>17406.11922</v>
      </c>
      <c r="W70" s="76">
        <f>SUM($E70:I70)</f>
        <v>17406.11922</v>
      </c>
      <c r="X70" s="76">
        <f>SUM($E70:J70)</f>
        <v>17406.11922</v>
      </c>
      <c r="Y70" s="76">
        <f>SUM($E70:K70)</f>
        <v>17406.11922</v>
      </c>
      <c r="Z70" s="76">
        <f>SUM($E70:L70)</f>
        <v>17406.11922</v>
      </c>
      <c r="AA70" s="76">
        <f>SUM($E70:M70)</f>
        <v>17406.11922</v>
      </c>
      <c r="AB70" s="76">
        <f>SUM($E70:N70)</f>
        <v>17406.11922</v>
      </c>
      <c r="AC70" s="76">
        <f>SUM($E70:O70)</f>
        <v>17406.11922</v>
      </c>
      <c r="AE70" s="76">
        <f t="shared" si="4"/>
        <v>17406.11922</v>
      </c>
      <c r="AF70" s="76">
        <f t="shared" si="5"/>
        <v>17771.647723619997</v>
      </c>
      <c r="AG70" s="76">
        <f t="shared" si="6"/>
        <v>18144.852325816017</v>
      </c>
      <c r="AH70" s="76">
        <f t="shared" si="7"/>
        <v>18525.89422465815</v>
      </c>
      <c r="AI70" s="76">
        <f t="shared" si="8"/>
        <v>18914.93800337597</v>
      </c>
      <c r="AJ70" s="76">
        <f t="shared" si="9"/>
        <v>19312.151701446863</v>
      </c>
      <c r="AK70" s="76">
        <f t="shared" si="10"/>
        <v>19717.706887177243</v>
      </c>
      <c r="AL70" s="76">
        <f t="shared" si="11"/>
        <v>20131.778731807965</v>
      </c>
      <c r="AM70" s="76">
        <f t="shared" si="12"/>
        <v>20554.546085175927</v>
      </c>
      <c r="AN70" s="76">
        <f t="shared" si="13"/>
        <v>20986.191552964618</v>
      </c>
      <c r="AP70" s="201" t="s">
        <v>244</v>
      </c>
      <c r="AQ70" s="201" t="s">
        <v>207</v>
      </c>
      <c r="AR70" s="155" cm="1">
        <f t="array" ref="AR70">_xlfn.IFS($AQ70=$AP$1,$AQ$1*AE70,$AQ70=$AP$2,$AQ$2*AE70,$AQ70=$AP$3,$AQ$3*AE70,$AQ70=$AP$4,$AQ$4*AE70)</f>
        <v>1402.7954896953302</v>
      </c>
      <c r="AS70" s="155" cm="1">
        <f t="array" ref="AS70">_xlfn.IFS($AQ70=$AP$1,$AQ$1*AF70,$AQ70=$AP$2,$AQ$2*AF70,$AQ70=$AP$3,$AQ$3*AF70,$AQ70=$AP$4,$AQ$4*AF70)</f>
        <v>1432.254194978932</v>
      </c>
      <c r="AT70" s="155" cm="1">
        <f t="array" ref="AT70">_xlfn.IFS($AQ70=$AP$1,$AQ$1*AG70,$AQ70=$AP$2,$AQ$2*AG70,$AQ70=$AP$3,$AQ$3*AG70,$AQ70=$AP$4,$AQ$4*AG70)</f>
        <v>1462.3315330734895</v>
      </c>
      <c r="AU70" s="155" cm="1">
        <f t="array" ref="AU70">_xlfn.IFS($AQ70=$AP$1,$AQ$1*AH70,$AQ70=$AP$2,$AQ$2*AH70,$AQ70=$AP$3,$AQ$3*AH70,$AQ70=$AP$4,$AQ$4*AH70)</f>
        <v>1493.0404952680324</v>
      </c>
      <c r="AV70" s="155" cm="1">
        <f t="array" ref="AV70">_xlfn.IFS($AQ70=$AP$1,$AQ$1*AI70,$AQ70=$AP$2,$AQ$2*AI70,$AQ70=$AP$3,$AQ$3*AI70,$AQ70=$AP$4,$AQ$4*AI70)</f>
        <v>1524.3943456686611</v>
      </c>
      <c r="AW70" s="155" cm="1">
        <f t="array" ref="AW70">_xlfn.IFS($AQ70=$AP$1,$AQ$1*AJ70,$AQ70=$AP$2,$AQ$2*AJ70,$AQ70=$AP$3,$AQ$3*AJ70,$AQ70=$AP$4,$AQ$4*AJ70)</f>
        <v>1556.4066269277027</v>
      </c>
      <c r="AX70" s="155" cm="1">
        <f t="array" ref="AX70">_xlfn.IFS($AQ70=$AP$1,$AQ$1*AK70,$AQ70=$AP$2,$AQ$2*AK70,$AQ70=$AP$3,$AQ$3*AK70,$AQ70=$AP$4,$AQ$4*AK70)</f>
        <v>1589.0911660931843</v>
      </c>
      <c r="AY70" s="155" cm="1">
        <f t="array" ref="AY70">_xlfn.IFS($AQ70=$AP$1,$AQ$1*AL70,$AQ70=$AP$2,$AQ$2*AL70,$AQ70=$AP$3,$AQ$3*AL70,$AQ70=$AP$4,$AQ$4*AL70)</f>
        <v>1622.462080581141</v>
      </c>
      <c r="AZ70" s="155" cm="1">
        <f t="array" ref="AZ70">_xlfn.IFS($AQ70=$AP$1,$AQ$1*AM70,$AQ70=$AP$2,$AQ$2*AM70,$AQ70=$AP$3,$AQ$3*AM70,$AQ70=$AP$4,$AQ$4*AM70)</f>
        <v>1656.5337842733445</v>
      </c>
      <c r="BA70" s="155" cm="1">
        <f t="array" ref="BA70">_xlfn.IFS($AQ70=$AP$1,$AQ$1*AN70,$AQ70=$AP$2,$AQ$2*AN70,$AQ70=$AP$3,$AQ$3*AN70,$AQ70=$AP$4,$AQ$4*AN70)</f>
        <v>1691.3209937430845</v>
      </c>
      <c r="BB70" s="155">
        <f>Table2[[#This Row],[FINAL Project System Capacity (MW)]]</f>
        <v>6</v>
      </c>
      <c r="BC70" s="155" t="str">
        <f>Table2[[#This Row],[FN Parent  '#]]</f>
        <v>FN005875</v>
      </c>
      <c r="BD70" s="155">
        <f t="shared" si="25"/>
        <v>6</v>
      </c>
      <c r="BF70" s="155">
        <f t="shared" si="14"/>
        <v>233.79924828255503</v>
      </c>
      <c r="BG70" s="155">
        <f t="shared" si="15"/>
        <v>238.70903249648867</v>
      </c>
      <c r="BH70" s="155">
        <f t="shared" si="16"/>
        <v>243.72192217891492</v>
      </c>
      <c r="BI70" s="155">
        <f t="shared" si="17"/>
        <v>248.84008254467207</v>
      </c>
      <c r="BJ70" s="155">
        <f t="shared" si="18"/>
        <v>254.0657242781102</v>
      </c>
      <c r="BK70" s="155">
        <f t="shared" si="19"/>
        <v>259.40110448795048</v>
      </c>
      <c r="BL70" s="155">
        <f t="shared" si="20"/>
        <v>264.84852768219736</v>
      </c>
      <c r="BM70" s="155">
        <f t="shared" si="21"/>
        <v>270.41034676352348</v>
      </c>
      <c r="BN70" s="155">
        <f t="shared" si="22"/>
        <v>276.08896404555742</v>
      </c>
      <c r="BO70" s="155">
        <f t="shared" si="23"/>
        <v>281.88683229051406</v>
      </c>
      <c r="BP70" s="155">
        <f t="shared" si="24"/>
        <v>254.27745337962639</v>
      </c>
      <c r="BR70" s="206" t="s">
        <v>296</v>
      </c>
      <c r="BS70" s="155">
        <f t="shared" ref="BS70:BS101" si="29">SUMIFS($BP$6:$BP$243,$AP$6:$AP$243,$BR70)</f>
        <v>102.5059232420647</v>
      </c>
      <c r="BT70" s="155">
        <f t="shared" ref="BT70:BT101" si="30">SUMIFS($BE$6:$BE$243,$AP$6:$AP$243,$BR70)</f>
        <v>5.3</v>
      </c>
    </row>
    <row r="71" spans="1:72">
      <c r="A71" s="155" t="s">
        <v>245</v>
      </c>
      <c r="B71" s="155" t="s">
        <v>1024</v>
      </c>
      <c r="C71" s="155" t="s">
        <v>208</v>
      </c>
      <c r="D71" s="155">
        <v>9</v>
      </c>
      <c r="E71" s="189">
        <v>0</v>
      </c>
      <c r="F71" s="67">
        <v>10</v>
      </c>
      <c r="G71" s="67">
        <v>10</v>
      </c>
      <c r="H71" s="67">
        <v>40</v>
      </c>
      <c r="I71" s="67">
        <v>130</v>
      </c>
      <c r="J71" s="67">
        <v>150</v>
      </c>
      <c r="K71" s="67">
        <v>0</v>
      </c>
      <c r="L71" s="67">
        <v>0</v>
      </c>
      <c r="M71" s="67">
        <v>0</v>
      </c>
      <c r="N71" s="67">
        <v>0</v>
      </c>
      <c r="O71" s="67">
        <v>0</v>
      </c>
      <c r="Q71" s="202" t="s">
        <v>245</v>
      </c>
      <c r="R71" s="202" t="s">
        <v>1024</v>
      </c>
      <c r="S71" s="202" t="s">
        <v>208</v>
      </c>
      <c r="T71" s="76">
        <f>SUM($E71:F72)</f>
        <v>30</v>
      </c>
      <c r="U71" s="76">
        <f>SUM($E71:G72)</f>
        <v>60</v>
      </c>
      <c r="V71" s="76">
        <f>SUM($E71:H72)</f>
        <v>223</v>
      </c>
      <c r="W71" s="76">
        <f>SUM($E71:I72)</f>
        <v>399.01591999999999</v>
      </c>
      <c r="X71" s="76">
        <f>SUM($E71:J72)</f>
        <v>2230.7265200000002</v>
      </c>
      <c r="Y71" s="76">
        <f>SUM($E71:K72)</f>
        <v>2830.7265200000002</v>
      </c>
      <c r="Z71" s="76">
        <f>SUM($E71:L72)</f>
        <v>2830.7265200000002</v>
      </c>
      <c r="AA71" s="76">
        <f>SUM($E71:M72)</f>
        <v>2830.7265200000002</v>
      </c>
      <c r="AB71" s="76">
        <f>SUM($E71:N72)</f>
        <v>2830.7265200000002</v>
      </c>
      <c r="AC71" s="76">
        <f>SUM($E71:O72)</f>
        <v>2830.7265200000002</v>
      </c>
      <c r="AE71" s="76">
        <f t="shared" ref="AE71:AE134" si="31">T71*$AE$3^(AE$5-$AE$5)</f>
        <v>30</v>
      </c>
      <c r="AF71" s="76">
        <f t="shared" ref="AF71:AF134" si="32">U71*$AE$3^(AF$5-$AE$5)</f>
        <v>61.259999999999991</v>
      </c>
      <c r="AG71" s="76">
        <f t="shared" ref="AG71:AG134" si="33">V71*$AE$3^(AG$5-$AE$5)</f>
        <v>232.46434299999993</v>
      </c>
      <c r="AH71" s="76">
        <f t="shared" ref="AH71:AH134" si="34">W71*$AE$3^(AH$5-$AE$5)</f>
        <v>424.68551630859497</v>
      </c>
      <c r="AI71" s="76">
        <f t="shared" ref="AI71:AI134" si="35">X71*$AE$3^(AI$5-$AE$5)</f>
        <v>2424.0931189190501</v>
      </c>
      <c r="AJ71" s="76">
        <f t="shared" ref="AJ71:AJ134" si="36">Y71*$AE$3^(AJ$5-$AE$5)</f>
        <v>3140.70122630981</v>
      </c>
      <c r="AK71" s="76">
        <f t="shared" ref="AK71:AK134" si="37">Z71*$AE$3^(AK$5-$AE$5)</f>
        <v>3206.6559520623159</v>
      </c>
      <c r="AL71" s="76">
        <f t="shared" ref="AL71:AL134" si="38">AA71*$AE$3^(AL$5-$AE$5)</f>
        <v>3273.9957270556242</v>
      </c>
      <c r="AM71" s="76">
        <f t="shared" ref="AM71:AM134" si="39">AB71*$AE$3^(AM$5-$AE$5)</f>
        <v>3342.7496373237918</v>
      </c>
      <c r="AN71" s="76">
        <f t="shared" ref="AN71:AN134" si="40">AC71*$AE$3^(AN$5-$AE$5)</f>
        <v>3412.9473797075907</v>
      </c>
      <c r="AP71" s="202" t="s">
        <v>245</v>
      </c>
      <c r="AQ71" s="202" t="s">
        <v>208</v>
      </c>
      <c r="AR71" s="155" cm="1">
        <f t="array" ref="AR71">_xlfn.IFS($AQ71=$AP$1,$AQ$1*AE71,$AQ71=$AP$2,$AQ$2*AE71,$AQ71=$AP$3,$AQ$3*AE71,$AQ71=$AP$4,$AQ$4*AE71)</f>
        <v>4.2387797131580385</v>
      </c>
      <c r="AS71" s="155" cm="1">
        <f t="array" ref="AS71">_xlfn.IFS($AQ71=$AP$1,$AQ$1*AF71,$AQ71=$AP$2,$AQ$2*AF71,$AQ71=$AP$3,$AQ$3*AF71,$AQ71=$AP$4,$AQ$4*AF71)</f>
        <v>8.6555881742687131</v>
      </c>
      <c r="AT71" s="155" cm="1">
        <f t="array" ref="AT71">_xlfn.IFS($AQ71=$AP$1,$AQ$1*AG71,$AQ71=$AP$2,$AQ$2*AG71,$AQ71=$AP$3,$AQ$3*AG71,$AQ71=$AP$4,$AQ$4*AG71)</f>
        <v>32.845504704700389</v>
      </c>
      <c r="AU71" s="155" cm="1">
        <f t="array" ref="AU71">_xlfn.IFS($AQ71=$AP$1,$AQ$1*AH71,$AQ71=$AP$2,$AQ$2*AH71,$AQ71=$AP$3,$AQ$3*AH71,$AQ71=$AP$4,$AQ$4*AH71)</f>
        <v>60.004945033363988</v>
      </c>
      <c r="AV71" s="155" cm="1">
        <f t="array" ref="AV71">_xlfn.IFS($AQ71=$AP$1,$AQ$1*AI71,$AQ71=$AP$2,$AQ$2*AI71,$AQ71=$AP$3,$AQ$3*AI71,$AQ71=$AP$4,$AQ$4*AI71)</f>
        <v>342.50655784266888</v>
      </c>
      <c r="AW71" s="155" cm="1">
        <f t="array" ref="AW71">_xlfn.IFS($AQ71=$AP$1,$AQ$1*AJ71,$AQ71=$AP$2,$AQ$2*AJ71,$AQ71=$AP$3,$AQ$3*AJ71,$AQ71=$AP$4,$AQ$4*AJ71)</f>
        <v>443.75802143908652</v>
      </c>
      <c r="AX71" s="155" cm="1">
        <f t="array" ref="AX71">_xlfn.IFS($AQ71=$AP$1,$AQ$1*AK71,$AQ71=$AP$2,$AQ$2*AK71,$AQ71=$AP$3,$AQ$3*AK71,$AQ71=$AP$4,$AQ$4*AK71)</f>
        <v>453.07693988930737</v>
      </c>
      <c r="AY71" s="155" cm="1">
        <f t="array" ref="AY71">_xlfn.IFS($AQ71=$AP$1,$AQ$1*AL71,$AQ71=$AP$2,$AQ$2*AL71,$AQ71=$AP$3,$AQ$3*AL71,$AQ71=$AP$4,$AQ$4*AL71)</f>
        <v>462.59155562698277</v>
      </c>
      <c r="AZ71" s="155" cm="1">
        <f t="array" ref="AZ71">_xlfn.IFS($AQ71=$AP$1,$AQ$1*AM71,$AQ71=$AP$2,$AQ$2*AM71,$AQ71=$AP$3,$AQ$3*AM71,$AQ71=$AP$4,$AQ$4*AM71)</f>
        <v>472.30597829514932</v>
      </c>
      <c r="BA71" s="155" cm="1">
        <f t="array" ref="BA71">_xlfn.IFS($AQ71=$AP$1,$AQ$1*AN71,$AQ71=$AP$2,$AQ$2*AN71,$AQ71=$AP$3,$AQ$3*AN71,$AQ71=$AP$4,$AQ$4*AN71)</f>
        <v>482.22440383934736</v>
      </c>
      <c r="BB71" s="155">
        <f>Table2[[#This Row],[FINAL Project System Capacity (MW)]]</f>
        <v>9</v>
      </c>
      <c r="BC71" s="155" t="str">
        <f>Table2[[#This Row],[FN Parent  '#]]</f>
        <v>FN005840</v>
      </c>
      <c r="BD71" s="155">
        <f t="shared" ref="BD71:BD134" si="41">BB71</f>
        <v>9</v>
      </c>
      <c r="BE71" s="155">
        <f t="shared" ref="BE71:BE134" si="42">BD71</f>
        <v>9</v>
      </c>
      <c r="BF71" s="155">
        <f t="shared" ref="BF71:BF134" si="43">IFERROR(AR71/$BD71,"")</f>
        <v>0.47097552368422652</v>
      </c>
      <c r="BG71" s="155">
        <f t="shared" ref="BG71:BG134" si="44">IFERROR(AS71/$BD71,"")</f>
        <v>0.9617320193631903</v>
      </c>
      <c r="BH71" s="155">
        <f t="shared" ref="BH71:BH134" si="45">IFERROR(AT71/$BD71,"")</f>
        <v>3.6495005227444874</v>
      </c>
      <c r="BI71" s="155">
        <f t="shared" ref="BI71:BI134" si="46">IFERROR(AU71/$BD71,"")</f>
        <v>6.6672161148182205</v>
      </c>
      <c r="BJ71" s="155">
        <f t="shared" ref="BJ71:BJ134" si="47">IFERROR(AV71/$BD71,"")</f>
        <v>38.05628420474099</v>
      </c>
      <c r="BK71" s="155">
        <f t="shared" ref="BK71:BK134" si="48">IFERROR(AW71/$BD71,"")</f>
        <v>49.306446826565171</v>
      </c>
      <c r="BL71" s="155">
        <f t="shared" ref="BL71:BL134" si="49">IFERROR(AX71/$BD71,"")</f>
        <v>50.341882209923043</v>
      </c>
      <c r="BM71" s="155">
        <f t="shared" ref="BM71:BM134" si="50">IFERROR(AY71/$BD71,"")</f>
        <v>51.399061736331419</v>
      </c>
      <c r="BN71" s="155">
        <f t="shared" ref="BN71:BN134" si="51">IFERROR(AZ71/$BD71,"")</f>
        <v>52.478442032794369</v>
      </c>
      <c r="BO71" s="155">
        <f t="shared" ref="BO71:BO134" si="52">IFERROR(BA71/$BD71,"")</f>
        <v>53.580489315483042</v>
      </c>
      <c r="BP71" s="155">
        <f t="shared" ref="BP71:BP134" si="53">NPV($BP$2,BF71:BO71)/((1-(1+$BP$2)^-10)/$BP$2)</f>
        <v>26.611071790892154</v>
      </c>
      <c r="BR71" s="206" t="s">
        <v>316</v>
      </c>
      <c r="BS71" s="155">
        <f t="shared" si="29"/>
        <v>44.231462610495925</v>
      </c>
      <c r="BT71" s="155">
        <f t="shared" si="30"/>
        <v>20</v>
      </c>
    </row>
    <row r="72" spans="1:72">
      <c r="A72" s="155" t="s">
        <v>245</v>
      </c>
      <c r="B72" s="155" t="s">
        <v>1024</v>
      </c>
      <c r="C72" s="155" t="s">
        <v>208</v>
      </c>
      <c r="D72" s="155">
        <v>9</v>
      </c>
      <c r="E72" s="189">
        <v>0</v>
      </c>
      <c r="F72" s="67">
        <v>20</v>
      </c>
      <c r="G72" s="67">
        <v>20</v>
      </c>
      <c r="H72" s="67">
        <v>123</v>
      </c>
      <c r="I72" s="67">
        <v>46.015920000000001</v>
      </c>
      <c r="J72" s="67">
        <v>1681.7106000000001</v>
      </c>
      <c r="K72" s="67">
        <v>600</v>
      </c>
      <c r="L72" s="67">
        <v>0</v>
      </c>
      <c r="M72" s="67">
        <v>0</v>
      </c>
      <c r="N72" s="67">
        <v>0</v>
      </c>
      <c r="O72" s="67">
        <v>0</v>
      </c>
      <c r="Q72" s="201" t="s">
        <v>245</v>
      </c>
      <c r="R72" s="201" t="s">
        <v>1024</v>
      </c>
      <c r="S72" s="201" t="s">
        <v>208</v>
      </c>
      <c r="U72" s="155"/>
      <c r="V72" s="155"/>
      <c r="W72" s="155"/>
      <c r="X72" s="155"/>
      <c r="Y72" s="155"/>
      <c r="Z72" s="155"/>
      <c r="AA72" s="155"/>
      <c r="AB72" s="155"/>
      <c r="AC72" s="155"/>
      <c r="AE72" s="76">
        <f t="shared" si="31"/>
        <v>0</v>
      </c>
      <c r="AF72" s="76">
        <f t="shared" si="32"/>
        <v>0</v>
      </c>
      <c r="AG72" s="76">
        <f t="shared" si="33"/>
        <v>0</v>
      </c>
      <c r="AH72" s="76">
        <f t="shared" si="34"/>
        <v>0</v>
      </c>
      <c r="AI72" s="76">
        <f t="shared" si="35"/>
        <v>0</v>
      </c>
      <c r="AJ72" s="76">
        <f t="shared" si="36"/>
        <v>0</v>
      </c>
      <c r="AK72" s="76">
        <f t="shared" si="37"/>
        <v>0</v>
      </c>
      <c r="AL72" s="76">
        <f t="shared" si="38"/>
        <v>0</v>
      </c>
      <c r="AM72" s="76">
        <f t="shared" si="39"/>
        <v>0</v>
      </c>
      <c r="AN72" s="76">
        <f t="shared" si="40"/>
        <v>0</v>
      </c>
      <c r="AP72" s="201" t="s">
        <v>245</v>
      </c>
      <c r="AQ72" s="201" t="s">
        <v>208</v>
      </c>
      <c r="AR72" s="155" cm="1">
        <f t="array" ref="AR72">_xlfn.IFS($AQ72=$AP$1,$AQ$1*AE72,$AQ72=$AP$2,$AQ$2*AE72,$AQ72=$AP$3,$AQ$3*AE72,$AQ72=$AP$4,$AQ$4*AE72)</f>
        <v>0</v>
      </c>
      <c r="AS72" s="155" cm="1">
        <f t="array" ref="AS72">_xlfn.IFS($AQ72=$AP$1,$AQ$1*AF72,$AQ72=$AP$2,$AQ$2*AF72,$AQ72=$AP$3,$AQ$3*AF72,$AQ72=$AP$4,$AQ$4*AF72)</f>
        <v>0</v>
      </c>
      <c r="AT72" s="155" cm="1">
        <f t="array" ref="AT72">_xlfn.IFS($AQ72=$AP$1,$AQ$1*AG72,$AQ72=$AP$2,$AQ$2*AG72,$AQ72=$AP$3,$AQ$3*AG72,$AQ72=$AP$4,$AQ$4*AG72)</f>
        <v>0</v>
      </c>
      <c r="AU72" s="155" cm="1">
        <f t="array" ref="AU72">_xlfn.IFS($AQ72=$AP$1,$AQ$1*AH72,$AQ72=$AP$2,$AQ$2*AH72,$AQ72=$AP$3,$AQ$3*AH72,$AQ72=$AP$4,$AQ$4*AH72)</f>
        <v>0</v>
      </c>
      <c r="AV72" s="155" cm="1">
        <f t="array" ref="AV72">_xlfn.IFS($AQ72=$AP$1,$AQ$1*AI72,$AQ72=$AP$2,$AQ$2*AI72,$AQ72=$AP$3,$AQ$3*AI72,$AQ72=$AP$4,$AQ$4*AI72)</f>
        <v>0</v>
      </c>
      <c r="AW72" s="155" cm="1">
        <f t="array" ref="AW72">_xlfn.IFS($AQ72=$AP$1,$AQ$1*AJ72,$AQ72=$AP$2,$AQ$2*AJ72,$AQ72=$AP$3,$AQ$3*AJ72,$AQ72=$AP$4,$AQ$4*AJ72)</f>
        <v>0</v>
      </c>
      <c r="AX72" s="155" cm="1">
        <f t="array" ref="AX72">_xlfn.IFS($AQ72=$AP$1,$AQ$1*AK72,$AQ72=$AP$2,$AQ$2*AK72,$AQ72=$AP$3,$AQ$3*AK72,$AQ72=$AP$4,$AQ$4*AK72)</f>
        <v>0</v>
      </c>
      <c r="AY72" s="155" cm="1">
        <f t="array" ref="AY72">_xlfn.IFS($AQ72=$AP$1,$AQ$1*AL72,$AQ72=$AP$2,$AQ$2*AL72,$AQ72=$AP$3,$AQ$3*AL72,$AQ72=$AP$4,$AQ$4*AL72)</f>
        <v>0</v>
      </c>
      <c r="AZ72" s="155" cm="1">
        <f t="array" ref="AZ72">_xlfn.IFS($AQ72=$AP$1,$AQ$1*AM72,$AQ72=$AP$2,$AQ$2*AM72,$AQ72=$AP$3,$AQ$3*AM72,$AQ72=$AP$4,$AQ$4*AM72)</f>
        <v>0</v>
      </c>
      <c r="BA72" s="155" cm="1">
        <f t="array" ref="BA72">_xlfn.IFS($AQ72=$AP$1,$AQ$1*AN72,$AQ72=$AP$2,$AQ$2*AN72,$AQ72=$AP$3,$AQ$3*AN72,$AQ72=$AP$4,$AQ$4*AN72)</f>
        <v>0</v>
      </c>
      <c r="BB72" s="155"/>
      <c r="BC72" s="155" t="str">
        <f>Table2[[#This Row],[FN Parent  '#]]</f>
        <v>FN005840</v>
      </c>
      <c r="BD72" s="155">
        <f t="shared" si="41"/>
        <v>0</v>
      </c>
      <c r="BF72" s="155" t="str">
        <f t="shared" si="43"/>
        <v/>
      </c>
      <c r="BG72" s="155" t="str">
        <f t="shared" si="44"/>
        <v/>
      </c>
      <c r="BH72" s="155" t="str">
        <f t="shared" si="45"/>
        <v/>
      </c>
      <c r="BI72" s="155" t="str">
        <f t="shared" si="46"/>
        <v/>
      </c>
      <c r="BJ72" s="155" t="str">
        <f t="shared" si="47"/>
        <v/>
      </c>
      <c r="BK72" s="155" t="str">
        <f t="shared" si="48"/>
        <v/>
      </c>
      <c r="BL72" s="155" t="str">
        <f t="shared" si="49"/>
        <v/>
      </c>
      <c r="BM72" s="155" t="str">
        <f t="shared" si="50"/>
        <v/>
      </c>
      <c r="BN72" s="155" t="str">
        <f t="shared" si="51"/>
        <v/>
      </c>
      <c r="BO72" s="155" t="str">
        <f t="shared" si="52"/>
        <v/>
      </c>
      <c r="BP72" s="155">
        <f t="shared" si="53"/>
        <v>0</v>
      </c>
      <c r="BR72" s="206" t="s">
        <v>298</v>
      </c>
      <c r="BS72" s="155">
        <f t="shared" si="29"/>
        <v>23.039764194216474</v>
      </c>
      <c r="BT72" s="155">
        <f t="shared" si="30"/>
        <v>19.399999999999999</v>
      </c>
    </row>
    <row r="73" spans="1:72">
      <c r="A73" s="155" t="s">
        <v>245</v>
      </c>
      <c r="B73" s="155" t="s">
        <v>1024</v>
      </c>
      <c r="C73" s="155" t="s">
        <v>207</v>
      </c>
      <c r="D73" s="155">
        <v>9</v>
      </c>
      <c r="E73" s="189">
        <v>0</v>
      </c>
      <c r="F73" s="67">
        <v>120</v>
      </c>
      <c r="G73" s="67">
        <v>120</v>
      </c>
      <c r="H73" s="67">
        <v>570</v>
      </c>
      <c r="I73" s="67">
        <v>600</v>
      </c>
      <c r="J73" s="67">
        <v>600</v>
      </c>
      <c r="K73" s="67">
        <v>600</v>
      </c>
      <c r="L73" s="67">
        <v>2440</v>
      </c>
      <c r="M73" s="67">
        <v>7950</v>
      </c>
      <c r="N73" s="67">
        <v>2890</v>
      </c>
      <c r="O73" s="67">
        <v>0</v>
      </c>
      <c r="Q73" s="202" t="s">
        <v>245</v>
      </c>
      <c r="R73" s="202" t="s">
        <v>1024</v>
      </c>
      <c r="S73" s="202" t="s">
        <v>207</v>
      </c>
      <c r="T73" s="76">
        <f>SUM($E73:F73)</f>
        <v>120</v>
      </c>
      <c r="U73" s="76">
        <f>SUM($E73:G73)</f>
        <v>240</v>
      </c>
      <c r="V73" s="76">
        <f>SUM($E73:H73)</f>
        <v>810</v>
      </c>
      <c r="W73" s="76">
        <f>SUM($E73:I73)</f>
        <v>1410</v>
      </c>
      <c r="X73" s="76">
        <f>SUM($E73:J73)</f>
        <v>2010</v>
      </c>
      <c r="Y73" s="76">
        <f>SUM($E73:K73)</f>
        <v>2610</v>
      </c>
      <c r="Z73" s="76">
        <f>SUM($E73:L73)</f>
        <v>5050</v>
      </c>
      <c r="AA73" s="76">
        <f>SUM($E73:M73)</f>
        <v>13000</v>
      </c>
      <c r="AB73" s="76">
        <f>SUM($E73:N73)</f>
        <v>15890</v>
      </c>
      <c r="AC73" s="76">
        <f>SUM($E73:O73)</f>
        <v>15890</v>
      </c>
      <c r="AE73" s="76">
        <f t="shared" si="31"/>
        <v>120</v>
      </c>
      <c r="AF73" s="76">
        <f t="shared" si="32"/>
        <v>245.03999999999996</v>
      </c>
      <c r="AG73" s="76">
        <f t="shared" si="33"/>
        <v>844.37720999999976</v>
      </c>
      <c r="AH73" s="76">
        <f t="shared" si="34"/>
        <v>1500.7084880099994</v>
      </c>
      <c r="AI73" s="76">
        <f t="shared" si="35"/>
        <v>2184.2333093468087</v>
      </c>
      <c r="AJ73" s="76">
        <f t="shared" si="36"/>
        <v>2895.8043607365516</v>
      </c>
      <c r="AK73" s="76">
        <f t="shared" si="37"/>
        <v>5720.6559671171253</v>
      </c>
      <c r="AL73" s="76">
        <f t="shared" si="38"/>
        <v>15035.696366642693</v>
      </c>
      <c r="AM73" s="76">
        <f t="shared" si="39"/>
        <v>18764.190522041332</v>
      </c>
      <c r="AN73" s="76">
        <f t="shared" si="40"/>
        <v>19158.238523004198</v>
      </c>
      <c r="AP73" s="202" t="s">
        <v>245</v>
      </c>
      <c r="AQ73" s="202" t="s">
        <v>207</v>
      </c>
      <c r="AR73" s="155" cm="1">
        <f t="array" ref="AR73">_xlfn.IFS($AQ73=$AP$1,$AQ$1*AE73,$AQ73=$AP$2,$AQ$2*AE73,$AQ73=$AP$3,$AQ$3*AE73,$AQ73=$AP$4,$AQ$4*AE73)</f>
        <v>9.6710505446853787</v>
      </c>
      <c r="AS73" s="155" cm="1">
        <f t="array" ref="AS73">_xlfn.IFS($AQ73=$AP$1,$AQ$1*AF73,$AQ73=$AP$2,$AQ$2*AF73,$AQ73=$AP$3,$AQ$3*AF73,$AQ73=$AP$4,$AQ$4*AF73)</f>
        <v>19.748285212247538</v>
      </c>
      <c r="AT73" s="155" cm="1">
        <f t="array" ref="AT73">_xlfn.IFS($AQ73=$AP$1,$AQ$1*AG73,$AQ73=$AP$2,$AQ$2*AG73,$AQ73=$AP$3,$AQ$3*AG73,$AQ73=$AP$4,$AQ$4*AG73)</f>
        <v>68.050122305753476</v>
      </c>
      <c r="AU73" s="155" cm="1">
        <f t="array" ref="AU73">_xlfn.IFS($AQ73=$AP$1,$AQ$1*AH73,$AQ73=$AP$2,$AQ$2*AH73,$AQ73=$AP$3,$AQ$3*AH73,$AQ73=$AP$4,$AQ$4*AH73)</f>
        <v>120.94523033652563</v>
      </c>
      <c r="AV73" s="155" cm="1">
        <f t="array" ref="AV73">_xlfn.IFS($AQ73=$AP$1,$AQ$1*AI73,$AQ73=$AP$2,$AQ$2*AI73,$AQ73=$AP$3,$AQ$3*AI73,$AQ73=$AP$4,$AQ$4*AI73)</f>
        <v>176.03192280065332</v>
      </c>
      <c r="AW73" s="155" cm="1">
        <f t="array" ref="AW73">_xlfn.IFS($AQ73=$AP$1,$AQ$1*AJ73,$AQ73=$AP$2,$AQ$2*AJ73,$AQ73=$AP$3,$AQ$3*AJ73,$AQ73=$AP$4,$AQ$4*AJ73)</f>
        <v>233.378919501696</v>
      </c>
      <c r="AX73" s="155" cm="1">
        <f t="array" ref="AX73">_xlfn.IFS($AQ73=$AP$1,$AQ$1*AK73,$AQ73=$AP$2,$AQ$2*AK73,$AQ73=$AP$3,$AQ$3*AK73,$AQ73=$AP$4,$AQ$4*AK73)</f>
        <v>461.03960838954777</v>
      </c>
      <c r="AY73" s="155" cm="1">
        <f t="array" ref="AY73">_xlfn.IFS($AQ73=$AP$1,$AQ$1*AL73,$AQ73=$AP$2,$AQ$2*AL73,$AQ73=$AP$3,$AQ$3*AL73,$AQ73=$AP$4,$AQ$4*AL73)</f>
        <v>1211.7581628028647</v>
      </c>
      <c r="AZ73" s="155" cm="1">
        <f t="array" ref="AZ73">_xlfn.IFS($AQ73=$AP$1,$AQ$1*AM73,$AQ73=$AP$2,$AQ$2*AM73,$AQ73=$AP$3,$AQ$3*AM73,$AQ73=$AP$4,$AQ$4*AM73)</f>
        <v>1512.2452914064002</v>
      </c>
      <c r="BA73" s="155" cm="1">
        <f t="array" ref="BA73">_xlfn.IFS($AQ73=$AP$1,$AQ$1*AN73,$AQ73=$AP$2,$AQ$2*AN73,$AQ73=$AP$3,$AQ$3*AN73,$AQ73=$AP$4,$AQ$4*AN73)</f>
        <v>1544.0024425259344</v>
      </c>
      <c r="BB73" s="155">
        <f>Table2[[#This Row],[FINAL Project System Capacity (MW)]]</f>
        <v>9</v>
      </c>
      <c r="BC73" s="155" t="str">
        <f>Table2[[#This Row],[FN Parent  '#]]</f>
        <v>FN005840</v>
      </c>
      <c r="BD73" s="155">
        <f t="shared" si="41"/>
        <v>9</v>
      </c>
      <c r="BF73" s="155">
        <f t="shared" si="43"/>
        <v>1.0745611716317087</v>
      </c>
      <c r="BG73" s="155">
        <f t="shared" si="44"/>
        <v>2.1942539124719485</v>
      </c>
      <c r="BH73" s="155">
        <f t="shared" si="45"/>
        <v>7.561124700639275</v>
      </c>
      <c r="BI73" s="155">
        <f t="shared" si="46"/>
        <v>13.438358926280625</v>
      </c>
      <c r="BJ73" s="155">
        <f t="shared" si="47"/>
        <v>19.559102533405923</v>
      </c>
      <c r="BK73" s="155">
        <f t="shared" si="48"/>
        <v>25.930991055744002</v>
      </c>
      <c r="BL73" s="155">
        <f t="shared" si="49"/>
        <v>51.226623154394197</v>
      </c>
      <c r="BM73" s="155">
        <f t="shared" si="50"/>
        <v>134.63979586698497</v>
      </c>
      <c r="BN73" s="155">
        <f t="shared" si="51"/>
        <v>168.02725460071113</v>
      </c>
      <c r="BO73" s="155">
        <f t="shared" si="52"/>
        <v>171.55582694732604</v>
      </c>
      <c r="BP73" s="155">
        <f t="shared" si="53"/>
        <v>48.519602945402475</v>
      </c>
      <c r="BR73" s="206" t="s">
        <v>299</v>
      </c>
      <c r="BS73" s="155">
        <f t="shared" si="29"/>
        <v>51.712796934328686</v>
      </c>
      <c r="BT73" s="155">
        <f t="shared" si="30"/>
        <v>7</v>
      </c>
    </row>
    <row r="74" spans="1:72">
      <c r="A74" s="155" t="s">
        <v>246</v>
      </c>
      <c r="B74" s="155" t="s">
        <v>1132</v>
      </c>
      <c r="C74" s="155" t="s">
        <v>208</v>
      </c>
      <c r="D74" s="155">
        <v>9</v>
      </c>
      <c r="E74" s="189">
        <v>49.210599999999999</v>
      </c>
      <c r="F74" s="67">
        <v>6.4291</v>
      </c>
      <c r="G74" s="67">
        <v>8.3855699999999995</v>
      </c>
      <c r="H74" s="67">
        <v>1006.79071</v>
      </c>
      <c r="I74" s="67">
        <v>204.82919999999999</v>
      </c>
      <c r="J74" s="67">
        <v>172.02332999999999</v>
      </c>
      <c r="K74" s="67">
        <v>0</v>
      </c>
      <c r="L74" s="67">
        <v>0</v>
      </c>
      <c r="M74" s="67">
        <v>0</v>
      </c>
      <c r="N74" s="67">
        <v>0</v>
      </c>
      <c r="O74" s="67">
        <v>0</v>
      </c>
      <c r="Q74" s="201" t="s">
        <v>246</v>
      </c>
      <c r="R74" s="201" t="s">
        <v>1132</v>
      </c>
      <c r="S74" s="201" t="s">
        <v>208</v>
      </c>
      <c r="T74" s="76">
        <f>SUM($E74:F75)</f>
        <v>90.563079999999999</v>
      </c>
      <c r="U74" s="76">
        <f>SUM($E74:G75)</f>
        <v>104.76158999999998</v>
      </c>
      <c r="V74" s="76">
        <f>SUM($E74:H75)</f>
        <v>1115.3225400000001</v>
      </c>
      <c r="W74" s="76">
        <f>SUM($E74:I75)</f>
        <v>1576.01279</v>
      </c>
      <c r="X74" s="76">
        <f>SUM($E74:J75)</f>
        <v>1823.9928500000001</v>
      </c>
      <c r="Y74" s="76">
        <f>SUM($E74:K75)</f>
        <v>1832.0878500000001</v>
      </c>
      <c r="Z74" s="76">
        <f>SUM($E74:L75)</f>
        <v>1832.0878500000001</v>
      </c>
      <c r="AA74" s="76">
        <f>SUM($E74:M75)</f>
        <v>1832.0878500000001</v>
      </c>
      <c r="AB74" s="76">
        <f>SUM($E74:N75)</f>
        <v>1832.0878500000001</v>
      </c>
      <c r="AC74" s="76">
        <f>SUM($E74:O75)</f>
        <v>1832.0878500000001</v>
      </c>
      <c r="AE74" s="76">
        <f t="shared" si="31"/>
        <v>90.563079999999999</v>
      </c>
      <c r="AF74" s="76">
        <f t="shared" si="32"/>
        <v>106.96158338999997</v>
      </c>
      <c r="AG74" s="76">
        <f t="shared" si="33"/>
        <v>1162.6579439201398</v>
      </c>
      <c r="AH74" s="76">
        <f t="shared" si="34"/>
        <v>1677.4012561456177</v>
      </c>
      <c r="AI74" s="76">
        <f t="shared" si="35"/>
        <v>1982.1024572041879</v>
      </c>
      <c r="AJ74" s="76">
        <f t="shared" si="36"/>
        <v>2032.7080403381049</v>
      </c>
      <c r="AK74" s="76">
        <f t="shared" si="37"/>
        <v>2075.3949091852051</v>
      </c>
      <c r="AL74" s="76">
        <f t="shared" si="38"/>
        <v>2118.9782022780942</v>
      </c>
      <c r="AM74" s="76">
        <f t="shared" si="39"/>
        <v>2163.4767445259336</v>
      </c>
      <c r="AN74" s="76">
        <f t="shared" si="40"/>
        <v>2208.9097561609778</v>
      </c>
      <c r="AP74" s="201" t="s">
        <v>246</v>
      </c>
      <c r="AQ74" s="201" t="s">
        <v>208</v>
      </c>
      <c r="AR74" s="155" cm="1">
        <f t="array" ref="AR74">_xlfn.IFS($AQ74=$AP$1,$AQ$1*AE74,$AQ74=$AP$2,$AQ$2*AE74,$AQ74=$AP$3,$AQ$3*AE74,$AQ74=$AP$4,$AQ$4*AE74)</f>
        <v>12.795898208836949</v>
      </c>
      <c r="AS74" s="155" cm="1">
        <f t="array" ref="AS74">_xlfn.IFS($AQ74=$AP$1,$AQ$1*AF74,$AQ74=$AP$2,$AQ$2*AF74,$AQ74=$AP$3,$AQ$3*AF74,$AQ74=$AP$4,$AQ$4*AF74)</f>
        <v>15.11288632535979</v>
      </c>
      <c r="AT74" s="155" cm="1">
        <f t="array" ref="AT74">_xlfn.IFS($AQ74=$AP$1,$AQ$1*AG74,$AQ74=$AP$2,$AQ$2*AG74,$AQ74=$AP$3,$AQ$3*AG74,$AQ74=$AP$4,$AQ$4*AG74)</f>
        <v>164.27503020102418</v>
      </c>
      <c r="AU74" s="155" cm="1">
        <f t="array" ref="AU74">_xlfn.IFS($AQ74=$AP$1,$AQ$1*AH74,$AQ74=$AP$2,$AQ$2*AH74,$AQ74=$AP$3,$AQ$3*AH74,$AQ74=$AP$4,$AQ$4*AH74)</f>
        <v>237.00448051252849</v>
      </c>
      <c r="AV74" s="155" cm="1">
        <f t="array" ref="AV74">_xlfn.IFS($AQ74=$AP$1,$AQ$1*AI74,$AQ74=$AP$2,$AQ$2*AI74,$AQ74=$AP$3,$AQ$3*AI74,$AQ74=$AP$4,$AQ$4*AI74)</f>
        <v>280.05652283326037</v>
      </c>
      <c r="AW74" s="155" cm="1">
        <f t="array" ref="AW74">_xlfn.IFS($AQ74=$AP$1,$AQ$1*AJ74,$AQ74=$AP$2,$AQ$2*AJ74,$AQ74=$AP$3,$AQ$3*AJ74,$AQ74=$AP$4,$AQ$4*AJ74)</f>
        <v>287.20672013861304</v>
      </c>
      <c r="AX74" s="155" cm="1">
        <f t="array" ref="AX74">_xlfn.IFS($AQ74=$AP$1,$AQ$1*AK74,$AQ74=$AP$2,$AQ$2*AK74,$AQ74=$AP$3,$AQ$3*AK74,$AQ74=$AP$4,$AQ$4*AK74)</f>
        <v>293.23806126152391</v>
      </c>
      <c r="AY74" s="155" cm="1">
        <f t="array" ref="AY74">_xlfn.IFS($AQ74=$AP$1,$AQ$1*AL74,$AQ74=$AP$2,$AQ$2*AL74,$AQ74=$AP$3,$AQ$3*AL74,$AQ74=$AP$4,$AQ$4*AL74)</f>
        <v>299.39606054801584</v>
      </c>
      <c r="AZ74" s="155" cm="1">
        <f t="array" ref="AZ74">_xlfn.IFS($AQ74=$AP$1,$AQ$1*AM74,$AQ74=$AP$2,$AQ$2*AM74,$AQ74=$AP$3,$AQ$3*AM74,$AQ74=$AP$4,$AQ$4*AM74)</f>
        <v>305.68337781952414</v>
      </c>
      <c r="BA74" s="155" cm="1">
        <f t="array" ref="BA74">_xlfn.IFS($AQ74=$AP$1,$AQ$1*AN74,$AQ74=$AP$2,$AQ$2*AN74,$AQ74=$AP$3,$AQ$3*AN74,$AQ74=$AP$4,$AQ$4*AN74)</f>
        <v>312.10272875373408</v>
      </c>
      <c r="BB74" s="155">
        <f>Table2[[#This Row],[FINAL Project System Capacity (MW)]]</f>
        <v>9</v>
      </c>
      <c r="BC74" s="155" t="str">
        <f>Table2[[#This Row],[FN Parent  '#]]</f>
        <v>FN010096</v>
      </c>
      <c r="BD74" s="155">
        <f t="shared" si="41"/>
        <v>9</v>
      </c>
      <c r="BE74" s="155">
        <f t="shared" si="42"/>
        <v>9</v>
      </c>
      <c r="BF74" s="155">
        <f t="shared" si="43"/>
        <v>1.42176646764855</v>
      </c>
      <c r="BG74" s="155">
        <f t="shared" si="44"/>
        <v>1.6792095917066434</v>
      </c>
      <c r="BH74" s="155">
        <f t="shared" si="45"/>
        <v>18.252781133447129</v>
      </c>
      <c r="BI74" s="155">
        <f t="shared" si="46"/>
        <v>26.333831168058722</v>
      </c>
      <c r="BJ74" s="155">
        <f t="shared" si="47"/>
        <v>31.11739142591782</v>
      </c>
      <c r="BK74" s="155">
        <f t="shared" si="48"/>
        <v>31.911857793179227</v>
      </c>
      <c r="BL74" s="155">
        <f t="shared" si="49"/>
        <v>32.582006806835992</v>
      </c>
      <c r="BM74" s="155">
        <f t="shared" si="50"/>
        <v>33.266228949779538</v>
      </c>
      <c r="BN74" s="155">
        <f t="shared" si="51"/>
        <v>33.964819757724904</v>
      </c>
      <c r="BO74" s="155">
        <f t="shared" si="52"/>
        <v>34.678080972637119</v>
      </c>
      <c r="BP74" s="155">
        <f t="shared" si="53"/>
        <v>22.391849936586222</v>
      </c>
      <c r="BR74" s="206" t="s">
        <v>300</v>
      </c>
      <c r="BS74" s="155">
        <f t="shared" si="29"/>
        <v>157.8364850448103</v>
      </c>
      <c r="BT74" s="155">
        <f t="shared" si="30"/>
        <v>5.2</v>
      </c>
    </row>
    <row r="75" spans="1:72">
      <c r="A75" s="155" t="s">
        <v>246</v>
      </c>
      <c r="B75" s="155" t="s">
        <v>1132</v>
      </c>
      <c r="C75" s="155" t="s">
        <v>208</v>
      </c>
      <c r="D75" s="155">
        <v>9</v>
      </c>
      <c r="E75" s="189">
        <v>29.43544</v>
      </c>
      <c r="F75" s="67">
        <v>5.48794</v>
      </c>
      <c r="G75" s="67">
        <v>5.8129400000000002</v>
      </c>
      <c r="H75" s="67">
        <v>3.7702399999999998</v>
      </c>
      <c r="I75" s="67">
        <v>255.86105000000001</v>
      </c>
      <c r="J75" s="67">
        <v>75.956729999999993</v>
      </c>
      <c r="K75" s="67">
        <v>8.0950000000000006</v>
      </c>
      <c r="L75" s="67">
        <v>0</v>
      </c>
      <c r="M75" s="67">
        <v>0</v>
      </c>
      <c r="N75" s="67">
        <v>0</v>
      </c>
      <c r="O75" s="67">
        <v>0</v>
      </c>
      <c r="Q75" s="202" t="s">
        <v>246</v>
      </c>
      <c r="R75" s="202" t="s">
        <v>1132</v>
      </c>
      <c r="S75" s="202" t="s">
        <v>208</v>
      </c>
      <c r="U75" s="155"/>
      <c r="V75" s="155"/>
      <c r="W75" s="155"/>
      <c r="X75" s="155"/>
      <c r="Y75" s="155"/>
      <c r="Z75" s="155"/>
      <c r="AA75" s="155"/>
      <c r="AB75" s="155"/>
      <c r="AC75" s="155"/>
      <c r="AE75" s="76">
        <f t="shared" si="31"/>
        <v>0</v>
      </c>
      <c r="AF75" s="76">
        <f t="shared" si="32"/>
        <v>0</v>
      </c>
      <c r="AG75" s="76">
        <f t="shared" si="33"/>
        <v>0</v>
      </c>
      <c r="AH75" s="76">
        <f t="shared" si="34"/>
        <v>0</v>
      </c>
      <c r="AI75" s="76">
        <f t="shared" si="35"/>
        <v>0</v>
      </c>
      <c r="AJ75" s="76">
        <f t="shared" si="36"/>
        <v>0</v>
      </c>
      <c r="AK75" s="76">
        <f t="shared" si="37"/>
        <v>0</v>
      </c>
      <c r="AL75" s="76">
        <f t="shared" si="38"/>
        <v>0</v>
      </c>
      <c r="AM75" s="76">
        <f t="shared" si="39"/>
        <v>0</v>
      </c>
      <c r="AN75" s="76">
        <f t="shared" si="40"/>
        <v>0</v>
      </c>
      <c r="AP75" s="202" t="s">
        <v>246</v>
      </c>
      <c r="AQ75" s="202" t="s">
        <v>208</v>
      </c>
      <c r="AR75" s="155" cm="1">
        <f t="array" ref="AR75">_xlfn.IFS($AQ75=$AP$1,$AQ$1*AE75,$AQ75=$AP$2,$AQ$2*AE75,$AQ75=$AP$3,$AQ$3*AE75,$AQ75=$AP$4,$AQ$4*AE75)</f>
        <v>0</v>
      </c>
      <c r="AS75" s="155" cm="1">
        <f t="array" ref="AS75">_xlfn.IFS($AQ75=$AP$1,$AQ$1*AF75,$AQ75=$AP$2,$AQ$2*AF75,$AQ75=$AP$3,$AQ$3*AF75,$AQ75=$AP$4,$AQ$4*AF75)</f>
        <v>0</v>
      </c>
      <c r="AT75" s="155" cm="1">
        <f t="array" ref="AT75">_xlfn.IFS($AQ75=$AP$1,$AQ$1*AG75,$AQ75=$AP$2,$AQ$2*AG75,$AQ75=$AP$3,$AQ$3*AG75,$AQ75=$AP$4,$AQ$4*AG75)</f>
        <v>0</v>
      </c>
      <c r="AU75" s="155" cm="1">
        <f t="array" ref="AU75">_xlfn.IFS($AQ75=$AP$1,$AQ$1*AH75,$AQ75=$AP$2,$AQ$2*AH75,$AQ75=$AP$3,$AQ$3*AH75,$AQ75=$AP$4,$AQ$4*AH75)</f>
        <v>0</v>
      </c>
      <c r="AV75" s="155" cm="1">
        <f t="array" ref="AV75">_xlfn.IFS($AQ75=$AP$1,$AQ$1*AI75,$AQ75=$AP$2,$AQ$2*AI75,$AQ75=$AP$3,$AQ$3*AI75,$AQ75=$AP$4,$AQ$4*AI75)</f>
        <v>0</v>
      </c>
      <c r="AW75" s="155" cm="1">
        <f t="array" ref="AW75">_xlfn.IFS($AQ75=$AP$1,$AQ$1*AJ75,$AQ75=$AP$2,$AQ$2*AJ75,$AQ75=$AP$3,$AQ$3*AJ75,$AQ75=$AP$4,$AQ$4*AJ75)</f>
        <v>0</v>
      </c>
      <c r="AX75" s="155" cm="1">
        <f t="array" ref="AX75">_xlfn.IFS($AQ75=$AP$1,$AQ$1*AK75,$AQ75=$AP$2,$AQ$2*AK75,$AQ75=$AP$3,$AQ$3*AK75,$AQ75=$AP$4,$AQ$4*AK75)</f>
        <v>0</v>
      </c>
      <c r="AY75" s="155" cm="1">
        <f t="array" ref="AY75">_xlfn.IFS($AQ75=$AP$1,$AQ$1*AL75,$AQ75=$AP$2,$AQ$2*AL75,$AQ75=$AP$3,$AQ$3*AL75,$AQ75=$AP$4,$AQ$4*AL75)</f>
        <v>0</v>
      </c>
      <c r="AZ75" s="155" cm="1">
        <f t="array" ref="AZ75">_xlfn.IFS($AQ75=$AP$1,$AQ$1*AM75,$AQ75=$AP$2,$AQ$2*AM75,$AQ75=$AP$3,$AQ$3*AM75,$AQ75=$AP$4,$AQ$4*AM75)</f>
        <v>0</v>
      </c>
      <c r="BA75" s="155" cm="1">
        <f t="array" ref="BA75">_xlfn.IFS($AQ75=$AP$1,$AQ$1*AN75,$AQ75=$AP$2,$AQ$2*AN75,$AQ75=$AP$3,$AQ$3*AN75,$AQ75=$AP$4,$AQ$4*AN75)</f>
        <v>0</v>
      </c>
      <c r="BB75" s="155"/>
      <c r="BC75" s="155" t="str">
        <f>Table2[[#This Row],[FN Parent  '#]]</f>
        <v>FN010096</v>
      </c>
      <c r="BD75" s="155">
        <f t="shared" si="41"/>
        <v>0</v>
      </c>
      <c r="BF75" s="155" t="str">
        <f t="shared" si="43"/>
        <v/>
      </c>
      <c r="BG75" s="155" t="str">
        <f t="shared" si="44"/>
        <v/>
      </c>
      <c r="BH75" s="155" t="str">
        <f t="shared" si="45"/>
        <v/>
      </c>
      <c r="BI75" s="155" t="str">
        <f t="shared" si="46"/>
        <v/>
      </c>
      <c r="BJ75" s="155" t="str">
        <f t="shared" si="47"/>
        <v/>
      </c>
      <c r="BK75" s="155" t="str">
        <f t="shared" si="48"/>
        <v/>
      </c>
      <c r="BL75" s="155" t="str">
        <f t="shared" si="49"/>
        <v/>
      </c>
      <c r="BM75" s="155" t="str">
        <f t="shared" si="50"/>
        <v/>
      </c>
      <c r="BN75" s="155" t="str">
        <f t="shared" si="51"/>
        <v/>
      </c>
      <c r="BO75" s="155" t="str">
        <f t="shared" si="52"/>
        <v/>
      </c>
      <c r="BP75" s="155">
        <f t="shared" si="53"/>
        <v>0</v>
      </c>
      <c r="BR75" s="206" t="s">
        <v>301</v>
      </c>
      <c r="BS75" s="155">
        <f t="shared" si="29"/>
        <v>45.995606020290744</v>
      </c>
      <c r="BT75" s="155">
        <f t="shared" si="30"/>
        <v>13</v>
      </c>
    </row>
    <row r="76" spans="1:72">
      <c r="A76" s="155" t="s">
        <v>246</v>
      </c>
      <c r="B76" s="155" t="s">
        <v>1132</v>
      </c>
      <c r="C76" s="155" t="s">
        <v>207</v>
      </c>
      <c r="D76" s="155">
        <v>9</v>
      </c>
      <c r="E76" s="189">
        <v>10896.473</v>
      </c>
      <c r="F76" s="67">
        <v>248.3852</v>
      </c>
      <c r="G76" s="67">
        <v>1668.66183</v>
      </c>
      <c r="H76" s="67">
        <v>1698.9524699999999</v>
      </c>
      <c r="I76" s="67">
        <v>8133.99478</v>
      </c>
      <c r="J76" s="67">
        <v>5717.5947900000001</v>
      </c>
      <c r="K76" s="67">
        <v>1496.51846</v>
      </c>
      <c r="L76" s="67">
        <v>0</v>
      </c>
      <c r="M76" s="67">
        <v>0</v>
      </c>
      <c r="N76" s="67">
        <v>0</v>
      </c>
      <c r="O76" s="67">
        <v>0</v>
      </c>
      <c r="Q76" s="201" t="s">
        <v>246</v>
      </c>
      <c r="R76" s="201" t="s">
        <v>1132</v>
      </c>
      <c r="S76" s="201" t="s">
        <v>207</v>
      </c>
      <c r="T76" s="76">
        <f>SUM($E76:F76)</f>
        <v>11144.858200000001</v>
      </c>
      <c r="U76" s="76">
        <f>SUM($E76:G76)</f>
        <v>12813.52003</v>
      </c>
      <c r="V76" s="76">
        <f>SUM($E76:H76)</f>
        <v>14512.4725</v>
      </c>
      <c r="W76" s="76">
        <f>SUM($E76:I76)</f>
        <v>22646.467280000001</v>
      </c>
      <c r="X76" s="76">
        <f>SUM($E76:J76)</f>
        <v>28364.06207</v>
      </c>
      <c r="Y76" s="76">
        <f>SUM($E76:K76)</f>
        <v>29860.580529999999</v>
      </c>
      <c r="Z76" s="76">
        <f>SUM($E76:L76)</f>
        <v>29860.580529999999</v>
      </c>
      <c r="AA76" s="76">
        <f>SUM($E76:M76)</f>
        <v>29860.580529999999</v>
      </c>
      <c r="AB76" s="76">
        <f>SUM($E76:N76)</f>
        <v>29860.580529999999</v>
      </c>
      <c r="AC76" s="76">
        <f>SUM($E76:O76)</f>
        <v>29860.580529999999</v>
      </c>
      <c r="AE76" s="76">
        <f t="shared" si="31"/>
        <v>11144.858200000001</v>
      </c>
      <c r="AF76" s="76">
        <f t="shared" si="32"/>
        <v>13082.603950629999</v>
      </c>
      <c r="AG76" s="76">
        <f t="shared" si="33"/>
        <v>15128.396345372495</v>
      </c>
      <c r="AH76" s="76">
        <f t="shared" si="34"/>
        <v>24103.365723784915</v>
      </c>
      <c r="AI76" s="76">
        <f t="shared" si="35"/>
        <v>30822.750826703683</v>
      </c>
      <c r="AJ76" s="76">
        <f t="shared" si="36"/>
        <v>33130.421192681599</v>
      </c>
      <c r="AK76" s="76">
        <f t="shared" si="37"/>
        <v>33826.16003772791</v>
      </c>
      <c r="AL76" s="76">
        <f t="shared" si="38"/>
        <v>34536.509398520189</v>
      </c>
      <c r="AM76" s="76">
        <f t="shared" si="39"/>
        <v>35261.776095889109</v>
      </c>
      <c r="AN76" s="76">
        <f t="shared" si="40"/>
        <v>36002.273393902775</v>
      </c>
      <c r="AP76" s="201" t="s">
        <v>246</v>
      </c>
      <c r="AQ76" s="201" t="s">
        <v>207</v>
      </c>
      <c r="AR76" s="155" cm="1">
        <f t="array" ref="AR76">_xlfn.IFS($AQ76=$AP$1,$AQ$1*AE76,$AQ76=$AP$2,$AQ$2*AE76,$AQ76=$AP$3,$AQ$3*AE76,$AQ76=$AP$4,$AQ$4*AE76)</f>
        <v>898.18739137959426</v>
      </c>
      <c r="AS76" s="155" cm="1">
        <f t="array" ref="AS76">_xlfn.IFS($AQ76=$AP$1,$AQ$1*AF76,$AQ76=$AP$2,$AQ$2*AF76,$AQ76=$AP$3,$AQ$3*AF76,$AQ76=$AP$4,$AQ$4*AF76)</f>
        <v>1054.3543671886944</v>
      </c>
      <c r="AT76" s="155" cm="1">
        <f t="array" ref="AT76">_xlfn.IFS($AQ76=$AP$1,$AQ$1*AG76,$AQ76=$AP$2,$AQ$2*AG76,$AQ76=$AP$3,$AQ$3*AG76,$AQ76=$AP$4,$AQ$4*AG76)</f>
        <v>1219.2290476344247</v>
      </c>
      <c r="AU76" s="155" cm="1">
        <f t="array" ref="AU76">_xlfn.IFS($AQ76=$AP$1,$AQ$1*AH76,$AQ76=$AP$2,$AQ$2*AH76,$AQ76=$AP$3,$AQ$3*AH76,$AQ76=$AP$4,$AQ$4*AH76)</f>
        <v>1942.5405684313414</v>
      </c>
      <c r="AV76" s="155" cm="1">
        <f t="array" ref="AV76">_xlfn.IFS($AQ76=$AP$1,$AQ$1*AI76,$AQ76=$AP$2,$AQ$2*AI76,$AQ76=$AP$3,$AQ$3*AI76,$AQ76=$AP$4,$AQ$4*AI76)</f>
        <v>2484.0698430941193</v>
      </c>
      <c r="AW76" s="155" cm="1">
        <f t="array" ref="AW76">_xlfn.IFS($AQ76=$AP$1,$AQ$1*AJ76,$AQ76=$AP$2,$AQ$2*AJ76,$AQ76=$AP$3,$AQ$3*AJ76,$AQ76=$AP$4,$AQ$4*AJ76)</f>
        <v>2670.0498160094949</v>
      </c>
      <c r="AX76" s="155" cm="1">
        <f t="array" ref="AX76">_xlfn.IFS($AQ76=$AP$1,$AQ$1*AK76,$AQ76=$AP$2,$AQ$2*AK76,$AQ76=$AP$3,$AQ$3*AK76,$AQ76=$AP$4,$AQ$4*AK76)</f>
        <v>2726.120862145694</v>
      </c>
      <c r="AY76" s="155" cm="1">
        <f t="array" ref="AY76">_xlfn.IFS($AQ76=$AP$1,$AQ$1*AL76,$AQ76=$AP$2,$AQ$2*AL76,$AQ76=$AP$3,$AQ$3*AL76,$AQ76=$AP$4,$AQ$4*AL76)</f>
        <v>2783.3694002507527</v>
      </c>
      <c r="AZ76" s="155" cm="1">
        <f t="array" ref="AZ76">_xlfn.IFS($AQ76=$AP$1,$AQ$1*AM76,$AQ76=$AP$2,$AQ$2*AM76,$AQ76=$AP$3,$AQ$3*AM76,$AQ76=$AP$4,$AQ$4*AM76)</f>
        <v>2841.8201576560182</v>
      </c>
      <c r="BA76" s="155" cm="1">
        <f t="array" ref="BA76">_xlfn.IFS($AQ76=$AP$1,$AQ$1*AN76,$AQ76=$AP$2,$AQ$2*AN76,$AQ76=$AP$3,$AQ$3*AN76,$AQ76=$AP$4,$AQ$4*AN76)</f>
        <v>2901.4983809667942</v>
      </c>
      <c r="BB76" s="155">
        <f>Table2[[#This Row],[FINAL Project System Capacity (MW)]]</f>
        <v>9</v>
      </c>
      <c r="BC76" s="155" t="str">
        <f>Table2[[#This Row],[FN Parent  '#]]</f>
        <v>FN010096</v>
      </c>
      <c r="BD76" s="155">
        <f t="shared" si="41"/>
        <v>9</v>
      </c>
      <c r="BF76" s="155">
        <f t="shared" si="43"/>
        <v>99.798599042177145</v>
      </c>
      <c r="BG76" s="155">
        <f t="shared" si="44"/>
        <v>117.15048524318826</v>
      </c>
      <c r="BH76" s="155">
        <f t="shared" si="45"/>
        <v>135.46989418160274</v>
      </c>
      <c r="BI76" s="155">
        <f t="shared" si="46"/>
        <v>215.83784093681572</v>
      </c>
      <c r="BJ76" s="155">
        <f t="shared" si="47"/>
        <v>276.00776034379101</v>
      </c>
      <c r="BK76" s="155">
        <f t="shared" si="48"/>
        <v>296.67220177883274</v>
      </c>
      <c r="BL76" s="155">
        <f t="shared" si="49"/>
        <v>302.90231801618825</v>
      </c>
      <c r="BM76" s="155">
        <f t="shared" si="50"/>
        <v>309.26326669452806</v>
      </c>
      <c r="BN76" s="155">
        <f t="shared" si="51"/>
        <v>315.75779529511311</v>
      </c>
      <c r="BO76" s="155">
        <f t="shared" si="52"/>
        <v>322.38870899631047</v>
      </c>
      <c r="BP76" s="155">
        <f t="shared" si="53"/>
        <v>223.756409822888</v>
      </c>
      <c r="BR76" s="195" t="s">
        <v>220</v>
      </c>
      <c r="BS76" s="155">
        <f t="shared" si="29"/>
        <v>37.203539337893083</v>
      </c>
      <c r="BT76" s="155">
        <f t="shared" si="30"/>
        <v>40</v>
      </c>
    </row>
    <row r="77" spans="1:72">
      <c r="A77" s="195" t="s">
        <v>251</v>
      </c>
      <c r="B77" s="155" t="s">
        <v>1325</v>
      </c>
      <c r="C77" s="155" t="s">
        <v>207</v>
      </c>
      <c r="D77" s="155">
        <v>19.899999999999999</v>
      </c>
      <c r="E77" s="189">
        <v>0</v>
      </c>
      <c r="F77" s="67">
        <v>0</v>
      </c>
      <c r="G77" s="67">
        <v>0</v>
      </c>
      <c r="H77" s="67">
        <v>55.817999999999998</v>
      </c>
      <c r="I77" s="67">
        <v>741.029</v>
      </c>
      <c r="J77" s="67">
        <v>267.54000000000002</v>
      </c>
      <c r="K77" s="67">
        <v>661.15200000000004</v>
      </c>
      <c r="L77" s="67">
        <v>4389.875</v>
      </c>
      <c r="M77" s="67">
        <v>4389.875</v>
      </c>
      <c r="N77" s="67">
        <v>2655.1930000000002</v>
      </c>
      <c r="O77" s="67">
        <v>0</v>
      </c>
      <c r="Q77" s="194" t="s">
        <v>251</v>
      </c>
      <c r="R77" s="202" t="s">
        <v>1325</v>
      </c>
      <c r="S77" s="202" t="s">
        <v>207</v>
      </c>
      <c r="T77" s="76">
        <f>SUM($E77:F77)</f>
        <v>0</v>
      </c>
      <c r="U77" s="76">
        <f>SUM($E77:G77)</f>
        <v>0</v>
      </c>
      <c r="V77" s="76">
        <f>SUM($E77:H77)</f>
        <v>55.817999999999998</v>
      </c>
      <c r="W77" s="76">
        <f>SUM($E77:I77)</f>
        <v>796.84699999999998</v>
      </c>
      <c r="X77" s="76">
        <f>SUM($E77:J77)</f>
        <v>1064.3869999999999</v>
      </c>
      <c r="Y77" s="76">
        <f>SUM($E77:K77)</f>
        <v>1725.539</v>
      </c>
      <c r="Z77" s="76">
        <f>SUM($E77:L77)</f>
        <v>6115.4139999999998</v>
      </c>
      <c r="AA77" s="76">
        <f>SUM($E77:M77)</f>
        <v>10505.289000000001</v>
      </c>
      <c r="AB77" s="76">
        <f>SUM($E77:N77)</f>
        <v>13160.482</v>
      </c>
      <c r="AC77" s="76">
        <f>SUM($E77:O77)</f>
        <v>13160.482</v>
      </c>
      <c r="AE77" s="76">
        <f t="shared" si="31"/>
        <v>0</v>
      </c>
      <c r="AF77" s="76">
        <f t="shared" si="32"/>
        <v>0</v>
      </c>
      <c r="AG77" s="76">
        <f t="shared" si="33"/>
        <v>58.186971737999983</v>
      </c>
      <c r="AH77" s="76">
        <f t="shared" si="34"/>
        <v>848.10996918106673</v>
      </c>
      <c r="AI77" s="76">
        <f t="shared" si="35"/>
        <v>1156.6515121570756</v>
      </c>
      <c r="AJ77" s="76">
        <f t="shared" si="36"/>
        <v>1914.4917091268155</v>
      </c>
      <c r="AK77" s="76">
        <f t="shared" si="37"/>
        <v>6927.5603149488325</v>
      </c>
      <c r="AL77" s="76">
        <f t="shared" si="38"/>
        <v>12150.333511371649</v>
      </c>
      <c r="AM77" s="76">
        <f t="shared" si="39"/>
        <v>15540.956048451577</v>
      </c>
      <c r="AN77" s="76">
        <f t="shared" si="40"/>
        <v>15867.316125469059</v>
      </c>
      <c r="AP77" s="194" t="s">
        <v>251</v>
      </c>
      <c r="AQ77" s="202" t="s">
        <v>207</v>
      </c>
      <c r="AR77" s="155" cm="1">
        <f t="array" ref="AR77">_xlfn.IFS($AQ77=$AP$1,$AQ$1*AE77,$AQ77=$AP$2,$AQ$2*AE77,$AQ77=$AP$3,$AQ$3*AE77,$AQ77=$AP$4,$AQ$4*AE77)</f>
        <v>0</v>
      </c>
      <c r="AS77" s="155" cm="1">
        <f t="array" ref="AS77">_xlfn.IFS($AQ77=$AP$1,$AQ$1*AF77,$AQ77=$AP$2,$AQ$2*AF77,$AQ77=$AP$3,$AQ$3*AF77,$AQ77=$AP$4,$AQ$4*AF77)</f>
        <v>0</v>
      </c>
      <c r="AT77" s="155" cm="1">
        <f t="array" ref="AT77">_xlfn.IFS($AQ77=$AP$1,$AQ$1*AG77,$AQ77=$AP$2,$AQ$2*AG77,$AQ77=$AP$3,$AQ$3*AG77,$AQ77=$AP$4,$AQ$4*AG77)</f>
        <v>4.6894095393364781</v>
      </c>
      <c r="AU77" s="155" cm="1">
        <f t="array" ref="AU77">_xlfn.IFS($AQ77=$AP$1,$AQ$1*AH77,$AQ77=$AP$2,$AQ$2*AH77,$AQ77=$AP$3,$AQ$3*AH77,$AQ77=$AP$4,$AQ$4*AH77)</f>
        <v>68.350953161680451</v>
      </c>
      <c r="AV77" s="155" cm="1">
        <f t="array" ref="AV77">_xlfn.IFS($AQ77=$AP$1,$AQ$1*AI77,$AQ77=$AP$2,$AQ$2*AI77,$AQ77=$AP$3,$AQ$3*AI77,$AQ77=$AP$4,$AQ$4*AI77)</f>
        <v>93.21696030548209</v>
      </c>
      <c r="AW77" s="155" cm="1">
        <f t="array" ref="AW77">_xlfn.IFS($AQ77=$AP$1,$AQ$1*AJ77,$AQ77=$AP$2,$AQ$2*AJ77,$AQ77=$AP$3,$AQ$3*AJ77,$AQ77=$AP$4,$AQ$4*AJ77)</f>
        <v>154.29288405288776</v>
      </c>
      <c r="AX77" s="155" cm="1">
        <f t="array" ref="AX77">_xlfn.IFS($AQ77=$AP$1,$AQ$1*AK77,$AQ77=$AP$2,$AQ$2*AK77,$AQ77=$AP$3,$AQ$3*AK77,$AQ77=$AP$4,$AQ$4*AK77)</f>
        <v>558.30654964355597</v>
      </c>
      <c r="AY77" s="155" cm="1">
        <f t="array" ref="AY77">_xlfn.IFS($AQ77=$AP$1,$AQ$1*AL77,$AQ77=$AP$2,$AQ$2*AL77,$AQ77=$AP$3,$AQ$3*AL77,$AQ77=$AP$4,$AQ$4*AL77)</f>
        <v>979.22074602716486</v>
      </c>
      <c r="AZ77" s="155" cm="1">
        <f t="array" ref="AZ77">_xlfn.IFS($AQ77=$AP$1,$AQ$1*AM77,$AQ77=$AP$2,$AQ$2*AM77,$AQ77=$AP$3,$AQ$3*AM77,$AQ77=$AP$4,$AQ$4*AM77)</f>
        <v>1252.4780954775761</v>
      </c>
      <c r="BA77" s="155" cm="1">
        <f t="array" ref="BA77">_xlfn.IFS($AQ77=$AP$1,$AQ$1*AN77,$AQ77=$AP$2,$AQ$2*AN77,$AQ77=$AP$3,$AQ$3*AN77,$AQ77=$AP$4,$AQ$4*AN77)</f>
        <v>1278.7801354826051</v>
      </c>
      <c r="BB77" s="155">
        <f>Table2[[#This Row],[FINAL Project System Capacity (MW)]]</f>
        <v>19.899999999999999</v>
      </c>
      <c r="BC77" s="155" t="str">
        <f>Table2[[#This Row],[FN Parent  '#]]</f>
        <v>FN014248</v>
      </c>
      <c r="BD77" s="155">
        <f t="shared" si="41"/>
        <v>19.899999999999999</v>
      </c>
      <c r="BE77" s="155">
        <f t="shared" si="42"/>
        <v>19.899999999999999</v>
      </c>
      <c r="BF77" s="155">
        <f t="shared" si="43"/>
        <v>0</v>
      </c>
      <c r="BG77" s="155">
        <f t="shared" si="44"/>
        <v>0</v>
      </c>
      <c r="BH77" s="155">
        <f t="shared" si="45"/>
        <v>0.23564872056967229</v>
      </c>
      <c r="BI77" s="155">
        <f t="shared" si="46"/>
        <v>3.4347212644060532</v>
      </c>
      <c r="BJ77" s="155">
        <f t="shared" si="47"/>
        <v>4.6842693620845273</v>
      </c>
      <c r="BK77" s="155">
        <f t="shared" si="48"/>
        <v>7.7534112589390842</v>
      </c>
      <c r="BL77" s="155">
        <f t="shared" si="49"/>
        <v>28.055605509726433</v>
      </c>
      <c r="BM77" s="155">
        <f t="shared" si="50"/>
        <v>49.207072664681654</v>
      </c>
      <c r="BN77" s="155">
        <f t="shared" si="51"/>
        <v>62.938597762692268</v>
      </c>
      <c r="BO77" s="155">
        <f t="shared" si="52"/>
        <v>64.260308315708812</v>
      </c>
      <c r="BP77" s="155">
        <f t="shared" si="53"/>
        <v>17.77638615746174</v>
      </c>
      <c r="BR77" s="206" t="s">
        <v>249</v>
      </c>
      <c r="BS77" s="155">
        <f t="shared" si="29"/>
        <v>4.046717417646887</v>
      </c>
      <c r="BT77" s="155">
        <f t="shared" si="30"/>
        <v>15</v>
      </c>
    </row>
    <row r="78" spans="1:72">
      <c r="A78" s="155" t="s">
        <v>247</v>
      </c>
      <c r="B78" s="155" t="s">
        <v>1345</v>
      </c>
      <c r="C78" s="155" t="s">
        <v>208</v>
      </c>
      <c r="D78" s="155">
        <v>8.8000000000000007</v>
      </c>
      <c r="E78" s="189">
        <v>41.700200000000009</v>
      </c>
      <c r="F78" s="67">
        <v>15</v>
      </c>
      <c r="G78" s="67">
        <v>616</v>
      </c>
      <c r="H78" s="67">
        <v>0</v>
      </c>
      <c r="I78" s="67">
        <v>0</v>
      </c>
      <c r="J78" s="67">
        <v>0</v>
      </c>
      <c r="K78" s="67">
        <v>0</v>
      </c>
      <c r="L78" s="67">
        <v>0</v>
      </c>
      <c r="M78" s="67">
        <v>0</v>
      </c>
      <c r="N78" s="67">
        <v>0</v>
      </c>
      <c r="O78" s="67">
        <v>0</v>
      </c>
      <c r="Q78" s="201" t="s">
        <v>247</v>
      </c>
      <c r="R78" s="201" t="s">
        <v>1345</v>
      </c>
      <c r="S78" s="201" t="s">
        <v>208</v>
      </c>
      <c r="T78" s="76">
        <f>SUM($E78:F78)</f>
        <v>56.700200000000009</v>
      </c>
      <c r="U78" s="76">
        <f>SUM($E78:G78)</f>
        <v>672.7002</v>
      </c>
      <c r="V78" s="76">
        <f>SUM($E78:H78)</f>
        <v>672.7002</v>
      </c>
      <c r="W78" s="76">
        <f>SUM($E78:I78)</f>
        <v>672.7002</v>
      </c>
      <c r="X78" s="76">
        <f>SUM($E78:J78)</f>
        <v>672.7002</v>
      </c>
      <c r="Y78" s="76">
        <f>SUM($E78:K78)</f>
        <v>672.7002</v>
      </c>
      <c r="Z78" s="76">
        <f>SUM($E78:L78)</f>
        <v>672.7002</v>
      </c>
      <c r="AA78" s="76">
        <f>SUM($E78:M78)</f>
        <v>672.7002</v>
      </c>
      <c r="AB78" s="76">
        <f>SUM($E78:N78)</f>
        <v>672.7002</v>
      </c>
      <c r="AC78" s="76">
        <f>SUM($E78:O78)</f>
        <v>672.7002</v>
      </c>
      <c r="AE78" s="76">
        <f t="shared" si="31"/>
        <v>56.700200000000009</v>
      </c>
      <c r="AF78" s="76">
        <f t="shared" si="32"/>
        <v>686.82690419999994</v>
      </c>
      <c r="AG78" s="76">
        <f t="shared" si="33"/>
        <v>701.25026918819981</v>
      </c>
      <c r="AH78" s="76">
        <f t="shared" si="34"/>
        <v>715.97652484115201</v>
      </c>
      <c r="AI78" s="76">
        <f t="shared" si="35"/>
        <v>731.012031862816</v>
      </c>
      <c r="AJ78" s="76">
        <f t="shared" si="36"/>
        <v>746.36328453193505</v>
      </c>
      <c r="AK78" s="76">
        <f t="shared" si="37"/>
        <v>762.03691350710562</v>
      </c>
      <c r="AL78" s="76">
        <f t="shared" si="38"/>
        <v>778.03968869075482</v>
      </c>
      <c r="AM78" s="76">
        <f t="shared" si="39"/>
        <v>794.37852215326052</v>
      </c>
      <c r="AN78" s="76">
        <f t="shared" si="40"/>
        <v>811.06047111847886</v>
      </c>
      <c r="AP78" s="201" t="s">
        <v>247</v>
      </c>
      <c r="AQ78" s="201" t="s">
        <v>208</v>
      </c>
      <c r="AR78" s="155" cm="1">
        <f t="array" ref="AR78">_xlfn.IFS($AQ78=$AP$1,$AQ$1*AE78,$AQ78=$AP$2,$AQ$2*AE78,$AQ78=$AP$3,$AQ$3*AE78,$AQ78=$AP$4,$AQ$4*AE78)</f>
        <v>8.0113219164001155</v>
      </c>
      <c r="AS78" s="155" cm="1">
        <f t="array" ref="AS78">_xlfn.IFS($AQ78=$AP$1,$AQ$1*AF78,$AQ78=$AP$2,$AQ$2*AF78,$AQ78=$AP$3,$AQ$3*AF78,$AQ78=$AP$4,$AQ$4*AF78)</f>
        <v>97.043598265803311</v>
      </c>
      <c r="AT78" s="155" cm="1">
        <f t="array" ref="AT78">_xlfn.IFS($AQ78=$AP$1,$AQ$1*AG78,$AQ78=$AP$2,$AQ$2*AG78,$AQ78=$AP$3,$AQ$3*AG78,$AQ78=$AP$4,$AQ$4*AG78)</f>
        <v>99.081513829385159</v>
      </c>
      <c r="AU78" s="155" cm="1">
        <f t="array" ref="AU78">_xlfn.IFS($AQ78=$AP$1,$AQ$1*AH78,$AQ78=$AP$2,$AQ$2*AH78,$AQ78=$AP$3,$AQ$3*AH78,$AQ78=$AP$4,$AQ$4*AH78)</f>
        <v>101.16222561980226</v>
      </c>
      <c r="AV78" s="155" cm="1">
        <f t="array" ref="AV78">_xlfn.IFS($AQ78=$AP$1,$AQ$1*AI78,$AQ78=$AP$2,$AQ$2*AI78,$AQ78=$AP$3,$AQ$3*AI78,$AQ78=$AP$4,$AQ$4*AI78)</f>
        <v>103.28663235781806</v>
      </c>
      <c r="AW78" s="155" cm="1">
        <f t="array" ref="AW78">_xlfn.IFS($AQ78=$AP$1,$AQ$1*AJ78,$AQ78=$AP$2,$AQ$2*AJ78,$AQ78=$AP$3,$AQ$3*AJ78,$AQ78=$AP$4,$AQ$4*AJ78)</f>
        <v>105.45565163733224</v>
      </c>
      <c r="AX78" s="155" cm="1">
        <f t="array" ref="AX78">_xlfn.IFS($AQ78=$AP$1,$AQ$1*AK78,$AQ78=$AP$2,$AQ$2*AK78,$AQ78=$AP$3,$AQ$3*AK78,$AQ78=$AP$4,$AQ$4*AK78)</f>
        <v>107.6702203217162</v>
      </c>
      <c r="AY78" s="155" cm="1">
        <f t="array" ref="AY78">_xlfn.IFS($AQ78=$AP$1,$AQ$1*AL78,$AQ78=$AP$2,$AQ$2*AL78,$AQ78=$AP$3,$AQ$3*AL78,$AQ78=$AP$4,$AQ$4*AL78)</f>
        <v>109.93129494847224</v>
      </c>
      <c r="AZ78" s="155" cm="1">
        <f t="array" ref="AZ78">_xlfn.IFS($AQ78=$AP$1,$AQ$1*AM78,$AQ78=$AP$2,$AQ$2*AM78,$AQ78=$AP$3,$AQ$3*AM78,$AQ78=$AP$4,$AQ$4*AM78)</f>
        <v>112.23985214239013</v>
      </c>
      <c r="BA78" s="155" cm="1">
        <f t="array" ref="BA78">_xlfn.IFS($AQ78=$AP$1,$AQ$1*AN78,$AQ78=$AP$2,$AQ$2*AN78,$AQ78=$AP$3,$AQ$3*AN78,$AQ78=$AP$4,$AQ$4*AN78)</f>
        <v>114.59688903738031</v>
      </c>
      <c r="BB78" s="155">
        <f>Table2[[#This Row],[FINAL Project System Capacity (MW)]]</f>
        <v>8.8000000000000007</v>
      </c>
      <c r="BC78" s="155" t="str">
        <f>Table2[[#This Row],[FN Parent  '#]]</f>
        <v>Individual Project</v>
      </c>
      <c r="BD78" s="155">
        <f t="shared" si="41"/>
        <v>8.8000000000000007</v>
      </c>
      <c r="BE78" s="155">
        <f t="shared" si="42"/>
        <v>8.8000000000000007</v>
      </c>
      <c r="BF78" s="155">
        <f t="shared" si="43"/>
        <v>0.91037749050001304</v>
      </c>
      <c r="BG78" s="155">
        <f t="shared" si="44"/>
        <v>11.027681621114011</v>
      </c>
      <c r="BH78" s="155">
        <f t="shared" si="45"/>
        <v>11.259262935157404</v>
      </c>
      <c r="BI78" s="155">
        <f t="shared" si="46"/>
        <v>11.49570745679571</v>
      </c>
      <c r="BJ78" s="155">
        <f t="shared" si="47"/>
        <v>11.737117313388415</v>
      </c>
      <c r="BK78" s="155">
        <f t="shared" si="48"/>
        <v>11.983596776969572</v>
      </c>
      <c r="BL78" s="155">
        <f t="shared" si="49"/>
        <v>12.235252309285931</v>
      </c>
      <c r="BM78" s="155">
        <f t="shared" si="50"/>
        <v>12.492192607780936</v>
      </c>
      <c r="BN78" s="155">
        <f t="shared" si="51"/>
        <v>12.754528652544332</v>
      </c>
      <c r="BO78" s="155">
        <f t="shared" si="52"/>
        <v>13.022373754247761</v>
      </c>
      <c r="BP78" s="155">
        <f t="shared" si="53"/>
        <v>10.437145769207472</v>
      </c>
      <c r="BR78" s="206" t="s">
        <v>263</v>
      </c>
      <c r="BS78" s="155">
        <f t="shared" si="29"/>
        <v>41.943968722944646</v>
      </c>
      <c r="BT78" s="155">
        <f t="shared" si="30"/>
        <v>80</v>
      </c>
    </row>
    <row r="79" spans="1:72">
      <c r="A79" s="155" t="s">
        <v>247</v>
      </c>
      <c r="B79" s="155" t="s">
        <v>1345</v>
      </c>
      <c r="C79" s="155" t="s">
        <v>207</v>
      </c>
      <c r="D79" s="155">
        <v>17.600000000000001</v>
      </c>
      <c r="E79" s="189">
        <v>0</v>
      </c>
      <c r="F79" s="67">
        <v>0</v>
      </c>
      <c r="G79" s="67">
        <v>0</v>
      </c>
      <c r="H79" s="67">
        <v>0</v>
      </c>
      <c r="I79" s="67">
        <v>110.25</v>
      </c>
      <c r="J79" s="67">
        <v>1466.325</v>
      </c>
      <c r="K79" s="67">
        <v>529.20000000000005</v>
      </c>
      <c r="L79" s="67">
        <v>1479.2629999999999</v>
      </c>
      <c r="M79" s="67">
        <v>10739.254000000001</v>
      </c>
      <c r="N79" s="67">
        <v>10739.254000000001</v>
      </c>
      <c r="O79" s="67">
        <v>6495.516999999998</v>
      </c>
      <c r="Q79" s="202" t="s">
        <v>247</v>
      </c>
      <c r="R79" s="202" t="s">
        <v>1345</v>
      </c>
      <c r="S79" s="202" t="s">
        <v>207</v>
      </c>
      <c r="T79" s="76">
        <f>SUM($E79:F79)</f>
        <v>0</v>
      </c>
      <c r="U79" s="76">
        <f>SUM($E79:G79)</f>
        <v>0</v>
      </c>
      <c r="V79" s="76">
        <f>SUM($E79:H79)</f>
        <v>0</v>
      </c>
      <c r="W79" s="76">
        <f>SUM($E79:I79)</f>
        <v>110.25</v>
      </c>
      <c r="X79" s="76">
        <f>SUM($E79:J79)</f>
        <v>1576.575</v>
      </c>
      <c r="Y79" s="76">
        <f>SUM($E79:K79)</f>
        <v>2105.7750000000001</v>
      </c>
      <c r="Z79" s="76">
        <f>SUM($E79:L79)</f>
        <v>3585.038</v>
      </c>
      <c r="AA79" s="76">
        <f>SUM($E79:M79)</f>
        <v>14324.292000000001</v>
      </c>
      <c r="AB79" s="76">
        <f>SUM($E79:N79)</f>
        <v>25063.546000000002</v>
      </c>
      <c r="AC79" s="76">
        <f>SUM($E79:O79)</f>
        <v>31559.063000000002</v>
      </c>
      <c r="AE79" s="76">
        <f t="shared" si="31"/>
        <v>0</v>
      </c>
      <c r="AF79" s="76">
        <f t="shared" si="32"/>
        <v>0</v>
      </c>
      <c r="AG79" s="76">
        <f t="shared" si="33"/>
        <v>0</v>
      </c>
      <c r="AH79" s="76">
        <f t="shared" si="34"/>
        <v>117.34263177524997</v>
      </c>
      <c r="AI79" s="76">
        <f t="shared" si="35"/>
        <v>1713.2376267081818</v>
      </c>
      <c r="AJ79" s="76">
        <f t="shared" si="36"/>
        <v>2336.3649148390855</v>
      </c>
      <c r="AK79" s="76">
        <f t="shared" si="37"/>
        <v>4061.1423815924049</v>
      </c>
      <c r="AL79" s="76">
        <f t="shared" si="38"/>
        <v>16567.361936856076</v>
      </c>
      <c r="AM79" s="76">
        <f t="shared" si="39"/>
        <v>29597.051749650534</v>
      </c>
      <c r="AN79" s="76">
        <f t="shared" si="40"/>
        <v>38050.097955727906</v>
      </c>
      <c r="AP79" s="202" t="s">
        <v>247</v>
      </c>
      <c r="AQ79" s="202" t="s">
        <v>207</v>
      </c>
      <c r="AR79" s="155" cm="1">
        <f t="array" ref="AR79">_xlfn.IFS($AQ79=$AP$1,$AQ$1*AE79,$AQ79=$AP$2,$AQ$2*AE79,$AQ79=$AP$3,$AQ$3*AE79,$AQ79=$AP$4,$AQ$4*AE79)</f>
        <v>0</v>
      </c>
      <c r="AS79" s="155" cm="1">
        <f t="array" ref="AS79">_xlfn.IFS($AQ79=$AP$1,$AQ$1*AF79,$AQ79=$AP$2,$AQ$2*AF79,$AQ79=$AP$3,$AQ$3*AF79,$AQ79=$AP$4,$AQ$4*AF79)</f>
        <v>0</v>
      </c>
      <c r="AT79" s="155" cm="1">
        <f t="array" ref="AT79">_xlfn.IFS($AQ79=$AP$1,$AQ$1*AG79,$AQ79=$AP$2,$AQ$2*AG79,$AQ79=$AP$3,$AQ$3*AG79,$AQ79=$AP$4,$AQ$4*AG79)</f>
        <v>0</v>
      </c>
      <c r="AU79" s="155" cm="1">
        <f t="array" ref="AU79">_xlfn.IFS($AQ79=$AP$1,$AQ$1*AH79,$AQ79=$AP$2,$AQ$2*AH79,$AQ79=$AP$3,$AQ$3*AH79,$AQ79=$AP$4,$AQ$4*AH79)</f>
        <v>9.4568876912070579</v>
      </c>
      <c r="AV79" s="155" cm="1">
        <f t="array" ref="AV79">_xlfn.IFS($AQ79=$AP$1,$AQ$1*AI79,$AQ79=$AP$2,$AQ$2*AI79,$AQ79=$AP$3,$AQ$3*AI79,$AQ79=$AP$4,$AQ$4*AI79)</f>
        <v>138.07339735793039</v>
      </c>
      <c r="AW79" s="155" cm="1">
        <f t="array" ref="AW79">_xlfn.IFS($AQ79=$AP$1,$AQ$1*AJ79,$AQ79=$AP$2,$AQ$2*AJ79,$AQ79=$AP$3,$AQ$3*AJ79,$AQ79=$AP$4,$AQ$4*AJ79)</f>
        <v>188.29252651865286</v>
      </c>
      <c r="AX79" s="155" cm="1">
        <f t="array" ref="AX79">_xlfn.IFS($AQ79=$AP$1,$AQ$1*AK79,$AQ79=$AP$2,$AQ$2*AK79,$AQ79=$AP$3,$AQ$3*AK79,$AQ79=$AP$4,$AQ$4*AK79)</f>
        <v>327.29594367953416</v>
      </c>
      <c r="AY79" s="155" cm="1">
        <f t="array" ref="AY79">_xlfn.IFS($AQ79=$AP$1,$AQ$1*AL79,$AQ79=$AP$2,$AQ$2*AL79,$AQ79=$AP$3,$AQ$3*AL79,$AQ79=$AP$4,$AQ$4*AL79)</f>
        <v>1335.1982890285979</v>
      </c>
      <c r="AZ79" s="155" cm="1">
        <f t="array" ref="AZ79">_xlfn.IFS($AQ79=$AP$1,$AQ$1*AM79,$AQ79=$AP$2,$AQ$2*AM79,$AQ79=$AP$3,$AQ$3*AM79,$AQ79=$AP$4,$AQ$4*AM79)</f>
        <v>2385.2881953711594</v>
      </c>
      <c r="BA79" s="155" cm="1">
        <f t="array" ref="BA79">_xlfn.IFS($AQ79=$AP$1,$AQ$1*AN79,$AQ79=$AP$2,$AQ$2*AN79,$AQ79=$AP$3,$AQ$3*AN79,$AQ79=$AP$4,$AQ$4*AN79)</f>
        <v>3066.5368380006194</v>
      </c>
      <c r="BB79" s="155">
        <f>Table2[[#This Row],[FINAL Project System Capacity (MW)]]</f>
        <v>17.600000000000001</v>
      </c>
      <c r="BC79" s="155" t="str">
        <f>Table2[[#This Row],[FN Parent  '#]]</f>
        <v>Individual Project</v>
      </c>
      <c r="BD79" s="155">
        <f t="shared" si="41"/>
        <v>17.600000000000001</v>
      </c>
      <c r="BE79" s="155">
        <f t="shared" si="42"/>
        <v>17.600000000000001</v>
      </c>
      <c r="BF79" s="155">
        <f t="shared" si="43"/>
        <v>0</v>
      </c>
      <c r="BG79" s="155">
        <f t="shared" si="44"/>
        <v>0</v>
      </c>
      <c r="BH79" s="155">
        <f t="shared" si="45"/>
        <v>0</v>
      </c>
      <c r="BI79" s="155">
        <f t="shared" si="46"/>
        <v>0.53732316427312821</v>
      </c>
      <c r="BJ79" s="155">
        <f t="shared" si="47"/>
        <v>7.8450793953369535</v>
      </c>
      <c r="BK79" s="155">
        <f t="shared" si="48"/>
        <v>10.698439006741639</v>
      </c>
      <c r="BL79" s="155">
        <f t="shared" si="49"/>
        <v>18.596360436337168</v>
      </c>
      <c r="BM79" s="155">
        <f t="shared" si="50"/>
        <v>75.86353914935215</v>
      </c>
      <c r="BN79" s="155">
        <f t="shared" si="51"/>
        <v>135.52773837336133</v>
      </c>
      <c r="BO79" s="155">
        <f t="shared" si="52"/>
        <v>174.23504761367155</v>
      </c>
      <c r="BP79" s="155">
        <f t="shared" si="53"/>
        <v>33.069672779022042</v>
      </c>
      <c r="BR79" s="206" t="s">
        <v>320</v>
      </c>
      <c r="BS79" s="155">
        <f t="shared" si="29"/>
        <v>9.9397742753561289</v>
      </c>
      <c r="BT79" s="155">
        <f t="shared" si="30"/>
        <v>12.5</v>
      </c>
    </row>
    <row r="80" spans="1:72">
      <c r="A80" s="155" t="s">
        <v>248</v>
      </c>
      <c r="B80" s="155" t="s">
        <v>1345</v>
      </c>
      <c r="C80" s="155" t="s">
        <v>207</v>
      </c>
      <c r="D80" s="155">
        <v>17.600000000000001</v>
      </c>
      <c r="E80" s="189">
        <v>0</v>
      </c>
      <c r="F80" s="67">
        <v>0</v>
      </c>
      <c r="G80" s="67">
        <v>0</v>
      </c>
      <c r="H80" s="67">
        <v>0</v>
      </c>
      <c r="I80" s="67">
        <v>110.25</v>
      </c>
      <c r="J80" s="67">
        <v>1466.325</v>
      </c>
      <c r="K80" s="67">
        <v>529.20000000000005</v>
      </c>
      <c r="L80" s="67">
        <v>1308.375</v>
      </c>
      <c r="M80" s="67">
        <v>8688.6039999999994</v>
      </c>
      <c r="N80" s="67">
        <v>8688.6039999999994</v>
      </c>
      <c r="O80" s="67">
        <v>5255.2040000000006</v>
      </c>
      <c r="Q80" s="201" t="s">
        <v>248</v>
      </c>
      <c r="R80" s="201" t="s">
        <v>1345</v>
      </c>
      <c r="S80" s="201" t="s">
        <v>207</v>
      </c>
      <c r="T80" s="76">
        <f>SUM($E80:F80)</f>
        <v>0</v>
      </c>
      <c r="U80" s="76">
        <f>SUM($E80:G80)</f>
        <v>0</v>
      </c>
      <c r="V80" s="76">
        <f>SUM($E80:H80)</f>
        <v>0</v>
      </c>
      <c r="W80" s="76">
        <f>SUM($E80:I80)</f>
        <v>110.25</v>
      </c>
      <c r="X80" s="76">
        <f>SUM($E80:J80)</f>
        <v>1576.575</v>
      </c>
      <c r="Y80" s="76">
        <f>SUM($E80:K80)</f>
        <v>2105.7750000000001</v>
      </c>
      <c r="Z80" s="76">
        <f>SUM($E80:L80)</f>
        <v>3414.15</v>
      </c>
      <c r="AA80" s="76">
        <f>SUM($E80:M80)</f>
        <v>12102.753999999999</v>
      </c>
      <c r="AB80" s="76">
        <f>SUM($E80:N80)</f>
        <v>20791.358</v>
      </c>
      <c r="AC80" s="76">
        <f>SUM($E80:O80)</f>
        <v>26046.562000000002</v>
      </c>
      <c r="AE80" s="76">
        <f t="shared" si="31"/>
        <v>0</v>
      </c>
      <c r="AF80" s="76">
        <f t="shared" si="32"/>
        <v>0</v>
      </c>
      <c r="AG80" s="76">
        <f t="shared" si="33"/>
        <v>0</v>
      </c>
      <c r="AH80" s="76">
        <f t="shared" si="34"/>
        <v>117.34263177524997</v>
      </c>
      <c r="AI80" s="76">
        <f t="shared" si="35"/>
        <v>1713.2376267081818</v>
      </c>
      <c r="AJ80" s="76">
        <f t="shared" si="36"/>
        <v>2336.3649148390855</v>
      </c>
      <c r="AK80" s="76">
        <f t="shared" si="37"/>
        <v>3867.5599148778088</v>
      </c>
      <c r="AL80" s="76">
        <f t="shared" si="38"/>
        <v>13997.948795705406</v>
      </c>
      <c r="AM80" s="76">
        <f t="shared" si="39"/>
        <v>24552.108415605304</v>
      </c>
      <c r="AN80" s="76">
        <f t="shared" si="40"/>
        <v>31403.791535570628</v>
      </c>
      <c r="AP80" s="201" t="s">
        <v>248</v>
      </c>
      <c r="AQ80" s="201" t="s">
        <v>207</v>
      </c>
      <c r="AR80" s="155" cm="1">
        <f t="array" ref="AR80">_xlfn.IFS($AQ80=$AP$1,$AQ$1*AE80,$AQ80=$AP$2,$AQ$2*AE80,$AQ80=$AP$3,$AQ$3*AE80,$AQ80=$AP$4,$AQ$4*AE80)</f>
        <v>0</v>
      </c>
      <c r="AS80" s="155" cm="1">
        <f t="array" ref="AS80">_xlfn.IFS($AQ80=$AP$1,$AQ$1*AF80,$AQ80=$AP$2,$AQ$2*AF80,$AQ80=$AP$3,$AQ$3*AF80,$AQ80=$AP$4,$AQ$4*AF80)</f>
        <v>0</v>
      </c>
      <c r="AT80" s="155" cm="1">
        <f t="array" ref="AT80">_xlfn.IFS($AQ80=$AP$1,$AQ$1*AG80,$AQ80=$AP$2,$AQ$2*AG80,$AQ80=$AP$3,$AQ$3*AG80,$AQ80=$AP$4,$AQ$4*AG80)</f>
        <v>0</v>
      </c>
      <c r="AU80" s="155" cm="1">
        <f t="array" ref="AU80">_xlfn.IFS($AQ80=$AP$1,$AQ$1*AH80,$AQ80=$AP$2,$AQ$2*AH80,$AQ80=$AP$3,$AQ$3*AH80,$AQ80=$AP$4,$AQ$4*AH80)</f>
        <v>9.4568876912070579</v>
      </c>
      <c r="AV80" s="155" cm="1">
        <f t="array" ref="AV80">_xlfn.IFS($AQ80=$AP$1,$AQ$1*AI80,$AQ80=$AP$2,$AQ$2*AI80,$AQ80=$AP$3,$AQ$3*AI80,$AQ80=$AP$4,$AQ$4*AI80)</f>
        <v>138.07339735793039</v>
      </c>
      <c r="AW80" s="155" cm="1">
        <f t="array" ref="AW80">_xlfn.IFS($AQ80=$AP$1,$AQ$1*AJ80,$AQ80=$AP$2,$AQ$2*AJ80,$AQ80=$AP$3,$AQ$3*AJ80,$AQ80=$AP$4,$AQ$4*AJ80)</f>
        <v>188.29252651865286</v>
      </c>
      <c r="AX80" s="155" cm="1">
        <f t="array" ref="AX80">_xlfn.IFS($AQ80=$AP$1,$AQ$1*AK80,$AQ80=$AP$2,$AQ$2*AK80,$AQ80=$AP$3,$AQ$3*AK80,$AQ80=$AP$4,$AQ$4*AK80)</f>
        <v>311.69472851151971</v>
      </c>
      <c r="AY80" s="155" cm="1">
        <f t="array" ref="AY80">_xlfn.IFS($AQ80=$AP$1,$AQ$1*AL80,$AQ80=$AP$2,$AQ$2*AL80,$AQ80=$AP$3,$AQ$3*AL80,$AQ80=$AP$4,$AQ$4*AL80)</f>
        <v>1128.12391937654</v>
      </c>
      <c r="AZ80" s="155" cm="1">
        <f t="array" ref="AZ80">_xlfn.IFS($AQ80=$AP$1,$AQ$1*AM80,$AQ80=$AP$2,$AQ$2*AM80,$AQ80=$AP$3,$AQ$3*AM80,$AQ80=$AP$4,$AQ$4*AM80)</f>
        <v>1978.7056788826178</v>
      </c>
      <c r="BA80" s="155" cm="1">
        <f t="array" ref="BA80">_xlfn.IFS($AQ80=$AP$1,$AQ$1*AN80,$AQ80=$AP$2,$AQ$2*AN80,$AQ80=$AP$3,$AQ$3*AN80,$AQ80=$AP$4,$AQ$4*AN80)</f>
        <v>2530.8971269605531</v>
      </c>
      <c r="BB80" s="155">
        <f>Table2[[#This Row],[FINAL Project System Capacity (MW)]]</f>
        <v>17.600000000000001</v>
      </c>
      <c r="BC80" s="155" t="str">
        <f>Table2[[#This Row],[FN Parent  '#]]</f>
        <v>Individual Project</v>
      </c>
      <c r="BD80" s="155">
        <f t="shared" si="41"/>
        <v>17.600000000000001</v>
      </c>
      <c r="BE80" s="155">
        <f t="shared" si="42"/>
        <v>17.600000000000001</v>
      </c>
      <c r="BF80" s="155">
        <f t="shared" si="43"/>
        <v>0</v>
      </c>
      <c r="BG80" s="155">
        <f t="shared" si="44"/>
        <v>0</v>
      </c>
      <c r="BH80" s="155">
        <f t="shared" si="45"/>
        <v>0</v>
      </c>
      <c r="BI80" s="155">
        <f t="shared" si="46"/>
        <v>0.53732316427312821</v>
      </c>
      <c r="BJ80" s="155">
        <f t="shared" si="47"/>
        <v>7.8450793953369535</v>
      </c>
      <c r="BK80" s="155">
        <f t="shared" si="48"/>
        <v>10.698439006741639</v>
      </c>
      <c r="BL80" s="155">
        <f t="shared" si="49"/>
        <v>17.709927756336345</v>
      </c>
      <c r="BM80" s="155">
        <f t="shared" si="50"/>
        <v>64.097949964576131</v>
      </c>
      <c r="BN80" s="155">
        <f t="shared" si="51"/>
        <v>112.42645902742146</v>
      </c>
      <c r="BO80" s="155">
        <f t="shared" si="52"/>
        <v>143.80097312275868</v>
      </c>
      <c r="BP80" s="155">
        <f t="shared" si="53"/>
        <v>27.998119570945413</v>
      </c>
      <c r="BR80" s="206" t="s">
        <v>303</v>
      </c>
      <c r="BS80" s="155">
        <f t="shared" si="29"/>
        <v>75.396799695199576</v>
      </c>
      <c r="BT80" s="155">
        <f t="shared" si="30"/>
        <v>60</v>
      </c>
    </row>
    <row r="81" spans="1:72">
      <c r="A81" s="155" t="s">
        <v>250</v>
      </c>
      <c r="B81" s="155" t="s">
        <v>1345</v>
      </c>
      <c r="C81" s="155" t="s">
        <v>208</v>
      </c>
      <c r="D81" s="155">
        <v>4</v>
      </c>
      <c r="E81" s="189">
        <v>0</v>
      </c>
      <c r="F81" s="67">
        <v>0</v>
      </c>
      <c r="G81" s="67">
        <v>50</v>
      </c>
      <c r="H81" s="67">
        <v>525</v>
      </c>
      <c r="I81" s="67">
        <v>0</v>
      </c>
      <c r="J81" s="67">
        <v>0</v>
      </c>
      <c r="K81" s="67">
        <v>0</v>
      </c>
      <c r="L81" s="67">
        <v>0</v>
      </c>
      <c r="M81" s="67">
        <v>0</v>
      </c>
      <c r="N81" s="67">
        <v>0</v>
      </c>
      <c r="O81" s="67">
        <v>0</v>
      </c>
      <c r="Q81" s="202" t="s">
        <v>250</v>
      </c>
      <c r="R81" s="202" t="s">
        <v>1345</v>
      </c>
      <c r="S81" s="202" t="s">
        <v>208</v>
      </c>
      <c r="T81" s="76">
        <f>SUM($E81:F81)</f>
        <v>0</v>
      </c>
      <c r="U81" s="76">
        <f>SUM($E81:G81)</f>
        <v>50</v>
      </c>
      <c r="V81" s="76">
        <f>SUM($E81:H81)</f>
        <v>575</v>
      </c>
      <c r="W81" s="76">
        <f>SUM($E81:I81)</f>
        <v>575</v>
      </c>
      <c r="X81" s="76">
        <f>SUM($E81:J81)</f>
        <v>575</v>
      </c>
      <c r="Y81" s="76">
        <f>SUM($E81:K81)</f>
        <v>575</v>
      </c>
      <c r="Z81" s="76">
        <f>SUM($E81:L81)</f>
        <v>575</v>
      </c>
      <c r="AA81" s="76">
        <f>SUM($E81:M81)</f>
        <v>575</v>
      </c>
      <c r="AB81" s="76">
        <f>SUM($E81:N81)</f>
        <v>575</v>
      </c>
      <c r="AC81" s="76">
        <f>SUM($E81:O81)</f>
        <v>575</v>
      </c>
      <c r="AE81" s="76">
        <f t="shared" si="31"/>
        <v>0</v>
      </c>
      <c r="AF81" s="76">
        <f t="shared" si="32"/>
        <v>51.05</v>
      </c>
      <c r="AG81" s="76">
        <f t="shared" si="33"/>
        <v>599.40357499999982</v>
      </c>
      <c r="AH81" s="76">
        <f t="shared" si="34"/>
        <v>611.99105007499986</v>
      </c>
      <c r="AI81" s="76">
        <f t="shared" si="35"/>
        <v>624.84286212657469</v>
      </c>
      <c r="AJ81" s="76">
        <f t="shared" si="36"/>
        <v>637.96456223123266</v>
      </c>
      <c r="AK81" s="76">
        <f t="shared" si="37"/>
        <v>651.36181803808847</v>
      </c>
      <c r="AL81" s="76">
        <f t="shared" si="38"/>
        <v>665.04041621688827</v>
      </c>
      <c r="AM81" s="76">
        <f t="shared" si="39"/>
        <v>679.0062649574428</v>
      </c>
      <c r="AN81" s="76">
        <f t="shared" si="40"/>
        <v>693.26539652154906</v>
      </c>
      <c r="AP81" s="202" t="s">
        <v>250</v>
      </c>
      <c r="AQ81" s="202" t="s">
        <v>208</v>
      </c>
      <c r="AR81" s="155" cm="1">
        <f t="array" ref="AR81">_xlfn.IFS($AQ81=$AP$1,$AQ$1*AE81,$AQ81=$AP$2,$AQ$2*AE81,$AQ81=$AP$3,$AQ$3*AE81,$AQ81=$AP$4,$AQ$4*AE81)</f>
        <v>0</v>
      </c>
      <c r="AS81" s="155" cm="1">
        <f t="array" ref="AS81">_xlfn.IFS($AQ81=$AP$1,$AQ$1*AF81,$AQ81=$AP$2,$AQ$2*AF81,$AQ81=$AP$3,$AQ$3*AF81,$AQ81=$AP$4,$AQ$4*AF81)</f>
        <v>7.2129901452239285</v>
      </c>
      <c r="AT81" s="155" cm="1">
        <f t="array" ref="AT81">_xlfn.IFS($AQ81=$AP$1,$AQ$1*AG81,$AQ81=$AP$2,$AQ$2*AG81,$AQ81=$AP$3,$AQ$3*AG81,$AQ81=$AP$4,$AQ$4*AG81)</f>
        <v>84.69132379014674</v>
      </c>
      <c r="AU81" s="155" cm="1">
        <f t="array" ref="AU81">_xlfn.IFS($AQ81=$AP$1,$AQ$1*AH81,$AQ81=$AP$2,$AQ$2*AH81,$AQ81=$AP$3,$AQ$3*AH81,$AQ81=$AP$4,$AQ$4*AH81)</f>
        <v>86.469841589739829</v>
      </c>
      <c r="AV81" s="155" cm="1">
        <f t="array" ref="AV81">_xlfn.IFS($AQ81=$AP$1,$AQ$1*AI81,$AQ81=$AP$2,$AQ$2*AI81,$AQ81=$AP$3,$AQ$3*AI81,$AQ81=$AP$4,$AQ$4*AI81)</f>
        <v>88.285708263124334</v>
      </c>
      <c r="AW81" s="155" cm="1">
        <f t="array" ref="AW81">_xlfn.IFS($AQ81=$AP$1,$AQ$1*AJ81,$AQ81=$AP$2,$AQ$2*AJ81,$AQ81=$AP$3,$AQ$3*AJ81,$AQ81=$AP$4,$AQ$4*AJ81)</f>
        <v>90.139708136649929</v>
      </c>
      <c r="AX81" s="155" cm="1">
        <f t="array" ref="AX81">_xlfn.IFS($AQ81=$AP$1,$AQ$1*AK81,$AQ81=$AP$2,$AQ$2*AK81,$AQ81=$AP$3,$AQ$3*AK81,$AQ81=$AP$4,$AQ$4*AK81)</f>
        <v>92.03264200751957</v>
      </c>
      <c r="AY81" s="155" cm="1">
        <f t="array" ref="AY81">_xlfn.IFS($AQ81=$AP$1,$AQ$1*AL81,$AQ81=$AP$2,$AQ$2*AL81,$AQ81=$AP$3,$AQ$3*AL81,$AQ81=$AP$4,$AQ$4*AL81)</f>
        <v>93.965327489677478</v>
      </c>
      <c r="AZ81" s="155" cm="1">
        <f t="array" ref="AZ81">_xlfn.IFS($AQ81=$AP$1,$AQ$1*AM81,$AQ81=$AP$2,$AQ$2*AM81,$AQ81=$AP$3,$AQ$3*AM81,$AQ81=$AP$4,$AQ$4*AM81)</f>
        <v>95.938599366960688</v>
      </c>
      <c r="BA81" s="155" cm="1">
        <f t="array" ref="BA81">_xlfn.IFS($AQ81=$AP$1,$AQ$1*AN81,$AQ81=$AP$2,$AQ$2*AN81,$AQ81=$AP$3,$AQ$3*AN81,$AQ81=$AP$4,$AQ$4*AN81)</f>
        <v>97.953309953666846</v>
      </c>
      <c r="BB81" s="155">
        <f>Table2[[#This Row],[FINAL Project System Capacity (MW)]]</f>
        <v>4</v>
      </c>
      <c r="BC81" s="155" t="str">
        <f>Table2[[#This Row],[FN Parent  '#]]</f>
        <v>Individual Project</v>
      </c>
      <c r="BD81" s="155">
        <f t="shared" si="41"/>
        <v>4</v>
      </c>
      <c r="BE81" s="155">
        <f t="shared" si="42"/>
        <v>4</v>
      </c>
      <c r="BF81" s="155">
        <f t="shared" si="43"/>
        <v>0</v>
      </c>
      <c r="BG81" s="155">
        <f t="shared" si="44"/>
        <v>1.8032475363059821</v>
      </c>
      <c r="BH81" s="155">
        <f t="shared" si="45"/>
        <v>21.172830947536685</v>
      </c>
      <c r="BI81" s="155">
        <f t="shared" si="46"/>
        <v>21.617460397434957</v>
      </c>
      <c r="BJ81" s="155">
        <f t="shared" si="47"/>
        <v>22.071427065781084</v>
      </c>
      <c r="BK81" s="155">
        <f t="shared" si="48"/>
        <v>22.534927034162482</v>
      </c>
      <c r="BL81" s="155">
        <f t="shared" si="49"/>
        <v>23.008160501879892</v>
      </c>
      <c r="BM81" s="155">
        <f t="shared" si="50"/>
        <v>23.491331872419369</v>
      </c>
      <c r="BN81" s="155">
        <f t="shared" si="51"/>
        <v>23.984649841740172</v>
      </c>
      <c r="BO81" s="155">
        <f t="shared" si="52"/>
        <v>24.488327488416711</v>
      </c>
      <c r="BP81" s="155">
        <f t="shared" si="53"/>
        <v>17.053973950499799</v>
      </c>
      <c r="BR81" s="206" t="s">
        <v>322</v>
      </c>
      <c r="BS81" s="155">
        <f t="shared" si="29"/>
        <v>12.034191999688964</v>
      </c>
      <c r="BT81" s="155">
        <f t="shared" si="30"/>
        <v>12.5</v>
      </c>
    </row>
    <row r="82" spans="1:72">
      <c r="A82" s="155" t="s">
        <v>261</v>
      </c>
      <c r="B82" s="155" t="s">
        <v>1267</v>
      </c>
      <c r="C82" s="155" t="s">
        <v>208</v>
      </c>
      <c r="D82" s="155">
        <v>34.5</v>
      </c>
      <c r="E82" s="189">
        <v>0</v>
      </c>
      <c r="F82" s="67">
        <v>0</v>
      </c>
      <c r="G82" s="67">
        <v>0</v>
      </c>
      <c r="H82" s="67">
        <v>0</v>
      </c>
      <c r="I82" s="67">
        <v>0</v>
      </c>
      <c r="J82" s="67">
        <v>0</v>
      </c>
      <c r="K82" s="67">
        <v>71.662999999999997</v>
      </c>
      <c r="L82" s="67">
        <v>275.625</v>
      </c>
      <c r="M82" s="67">
        <v>320.51</v>
      </c>
      <c r="N82" s="67">
        <v>0</v>
      </c>
      <c r="O82" s="67">
        <v>0</v>
      </c>
      <c r="Q82" s="201" t="s">
        <v>261</v>
      </c>
      <c r="R82" s="201" t="s">
        <v>1267</v>
      </c>
      <c r="S82" s="201" t="s">
        <v>208</v>
      </c>
      <c r="T82" s="76">
        <f>SUM($E82:F86)</f>
        <v>0</v>
      </c>
      <c r="U82" s="76">
        <f>SUM($E82:G86)</f>
        <v>0</v>
      </c>
      <c r="V82" s="76">
        <f>SUM($E82:H86)</f>
        <v>0</v>
      </c>
      <c r="W82" s="76">
        <f>SUM($E82:I86)</f>
        <v>250</v>
      </c>
      <c r="X82" s="76">
        <f>SUM($E82:J86)</f>
        <v>2165</v>
      </c>
      <c r="Y82" s="76">
        <f>SUM($E82:K86)</f>
        <v>8355.2530000000006</v>
      </c>
      <c r="Z82" s="76">
        <f>SUM($E82:L86)</f>
        <v>16702.508000000002</v>
      </c>
      <c r="AA82" s="76">
        <f>SUM($E82:M86)</f>
        <v>25065.641</v>
      </c>
      <c r="AB82" s="76">
        <f>SUM($E82:N86)</f>
        <v>34893.979999999996</v>
      </c>
      <c r="AC82" s="76">
        <f>SUM($E82:O86)</f>
        <v>53299.981999999996</v>
      </c>
      <c r="AE82" s="76">
        <f t="shared" si="31"/>
        <v>0</v>
      </c>
      <c r="AF82" s="76">
        <f t="shared" si="32"/>
        <v>0</v>
      </c>
      <c r="AG82" s="76">
        <f t="shared" si="33"/>
        <v>0</v>
      </c>
      <c r="AH82" s="76">
        <f t="shared" si="34"/>
        <v>266.08306524999989</v>
      </c>
      <c r="AI82" s="76">
        <f t="shared" si="35"/>
        <v>2352.6692113113641</v>
      </c>
      <c r="AJ82" s="76">
        <f t="shared" si="36"/>
        <v>9270.1831695238161</v>
      </c>
      <c r="AK82" s="76">
        <f t="shared" si="37"/>
        <v>18920.65387247951</v>
      </c>
      <c r="AL82" s="76">
        <f t="shared" si="38"/>
        <v>28990.72056240539</v>
      </c>
      <c r="AM82" s="76">
        <f t="shared" si="39"/>
        <v>41205.619181390794</v>
      </c>
      <c r="AN82" s="76">
        <f t="shared" si="40"/>
        <v>64262.6663579503</v>
      </c>
      <c r="AP82" s="201" t="s">
        <v>261</v>
      </c>
      <c r="AQ82" s="201" t="s">
        <v>208</v>
      </c>
      <c r="AR82" s="155" cm="1">
        <f t="array" ref="AR82">_xlfn.IFS($AQ82=$AP$1,$AQ$1*AE82,$AQ82=$AP$2,$AQ$2*AE82,$AQ82=$AP$3,$AQ$3*AE82,$AQ82=$AP$4,$AQ$4*AE82)</f>
        <v>0</v>
      </c>
      <c r="AS82" s="155" cm="1">
        <f t="array" ref="AS82">_xlfn.IFS($AQ82=$AP$1,$AQ$1*AF82,$AQ82=$AP$2,$AQ$2*AF82,$AQ82=$AP$3,$AQ$3*AF82,$AQ82=$AP$4,$AQ$4*AF82)</f>
        <v>0</v>
      </c>
      <c r="AT82" s="155" cm="1">
        <f t="array" ref="AT82">_xlfn.IFS($AQ82=$AP$1,$AQ$1*AG82,$AQ82=$AP$2,$AQ$2*AG82,$AQ82=$AP$3,$AQ$3*AG82,$AQ82=$AP$4,$AQ$4*AG82)</f>
        <v>0</v>
      </c>
      <c r="AU82" s="155" cm="1">
        <f t="array" ref="AU82">_xlfn.IFS($AQ82=$AP$1,$AQ$1*AH82,$AQ82=$AP$2,$AQ$2*AH82,$AQ82=$AP$3,$AQ$3*AH82,$AQ82=$AP$4,$AQ$4*AH82)</f>
        <v>37.595583299886876</v>
      </c>
      <c r="AV82" s="155" cm="1">
        <f t="array" ref="AV82">_xlfn.IFS($AQ82=$AP$1,$AQ$1*AI82,$AQ82=$AP$2,$AQ$2*AI82,$AQ82=$AP$3,$AQ$3*AI82,$AQ82=$AP$4,$AQ$4*AI82)</f>
        <v>332.41488415593773</v>
      </c>
      <c r="AW82" s="155" cm="1">
        <f t="array" ref="AW82">_xlfn.IFS($AQ82=$AP$1,$AQ$1*AJ82,$AQ82=$AP$2,$AQ$2*AJ82,$AQ82=$AP$3,$AQ$3*AJ82,$AQ82=$AP$4,$AQ$4*AJ82)</f>
        <v>1309.8088118745545</v>
      </c>
      <c r="AX82" s="155" cm="1">
        <f t="array" ref="AX82">_xlfn.IFS($AQ82=$AP$1,$AQ$1*AK82,$AQ82=$AP$2,$AQ$2*AK82,$AQ82=$AP$3,$AQ$3*AK82,$AQ82=$AP$4,$AQ$4*AK82)</f>
        <v>2673.3494598117077</v>
      </c>
      <c r="AY82" s="155" cm="1">
        <f t="array" ref="AY82">_xlfn.IFS($AQ82=$AP$1,$AQ$1*AL82,$AQ82=$AP$2,$AQ$2*AL82,$AQ82=$AP$3,$AQ$3*AL82,$AQ82=$AP$4,$AQ$4*AL82)</f>
        <v>4096.1759396585858</v>
      </c>
      <c r="AZ82" s="155" cm="1">
        <f t="array" ref="AZ82">_xlfn.IFS($AQ82=$AP$1,$AQ$1*AM82,$AQ82=$AP$2,$AQ$2*AM82,$AQ82=$AP$3,$AQ$3*AM82,$AQ82=$AP$4,$AQ$4*AM82)</f>
        <v>5822.0514218065009</v>
      </c>
      <c r="BA82" s="155" cm="1">
        <f t="array" ref="BA82">_xlfn.IFS($AQ82=$AP$1,$AQ$1*AN82,$AQ82=$AP$2,$AQ$2*AN82,$AQ82=$AP$3,$AQ$3*AN82,$AQ82=$AP$4,$AQ$4*AN82)</f>
        <v>9079.8428823841095</v>
      </c>
      <c r="BB82" s="155">
        <f>Table2[[#This Row],[FINAL Project System Capacity (MW)]]</f>
        <v>34.5</v>
      </c>
      <c r="BC82" s="155" t="str">
        <f>Table2[[#This Row],[FN Parent  '#]]</f>
        <v>FN012138</v>
      </c>
      <c r="BD82" s="155">
        <f t="shared" si="41"/>
        <v>34.5</v>
      </c>
      <c r="BE82" s="155">
        <f t="shared" si="42"/>
        <v>34.5</v>
      </c>
      <c r="BF82" s="155">
        <f t="shared" si="43"/>
        <v>0</v>
      </c>
      <c r="BG82" s="155">
        <f t="shared" si="44"/>
        <v>0</v>
      </c>
      <c r="BH82" s="155">
        <f t="shared" si="45"/>
        <v>0</v>
      </c>
      <c r="BI82" s="155">
        <f t="shared" si="46"/>
        <v>1.0897270521706341</v>
      </c>
      <c r="BJ82" s="155">
        <f t="shared" si="47"/>
        <v>9.6352140335054415</v>
      </c>
      <c r="BK82" s="155">
        <f t="shared" si="48"/>
        <v>37.965472807958101</v>
      </c>
      <c r="BL82" s="155">
        <f t="shared" si="49"/>
        <v>77.488390139469786</v>
      </c>
      <c r="BM82" s="155">
        <f t="shared" si="50"/>
        <v>118.72973738140828</v>
      </c>
      <c r="BN82" s="155">
        <f t="shared" si="51"/>
        <v>168.75511367555075</v>
      </c>
      <c r="BO82" s="155">
        <f t="shared" si="52"/>
        <v>263.18385166330751</v>
      </c>
      <c r="BP82" s="155">
        <f t="shared" si="53"/>
        <v>53.765019560833863</v>
      </c>
      <c r="BR82" s="206" t="s">
        <v>305</v>
      </c>
      <c r="BS82" s="155">
        <f t="shared" si="29"/>
        <v>72.429008154602641</v>
      </c>
      <c r="BT82" s="155">
        <f t="shared" si="30"/>
        <v>38.72</v>
      </c>
    </row>
    <row r="83" spans="1:72">
      <c r="A83" s="155" t="s">
        <v>261</v>
      </c>
      <c r="B83" s="155" t="s">
        <v>1267</v>
      </c>
      <c r="C83" s="155" t="s">
        <v>208</v>
      </c>
      <c r="D83" s="155">
        <v>34.5</v>
      </c>
      <c r="E83" s="189">
        <v>0</v>
      </c>
      <c r="F83" s="67">
        <v>0</v>
      </c>
      <c r="G83" s="67">
        <v>0</v>
      </c>
      <c r="H83" s="67">
        <v>0</v>
      </c>
      <c r="I83" s="67">
        <v>0</v>
      </c>
      <c r="J83" s="67">
        <v>0</v>
      </c>
      <c r="K83" s="67">
        <v>18.59</v>
      </c>
      <c r="L83" s="67">
        <v>71.63</v>
      </c>
      <c r="M83" s="67">
        <v>2314</v>
      </c>
      <c r="N83" s="67">
        <v>179.79</v>
      </c>
      <c r="O83" s="67">
        <v>0</v>
      </c>
      <c r="Q83" s="202" t="s">
        <v>261</v>
      </c>
      <c r="R83" s="202" t="s">
        <v>1267</v>
      </c>
      <c r="S83" s="202" t="s">
        <v>208</v>
      </c>
      <c r="U83" s="155"/>
      <c r="V83" s="155"/>
      <c r="W83" s="155"/>
      <c r="X83" s="155"/>
      <c r="Y83" s="155"/>
      <c r="Z83" s="155"/>
      <c r="AA83" s="155"/>
      <c r="AB83" s="155"/>
      <c r="AC83" s="155"/>
      <c r="AE83" s="76">
        <f t="shared" si="31"/>
        <v>0</v>
      </c>
      <c r="AF83" s="76">
        <f t="shared" si="32"/>
        <v>0</v>
      </c>
      <c r="AG83" s="76">
        <f t="shared" si="33"/>
        <v>0</v>
      </c>
      <c r="AH83" s="76">
        <f t="shared" si="34"/>
        <v>0</v>
      </c>
      <c r="AI83" s="76">
        <f t="shared" si="35"/>
        <v>0</v>
      </c>
      <c r="AJ83" s="76">
        <f t="shared" si="36"/>
        <v>0</v>
      </c>
      <c r="AK83" s="76">
        <f t="shared" si="37"/>
        <v>0</v>
      </c>
      <c r="AL83" s="76">
        <f t="shared" si="38"/>
        <v>0</v>
      </c>
      <c r="AM83" s="76">
        <f t="shared" si="39"/>
        <v>0</v>
      </c>
      <c r="AN83" s="76">
        <f t="shared" si="40"/>
        <v>0</v>
      </c>
      <c r="AP83" s="202" t="s">
        <v>261</v>
      </c>
      <c r="AQ83" s="202" t="s">
        <v>208</v>
      </c>
      <c r="AR83" s="155" cm="1">
        <f t="array" ref="AR83">_xlfn.IFS($AQ83=$AP$1,$AQ$1*AE83,$AQ83=$AP$2,$AQ$2*AE83,$AQ83=$AP$3,$AQ$3*AE83,$AQ83=$AP$4,$AQ$4*AE83)</f>
        <v>0</v>
      </c>
      <c r="AS83" s="155" cm="1">
        <f t="array" ref="AS83">_xlfn.IFS($AQ83=$AP$1,$AQ$1*AF83,$AQ83=$AP$2,$AQ$2*AF83,$AQ83=$AP$3,$AQ$3*AF83,$AQ83=$AP$4,$AQ$4*AF83)</f>
        <v>0</v>
      </c>
      <c r="AT83" s="155" cm="1">
        <f t="array" ref="AT83">_xlfn.IFS($AQ83=$AP$1,$AQ$1*AG83,$AQ83=$AP$2,$AQ$2*AG83,$AQ83=$AP$3,$AQ$3*AG83,$AQ83=$AP$4,$AQ$4*AG83)</f>
        <v>0</v>
      </c>
      <c r="AU83" s="155" cm="1">
        <f t="array" ref="AU83">_xlfn.IFS($AQ83=$AP$1,$AQ$1*AH83,$AQ83=$AP$2,$AQ$2*AH83,$AQ83=$AP$3,$AQ$3*AH83,$AQ83=$AP$4,$AQ$4*AH83)</f>
        <v>0</v>
      </c>
      <c r="AV83" s="155" cm="1">
        <f t="array" ref="AV83">_xlfn.IFS($AQ83=$AP$1,$AQ$1*AI83,$AQ83=$AP$2,$AQ$2*AI83,$AQ83=$AP$3,$AQ$3*AI83,$AQ83=$AP$4,$AQ$4*AI83)</f>
        <v>0</v>
      </c>
      <c r="AW83" s="155" cm="1">
        <f t="array" ref="AW83">_xlfn.IFS($AQ83=$AP$1,$AQ$1*AJ83,$AQ83=$AP$2,$AQ$2*AJ83,$AQ83=$AP$3,$AQ$3*AJ83,$AQ83=$AP$4,$AQ$4*AJ83)</f>
        <v>0</v>
      </c>
      <c r="AX83" s="155" cm="1">
        <f t="array" ref="AX83">_xlfn.IFS($AQ83=$AP$1,$AQ$1*AK83,$AQ83=$AP$2,$AQ$2*AK83,$AQ83=$AP$3,$AQ$3*AK83,$AQ83=$AP$4,$AQ$4*AK83)</f>
        <v>0</v>
      </c>
      <c r="AY83" s="155" cm="1">
        <f t="array" ref="AY83">_xlfn.IFS($AQ83=$AP$1,$AQ$1*AL83,$AQ83=$AP$2,$AQ$2*AL83,$AQ83=$AP$3,$AQ$3*AL83,$AQ83=$AP$4,$AQ$4*AL83)</f>
        <v>0</v>
      </c>
      <c r="AZ83" s="155" cm="1">
        <f t="array" ref="AZ83">_xlfn.IFS($AQ83=$AP$1,$AQ$1*AM83,$AQ83=$AP$2,$AQ$2*AM83,$AQ83=$AP$3,$AQ$3*AM83,$AQ83=$AP$4,$AQ$4*AM83)</f>
        <v>0</v>
      </c>
      <c r="BA83" s="155" cm="1">
        <f t="array" ref="BA83">_xlfn.IFS($AQ83=$AP$1,$AQ$1*AN83,$AQ83=$AP$2,$AQ$2*AN83,$AQ83=$AP$3,$AQ$3*AN83,$AQ83=$AP$4,$AQ$4*AN83)</f>
        <v>0</v>
      </c>
      <c r="BB83" s="155"/>
      <c r="BC83" s="155" t="str">
        <f>Table2[[#This Row],[FN Parent  '#]]</f>
        <v>FN012138</v>
      </c>
      <c r="BD83" s="155">
        <f t="shared" si="41"/>
        <v>0</v>
      </c>
      <c r="BF83" s="155" t="str">
        <f t="shared" si="43"/>
        <v/>
      </c>
      <c r="BG83" s="155" t="str">
        <f t="shared" si="44"/>
        <v/>
      </c>
      <c r="BH83" s="155" t="str">
        <f t="shared" si="45"/>
        <v/>
      </c>
      <c r="BI83" s="155" t="str">
        <f t="shared" si="46"/>
        <v/>
      </c>
      <c r="BJ83" s="155" t="str">
        <f t="shared" si="47"/>
        <v/>
      </c>
      <c r="BK83" s="155" t="str">
        <f t="shared" si="48"/>
        <v/>
      </c>
      <c r="BL83" s="155" t="str">
        <f t="shared" si="49"/>
        <v/>
      </c>
      <c r="BM83" s="155" t="str">
        <f t="shared" si="50"/>
        <v/>
      </c>
      <c r="BN83" s="155" t="str">
        <f t="shared" si="51"/>
        <v/>
      </c>
      <c r="BO83" s="155" t="str">
        <f t="shared" si="52"/>
        <v/>
      </c>
      <c r="BP83" s="155">
        <f t="shared" si="53"/>
        <v>0</v>
      </c>
      <c r="BR83" s="206" t="s">
        <v>306</v>
      </c>
      <c r="BS83" s="155">
        <f t="shared" si="29"/>
        <v>175.03762539612285</v>
      </c>
      <c r="BT83" s="155">
        <f t="shared" si="30"/>
        <v>5.6</v>
      </c>
    </row>
    <row r="84" spans="1:72">
      <c r="A84" s="155" t="s">
        <v>261</v>
      </c>
      <c r="B84" s="155" t="s">
        <v>1267</v>
      </c>
      <c r="C84" s="155" t="s">
        <v>208</v>
      </c>
      <c r="D84" s="155">
        <v>34.5</v>
      </c>
      <c r="E84" s="189">
        <v>0</v>
      </c>
      <c r="F84" s="67">
        <v>0</v>
      </c>
      <c r="G84" s="67">
        <v>0</v>
      </c>
      <c r="H84" s="67">
        <v>0</v>
      </c>
      <c r="I84" s="67">
        <v>0</v>
      </c>
      <c r="J84" s="67">
        <v>0</v>
      </c>
      <c r="K84" s="67">
        <v>0</v>
      </c>
      <c r="L84" s="67">
        <v>0</v>
      </c>
      <c r="M84" s="67">
        <v>1728.623</v>
      </c>
      <c r="N84" s="67">
        <v>6648.549</v>
      </c>
      <c r="O84" s="67">
        <v>16656.001999999997</v>
      </c>
      <c r="Q84" s="201" t="s">
        <v>261</v>
      </c>
      <c r="R84" s="201" t="s">
        <v>1267</v>
      </c>
      <c r="S84" s="201" t="s">
        <v>208</v>
      </c>
      <c r="U84" s="155"/>
      <c r="V84" s="155"/>
      <c r="W84" s="155"/>
      <c r="X84" s="155"/>
      <c r="Y84" s="155"/>
      <c r="Z84" s="155"/>
      <c r="AA84" s="155"/>
      <c r="AB84" s="155"/>
      <c r="AC84" s="155"/>
      <c r="AE84" s="76">
        <f t="shared" si="31"/>
        <v>0</v>
      </c>
      <c r="AF84" s="76">
        <f t="shared" si="32"/>
        <v>0</v>
      </c>
      <c r="AG84" s="76">
        <f t="shared" si="33"/>
        <v>0</v>
      </c>
      <c r="AH84" s="76">
        <f t="shared" si="34"/>
        <v>0</v>
      </c>
      <c r="AI84" s="76">
        <f t="shared" si="35"/>
        <v>0</v>
      </c>
      <c r="AJ84" s="76">
        <f t="shared" si="36"/>
        <v>0</v>
      </c>
      <c r="AK84" s="76">
        <f t="shared" si="37"/>
        <v>0</v>
      </c>
      <c r="AL84" s="76">
        <f t="shared" si="38"/>
        <v>0</v>
      </c>
      <c r="AM84" s="76">
        <f t="shared" si="39"/>
        <v>0</v>
      </c>
      <c r="AN84" s="76">
        <f t="shared" si="40"/>
        <v>0</v>
      </c>
      <c r="AP84" s="201" t="s">
        <v>261</v>
      </c>
      <c r="AQ84" s="201" t="s">
        <v>208</v>
      </c>
      <c r="AR84" s="155" cm="1">
        <f t="array" ref="AR84">_xlfn.IFS($AQ84=$AP$1,$AQ$1*AE84,$AQ84=$AP$2,$AQ$2*AE84,$AQ84=$AP$3,$AQ$3*AE84,$AQ84=$AP$4,$AQ$4*AE84)</f>
        <v>0</v>
      </c>
      <c r="AS84" s="155" cm="1">
        <f t="array" ref="AS84">_xlfn.IFS($AQ84=$AP$1,$AQ$1*AF84,$AQ84=$AP$2,$AQ$2*AF84,$AQ84=$AP$3,$AQ$3*AF84,$AQ84=$AP$4,$AQ$4*AF84)</f>
        <v>0</v>
      </c>
      <c r="AT84" s="155" cm="1">
        <f t="array" ref="AT84">_xlfn.IFS($AQ84=$AP$1,$AQ$1*AG84,$AQ84=$AP$2,$AQ$2*AG84,$AQ84=$AP$3,$AQ$3*AG84,$AQ84=$AP$4,$AQ$4*AG84)</f>
        <v>0</v>
      </c>
      <c r="AU84" s="155" cm="1">
        <f t="array" ref="AU84">_xlfn.IFS($AQ84=$AP$1,$AQ$1*AH84,$AQ84=$AP$2,$AQ$2*AH84,$AQ84=$AP$3,$AQ$3*AH84,$AQ84=$AP$4,$AQ$4*AH84)</f>
        <v>0</v>
      </c>
      <c r="AV84" s="155" cm="1">
        <f t="array" ref="AV84">_xlfn.IFS($AQ84=$AP$1,$AQ$1*AI84,$AQ84=$AP$2,$AQ$2*AI84,$AQ84=$AP$3,$AQ$3*AI84,$AQ84=$AP$4,$AQ$4*AI84)</f>
        <v>0</v>
      </c>
      <c r="AW84" s="155" cm="1">
        <f t="array" ref="AW84">_xlfn.IFS($AQ84=$AP$1,$AQ$1*AJ84,$AQ84=$AP$2,$AQ$2*AJ84,$AQ84=$AP$3,$AQ$3*AJ84,$AQ84=$AP$4,$AQ$4*AJ84)</f>
        <v>0</v>
      </c>
      <c r="AX84" s="155" cm="1">
        <f t="array" ref="AX84">_xlfn.IFS($AQ84=$AP$1,$AQ$1*AK84,$AQ84=$AP$2,$AQ$2*AK84,$AQ84=$AP$3,$AQ$3*AK84,$AQ84=$AP$4,$AQ$4*AK84)</f>
        <v>0</v>
      </c>
      <c r="AY84" s="155" cm="1">
        <f t="array" ref="AY84">_xlfn.IFS($AQ84=$AP$1,$AQ$1*AL84,$AQ84=$AP$2,$AQ$2*AL84,$AQ84=$AP$3,$AQ$3*AL84,$AQ84=$AP$4,$AQ$4*AL84)</f>
        <v>0</v>
      </c>
      <c r="AZ84" s="155" cm="1">
        <f t="array" ref="AZ84">_xlfn.IFS($AQ84=$AP$1,$AQ$1*AM84,$AQ84=$AP$2,$AQ$2*AM84,$AQ84=$AP$3,$AQ$3*AM84,$AQ84=$AP$4,$AQ$4*AM84)</f>
        <v>0</v>
      </c>
      <c r="BA84" s="155" cm="1">
        <f t="array" ref="BA84">_xlfn.IFS($AQ84=$AP$1,$AQ$1*AN84,$AQ84=$AP$2,$AQ$2*AN84,$AQ84=$AP$3,$AQ$3*AN84,$AQ84=$AP$4,$AQ$4*AN84)</f>
        <v>0</v>
      </c>
      <c r="BB84" s="155"/>
      <c r="BC84" s="155" t="str">
        <f>Table2[[#This Row],[FN Parent  '#]]</f>
        <v>FN012138</v>
      </c>
      <c r="BD84" s="155">
        <f t="shared" si="41"/>
        <v>0</v>
      </c>
      <c r="BF84" s="155" t="str">
        <f t="shared" si="43"/>
        <v/>
      </c>
      <c r="BG84" s="155" t="str">
        <f t="shared" si="44"/>
        <v/>
      </c>
      <c r="BH84" s="155" t="str">
        <f t="shared" si="45"/>
        <v/>
      </c>
      <c r="BI84" s="155" t="str">
        <f t="shared" si="46"/>
        <v/>
      </c>
      <c r="BJ84" s="155" t="str">
        <f t="shared" si="47"/>
        <v/>
      </c>
      <c r="BK84" s="155" t="str">
        <f t="shared" si="48"/>
        <v/>
      </c>
      <c r="BL84" s="155" t="str">
        <f t="shared" si="49"/>
        <v/>
      </c>
      <c r="BM84" s="155" t="str">
        <f t="shared" si="50"/>
        <v/>
      </c>
      <c r="BN84" s="155" t="str">
        <f t="shared" si="51"/>
        <v/>
      </c>
      <c r="BO84" s="155" t="str">
        <f t="shared" si="52"/>
        <v/>
      </c>
      <c r="BP84" s="155">
        <f t="shared" si="53"/>
        <v>0</v>
      </c>
      <c r="BR84" s="206" t="s">
        <v>308</v>
      </c>
      <c r="BS84" s="155">
        <f t="shared" si="29"/>
        <v>63.286493934076056</v>
      </c>
      <c r="BT84" s="155">
        <f t="shared" si="30"/>
        <v>5</v>
      </c>
    </row>
    <row r="85" spans="1:72">
      <c r="A85" s="155" t="s">
        <v>261</v>
      </c>
      <c r="B85" s="155" t="s">
        <v>1267</v>
      </c>
      <c r="C85" s="155" t="s">
        <v>208</v>
      </c>
      <c r="D85" s="155">
        <v>34.5</v>
      </c>
      <c r="E85" s="189">
        <v>0</v>
      </c>
      <c r="F85" s="67">
        <v>0</v>
      </c>
      <c r="G85" s="67">
        <v>0</v>
      </c>
      <c r="H85" s="67">
        <v>0</v>
      </c>
      <c r="I85" s="67">
        <v>0</v>
      </c>
      <c r="J85" s="67">
        <v>50</v>
      </c>
      <c r="K85" s="67">
        <v>2000</v>
      </c>
      <c r="L85" s="67">
        <v>2000</v>
      </c>
      <c r="M85" s="67">
        <v>2000</v>
      </c>
      <c r="N85" s="67">
        <v>2000</v>
      </c>
      <c r="O85" s="67">
        <v>1749.9999999999995</v>
      </c>
      <c r="Q85" s="202" t="s">
        <v>261</v>
      </c>
      <c r="R85" s="202" t="s">
        <v>1267</v>
      </c>
      <c r="S85" s="202" t="s">
        <v>208</v>
      </c>
      <c r="U85" s="155"/>
      <c r="V85" s="155"/>
      <c r="W85" s="155"/>
      <c r="X85" s="155"/>
      <c r="Y85" s="155"/>
      <c r="Z85" s="155"/>
      <c r="AA85" s="155"/>
      <c r="AB85" s="155"/>
      <c r="AC85" s="155"/>
      <c r="AE85" s="76">
        <f t="shared" si="31"/>
        <v>0</v>
      </c>
      <c r="AF85" s="76">
        <f t="shared" si="32"/>
        <v>0</v>
      </c>
      <c r="AG85" s="76">
        <f t="shared" si="33"/>
        <v>0</v>
      </c>
      <c r="AH85" s="76">
        <f t="shared" si="34"/>
        <v>0</v>
      </c>
      <c r="AI85" s="76">
        <f t="shared" si="35"/>
        <v>0</v>
      </c>
      <c r="AJ85" s="76">
        <f t="shared" si="36"/>
        <v>0</v>
      </c>
      <c r="AK85" s="76">
        <f t="shared" si="37"/>
        <v>0</v>
      </c>
      <c r="AL85" s="76">
        <f t="shared" si="38"/>
        <v>0</v>
      </c>
      <c r="AM85" s="76">
        <f t="shared" si="39"/>
        <v>0</v>
      </c>
      <c r="AN85" s="76">
        <f t="shared" si="40"/>
        <v>0</v>
      </c>
      <c r="AP85" s="202" t="s">
        <v>261</v>
      </c>
      <c r="AQ85" s="202" t="s">
        <v>208</v>
      </c>
      <c r="AR85" s="155" cm="1">
        <f t="array" ref="AR85">_xlfn.IFS($AQ85=$AP$1,$AQ$1*AE85,$AQ85=$AP$2,$AQ$2*AE85,$AQ85=$AP$3,$AQ$3*AE85,$AQ85=$AP$4,$AQ$4*AE85)</f>
        <v>0</v>
      </c>
      <c r="AS85" s="155" cm="1">
        <f t="array" ref="AS85">_xlfn.IFS($AQ85=$AP$1,$AQ$1*AF85,$AQ85=$AP$2,$AQ$2*AF85,$AQ85=$AP$3,$AQ$3*AF85,$AQ85=$AP$4,$AQ$4*AF85)</f>
        <v>0</v>
      </c>
      <c r="AT85" s="155" cm="1">
        <f t="array" ref="AT85">_xlfn.IFS($AQ85=$AP$1,$AQ$1*AG85,$AQ85=$AP$2,$AQ$2*AG85,$AQ85=$AP$3,$AQ$3*AG85,$AQ85=$AP$4,$AQ$4*AG85)</f>
        <v>0</v>
      </c>
      <c r="AU85" s="155" cm="1">
        <f t="array" ref="AU85">_xlfn.IFS($AQ85=$AP$1,$AQ$1*AH85,$AQ85=$AP$2,$AQ$2*AH85,$AQ85=$AP$3,$AQ$3*AH85,$AQ85=$AP$4,$AQ$4*AH85)</f>
        <v>0</v>
      </c>
      <c r="AV85" s="155" cm="1">
        <f t="array" ref="AV85">_xlfn.IFS($AQ85=$AP$1,$AQ$1*AI85,$AQ85=$AP$2,$AQ$2*AI85,$AQ85=$AP$3,$AQ$3*AI85,$AQ85=$AP$4,$AQ$4*AI85)</f>
        <v>0</v>
      </c>
      <c r="AW85" s="155" cm="1">
        <f t="array" ref="AW85">_xlfn.IFS($AQ85=$AP$1,$AQ$1*AJ85,$AQ85=$AP$2,$AQ$2*AJ85,$AQ85=$AP$3,$AQ$3*AJ85,$AQ85=$AP$4,$AQ$4*AJ85)</f>
        <v>0</v>
      </c>
      <c r="AX85" s="155" cm="1">
        <f t="array" ref="AX85">_xlfn.IFS($AQ85=$AP$1,$AQ$1*AK85,$AQ85=$AP$2,$AQ$2*AK85,$AQ85=$AP$3,$AQ$3*AK85,$AQ85=$AP$4,$AQ$4*AK85)</f>
        <v>0</v>
      </c>
      <c r="AY85" s="155" cm="1">
        <f t="array" ref="AY85">_xlfn.IFS($AQ85=$AP$1,$AQ$1*AL85,$AQ85=$AP$2,$AQ$2*AL85,$AQ85=$AP$3,$AQ$3*AL85,$AQ85=$AP$4,$AQ$4*AL85)</f>
        <v>0</v>
      </c>
      <c r="AZ85" s="155" cm="1">
        <f t="array" ref="AZ85">_xlfn.IFS($AQ85=$AP$1,$AQ$1*AM85,$AQ85=$AP$2,$AQ$2*AM85,$AQ85=$AP$3,$AQ$3*AM85,$AQ85=$AP$4,$AQ$4*AM85)</f>
        <v>0</v>
      </c>
      <c r="BA85" s="155" cm="1">
        <f t="array" ref="BA85">_xlfn.IFS($AQ85=$AP$1,$AQ$1*AN85,$AQ85=$AP$2,$AQ$2*AN85,$AQ85=$AP$3,$AQ$3*AN85,$AQ85=$AP$4,$AQ$4*AN85)</f>
        <v>0</v>
      </c>
      <c r="BB85" s="155"/>
      <c r="BC85" s="155" t="str">
        <f>Table2[[#This Row],[FN Parent  '#]]</f>
        <v>FN012138</v>
      </c>
      <c r="BD85" s="155">
        <f t="shared" si="41"/>
        <v>0</v>
      </c>
      <c r="BF85" s="155" t="str">
        <f t="shared" si="43"/>
        <v/>
      </c>
      <c r="BG85" s="155" t="str">
        <f t="shared" si="44"/>
        <v/>
      </c>
      <c r="BH85" s="155" t="str">
        <f t="shared" si="45"/>
        <v/>
      </c>
      <c r="BI85" s="155" t="str">
        <f t="shared" si="46"/>
        <v/>
      </c>
      <c r="BJ85" s="155" t="str">
        <f t="shared" si="47"/>
        <v/>
      </c>
      <c r="BK85" s="155" t="str">
        <f t="shared" si="48"/>
        <v/>
      </c>
      <c r="BL85" s="155" t="str">
        <f t="shared" si="49"/>
        <v/>
      </c>
      <c r="BM85" s="155" t="str">
        <f t="shared" si="50"/>
        <v/>
      </c>
      <c r="BN85" s="155" t="str">
        <f t="shared" si="51"/>
        <v/>
      </c>
      <c r="BO85" s="155" t="str">
        <f t="shared" si="52"/>
        <v/>
      </c>
      <c r="BP85" s="155">
        <f t="shared" si="53"/>
        <v>0</v>
      </c>
      <c r="BR85" s="206" t="s">
        <v>310</v>
      </c>
      <c r="BS85" s="155">
        <f t="shared" si="29"/>
        <v>39.421352355891145</v>
      </c>
      <c r="BT85" s="155">
        <f t="shared" si="30"/>
        <v>12.5</v>
      </c>
    </row>
    <row r="86" spans="1:72">
      <c r="A86" s="155" t="s">
        <v>261</v>
      </c>
      <c r="B86" s="155" t="s">
        <v>1267</v>
      </c>
      <c r="C86" s="155" t="s">
        <v>208</v>
      </c>
      <c r="D86" s="155">
        <v>34.5</v>
      </c>
      <c r="E86" s="189">
        <v>0</v>
      </c>
      <c r="F86" s="67">
        <v>0</v>
      </c>
      <c r="G86" s="67">
        <v>0</v>
      </c>
      <c r="H86" s="67">
        <v>0</v>
      </c>
      <c r="I86" s="67">
        <v>250</v>
      </c>
      <c r="J86" s="67">
        <v>1865</v>
      </c>
      <c r="K86" s="67">
        <v>4100</v>
      </c>
      <c r="L86" s="67">
        <v>6000</v>
      </c>
      <c r="M86" s="67">
        <v>2000</v>
      </c>
      <c r="N86" s="67">
        <v>1000</v>
      </c>
      <c r="O86" s="67">
        <v>0</v>
      </c>
      <c r="Q86" s="201" t="s">
        <v>261</v>
      </c>
      <c r="R86" s="201" t="s">
        <v>1267</v>
      </c>
      <c r="S86" s="201" t="s">
        <v>208</v>
      </c>
      <c r="U86" s="155"/>
      <c r="V86" s="155"/>
      <c r="W86" s="155"/>
      <c r="X86" s="155"/>
      <c r="Y86" s="155"/>
      <c r="Z86" s="155"/>
      <c r="AA86" s="155"/>
      <c r="AB86" s="155"/>
      <c r="AC86" s="155"/>
      <c r="AE86" s="76">
        <f t="shared" si="31"/>
        <v>0</v>
      </c>
      <c r="AF86" s="76">
        <f t="shared" si="32"/>
        <v>0</v>
      </c>
      <c r="AG86" s="76">
        <f t="shared" si="33"/>
        <v>0</v>
      </c>
      <c r="AH86" s="76">
        <f t="shared" si="34"/>
        <v>0</v>
      </c>
      <c r="AI86" s="76">
        <f t="shared" si="35"/>
        <v>0</v>
      </c>
      <c r="AJ86" s="76">
        <f t="shared" si="36"/>
        <v>0</v>
      </c>
      <c r="AK86" s="76">
        <f t="shared" si="37"/>
        <v>0</v>
      </c>
      <c r="AL86" s="76">
        <f t="shared" si="38"/>
        <v>0</v>
      </c>
      <c r="AM86" s="76">
        <f t="shared" si="39"/>
        <v>0</v>
      </c>
      <c r="AN86" s="76">
        <f t="shared" si="40"/>
        <v>0</v>
      </c>
      <c r="AP86" s="201" t="s">
        <v>261</v>
      </c>
      <c r="AQ86" s="201" t="s">
        <v>208</v>
      </c>
      <c r="AR86" s="155" cm="1">
        <f t="array" ref="AR86">_xlfn.IFS($AQ86=$AP$1,$AQ$1*AE86,$AQ86=$AP$2,$AQ$2*AE86,$AQ86=$AP$3,$AQ$3*AE86,$AQ86=$AP$4,$AQ$4*AE86)</f>
        <v>0</v>
      </c>
      <c r="AS86" s="155" cm="1">
        <f t="array" ref="AS86">_xlfn.IFS($AQ86=$AP$1,$AQ$1*AF86,$AQ86=$AP$2,$AQ$2*AF86,$AQ86=$AP$3,$AQ$3*AF86,$AQ86=$AP$4,$AQ$4*AF86)</f>
        <v>0</v>
      </c>
      <c r="AT86" s="155" cm="1">
        <f t="array" ref="AT86">_xlfn.IFS($AQ86=$AP$1,$AQ$1*AG86,$AQ86=$AP$2,$AQ$2*AG86,$AQ86=$AP$3,$AQ$3*AG86,$AQ86=$AP$4,$AQ$4*AG86)</f>
        <v>0</v>
      </c>
      <c r="AU86" s="155" cm="1">
        <f t="array" ref="AU86">_xlfn.IFS($AQ86=$AP$1,$AQ$1*AH86,$AQ86=$AP$2,$AQ$2*AH86,$AQ86=$AP$3,$AQ$3*AH86,$AQ86=$AP$4,$AQ$4*AH86)</f>
        <v>0</v>
      </c>
      <c r="AV86" s="155" cm="1">
        <f t="array" ref="AV86">_xlfn.IFS($AQ86=$AP$1,$AQ$1*AI86,$AQ86=$AP$2,$AQ$2*AI86,$AQ86=$AP$3,$AQ$3*AI86,$AQ86=$AP$4,$AQ$4*AI86)</f>
        <v>0</v>
      </c>
      <c r="AW86" s="155" cm="1">
        <f t="array" ref="AW86">_xlfn.IFS($AQ86=$AP$1,$AQ$1*AJ86,$AQ86=$AP$2,$AQ$2*AJ86,$AQ86=$AP$3,$AQ$3*AJ86,$AQ86=$AP$4,$AQ$4*AJ86)</f>
        <v>0</v>
      </c>
      <c r="AX86" s="155" cm="1">
        <f t="array" ref="AX86">_xlfn.IFS($AQ86=$AP$1,$AQ$1*AK86,$AQ86=$AP$2,$AQ$2*AK86,$AQ86=$AP$3,$AQ$3*AK86,$AQ86=$AP$4,$AQ$4*AK86)</f>
        <v>0</v>
      </c>
      <c r="AY86" s="155" cm="1">
        <f t="array" ref="AY86">_xlfn.IFS($AQ86=$AP$1,$AQ$1*AL86,$AQ86=$AP$2,$AQ$2*AL86,$AQ86=$AP$3,$AQ$3*AL86,$AQ86=$AP$4,$AQ$4*AL86)</f>
        <v>0</v>
      </c>
      <c r="AZ86" s="155" cm="1">
        <f t="array" ref="AZ86">_xlfn.IFS($AQ86=$AP$1,$AQ$1*AM86,$AQ86=$AP$2,$AQ$2*AM86,$AQ86=$AP$3,$AQ$3*AM86,$AQ86=$AP$4,$AQ$4*AM86)</f>
        <v>0</v>
      </c>
      <c r="BA86" s="155" cm="1">
        <f t="array" ref="BA86">_xlfn.IFS($AQ86=$AP$1,$AQ$1*AN86,$AQ86=$AP$2,$AQ$2*AN86,$AQ86=$AP$3,$AQ$3*AN86,$AQ86=$AP$4,$AQ$4*AN86)</f>
        <v>0</v>
      </c>
      <c r="BB86" s="155"/>
      <c r="BC86" s="155" t="str">
        <f>Table2[[#This Row],[FN Parent  '#]]</f>
        <v>FN012138</v>
      </c>
      <c r="BD86" s="155">
        <f t="shared" si="41"/>
        <v>0</v>
      </c>
      <c r="BF86" s="155" t="str">
        <f t="shared" si="43"/>
        <v/>
      </c>
      <c r="BG86" s="155" t="str">
        <f t="shared" si="44"/>
        <v/>
      </c>
      <c r="BH86" s="155" t="str">
        <f t="shared" si="45"/>
        <v/>
      </c>
      <c r="BI86" s="155" t="str">
        <f t="shared" si="46"/>
        <v/>
      </c>
      <c r="BJ86" s="155" t="str">
        <f t="shared" si="47"/>
        <v/>
      </c>
      <c r="BK86" s="155" t="str">
        <f t="shared" si="48"/>
        <v/>
      </c>
      <c r="BL86" s="155" t="str">
        <f t="shared" si="49"/>
        <v/>
      </c>
      <c r="BM86" s="155" t="str">
        <f t="shared" si="50"/>
        <v/>
      </c>
      <c r="BN86" s="155" t="str">
        <f t="shared" si="51"/>
        <v/>
      </c>
      <c r="BO86" s="155" t="str">
        <f t="shared" si="52"/>
        <v/>
      </c>
      <c r="BP86" s="155">
        <f t="shared" si="53"/>
        <v>0</v>
      </c>
      <c r="BR86" s="206" t="s">
        <v>312</v>
      </c>
      <c r="BS86" s="155">
        <f t="shared" si="29"/>
        <v>32.851126963242621</v>
      </c>
      <c r="BT86" s="155">
        <f t="shared" si="30"/>
        <v>15</v>
      </c>
    </row>
    <row r="87" spans="1:72">
      <c r="A87" s="155" t="s">
        <v>261</v>
      </c>
      <c r="B87" s="155" t="s">
        <v>1267</v>
      </c>
      <c r="C87" s="155" t="s">
        <v>207</v>
      </c>
      <c r="D87" s="155">
        <v>34.5</v>
      </c>
      <c r="E87" s="189">
        <v>0</v>
      </c>
      <c r="F87" s="67">
        <v>0</v>
      </c>
      <c r="G87" s="67">
        <v>0</v>
      </c>
      <c r="H87" s="67">
        <v>0</v>
      </c>
      <c r="I87" s="67">
        <v>0</v>
      </c>
      <c r="J87" s="67">
        <v>0</v>
      </c>
      <c r="K87" s="67">
        <v>0</v>
      </c>
      <c r="L87" s="67">
        <v>200</v>
      </c>
      <c r="M87" s="67">
        <v>200</v>
      </c>
      <c r="N87" s="67">
        <v>0</v>
      </c>
      <c r="O87" s="67">
        <v>0</v>
      </c>
      <c r="Q87" s="202" t="s">
        <v>261</v>
      </c>
      <c r="R87" s="202" t="s">
        <v>1267</v>
      </c>
      <c r="S87" s="202" t="s">
        <v>207</v>
      </c>
      <c r="T87" s="76">
        <f>SUM($E87:F88)</f>
        <v>0</v>
      </c>
      <c r="U87" s="76">
        <f>SUM($E87:G88)</f>
        <v>0</v>
      </c>
      <c r="V87" s="76">
        <f>SUM($E87:H88)</f>
        <v>0</v>
      </c>
      <c r="W87" s="76">
        <f>SUM($E87:I88)</f>
        <v>0</v>
      </c>
      <c r="X87" s="76">
        <f>SUM($E87:J88)</f>
        <v>105</v>
      </c>
      <c r="Y87" s="76">
        <f>SUM($E87:K88)</f>
        <v>1502</v>
      </c>
      <c r="Z87" s="76">
        <f>SUM($E87:L88)</f>
        <v>3452</v>
      </c>
      <c r="AA87" s="76">
        <f>SUM($E87:M88)</f>
        <v>11926.861000000001</v>
      </c>
      <c r="AB87" s="76">
        <f>SUM($E87:N88)</f>
        <v>20201.860999999997</v>
      </c>
      <c r="AC87" s="76">
        <f>SUM($E87:O88)</f>
        <v>25201.860999999997</v>
      </c>
      <c r="AE87" s="76">
        <f t="shared" si="31"/>
        <v>0</v>
      </c>
      <c r="AF87" s="76">
        <f t="shared" si="32"/>
        <v>0</v>
      </c>
      <c r="AG87" s="76">
        <f t="shared" si="33"/>
        <v>0</v>
      </c>
      <c r="AH87" s="76">
        <f t="shared" si="34"/>
        <v>0</v>
      </c>
      <c r="AI87" s="76">
        <f t="shared" si="35"/>
        <v>114.10174004050495</v>
      </c>
      <c r="AJ87" s="76">
        <f t="shared" si="36"/>
        <v>1666.4743869066288</v>
      </c>
      <c r="AK87" s="76">
        <f t="shared" si="37"/>
        <v>3910.4365145521419</v>
      </c>
      <c r="AL87" s="76">
        <f t="shared" si="38"/>
        <v>13794.512354088649</v>
      </c>
      <c r="AM87" s="76">
        <f t="shared" si="39"/>
        <v>23855.982926607703</v>
      </c>
      <c r="AN87" s="76">
        <f t="shared" si="40"/>
        <v>30385.353320427756</v>
      </c>
      <c r="AP87" s="202" t="s">
        <v>261</v>
      </c>
      <c r="AQ87" s="202" t="s">
        <v>207</v>
      </c>
      <c r="AR87" s="155" cm="1">
        <f t="array" ref="AR87">_xlfn.IFS($AQ87=$AP$1,$AQ$1*AE87,$AQ87=$AP$2,$AQ$2*AE87,$AQ87=$AP$3,$AQ$3*AE87,$AQ87=$AP$4,$AQ$4*AE87)</f>
        <v>0</v>
      </c>
      <c r="AS87" s="155" cm="1">
        <f t="array" ref="AS87">_xlfn.IFS($AQ87=$AP$1,$AQ$1*AF87,$AQ87=$AP$2,$AQ$2*AF87,$AQ87=$AP$3,$AQ$3*AF87,$AQ87=$AP$4,$AQ$4*AF87)</f>
        <v>0</v>
      </c>
      <c r="AT87" s="155" cm="1">
        <f t="array" ref="AT87">_xlfn.IFS($AQ87=$AP$1,$AQ$1*AG87,$AQ87=$AP$2,$AQ$2*AG87,$AQ87=$AP$3,$AQ$3*AG87,$AQ87=$AP$4,$AQ$4*AG87)</f>
        <v>0</v>
      </c>
      <c r="AU87" s="155" cm="1">
        <f t="array" ref="AU87">_xlfn.IFS($AQ87=$AP$1,$AQ$1*AH87,$AQ87=$AP$2,$AQ$2*AH87,$AQ87=$AP$3,$AQ$3*AH87,$AQ87=$AP$4,$AQ$4*AH87)</f>
        <v>0</v>
      </c>
      <c r="AV87" s="155" cm="1">
        <f t="array" ref="AV87">_xlfn.IFS($AQ87=$AP$1,$AQ$1*AI87,$AQ87=$AP$2,$AQ$2*AI87,$AQ87=$AP$3,$AQ$3*AI87,$AQ87=$AP$4,$AQ$4*AI87)</f>
        <v>9.1956974597356229</v>
      </c>
      <c r="AW87" s="155" cm="1">
        <f t="array" ref="AW87">_xlfn.IFS($AQ87=$AP$1,$AQ$1*AJ87,$AQ87=$AP$2,$AQ$2*AJ87,$AQ87=$AP$3,$AQ$3*AJ87,$AQ87=$AP$4,$AQ$4*AJ87)</f>
        <v>134.30465022664652</v>
      </c>
      <c r="AX87" s="155" cm="1">
        <f t="array" ref="AX87">_xlfn.IFS($AQ87=$AP$1,$AQ$1*AK87,$AQ87=$AP$2,$AQ$2*AK87,$AQ87=$AP$3,$AQ$3*AK87,$AQ87=$AP$4,$AQ$4*AK87)</f>
        <v>315.15024320014237</v>
      </c>
      <c r="AY87" s="155" cm="1">
        <f t="array" ref="AY87">_xlfn.IFS($AQ87=$AP$1,$AQ$1*AL87,$AQ87=$AP$2,$AQ$2*AL87,$AQ87=$AP$3,$AQ$3*AL87,$AQ87=$AP$4,$AQ$4*AL87)</f>
        <v>1111.7285517973182</v>
      </c>
      <c r="AZ87" s="155" cm="1">
        <f t="array" ref="AZ87">_xlfn.IFS($AQ87=$AP$1,$AQ$1*AM87,$AQ87=$AP$2,$AQ$2*AM87,$AQ87=$AP$3,$AQ$3*AM87,$AQ87=$AP$4,$AQ$4*AM87)</f>
        <v>1922.603472303121</v>
      </c>
      <c r="BA87" s="155" cm="1">
        <f t="array" ref="BA87">_xlfn.IFS($AQ87=$AP$1,$AQ$1*AN87,$AQ87=$AP$2,$AQ$2*AN87,$AQ87=$AP$3,$AQ$3*AN87,$AQ87=$AP$4,$AQ$4*AN87)</f>
        <v>2448.8190648331706</v>
      </c>
      <c r="BB87" s="155">
        <f>Table2[[#This Row],[FINAL Project System Capacity (MW)]]</f>
        <v>34.5</v>
      </c>
      <c r="BC87" s="155" t="str">
        <f>Table2[[#This Row],[FN Parent  '#]]</f>
        <v>FN012138</v>
      </c>
      <c r="BD87" s="155">
        <f t="shared" si="41"/>
        <v>34.5</v>
      </c>
      <c r="BF87" s="155">
        <f t="shared" si="43"/>
        <v>0</v>
      </c>
      <c r="BG87" s="155">
        <f t="shared" si="44"/>
        <v>0</v>
      </c>
      <c r="BH87" s="155">
        <f t="shared" si="45"/>
        <v>0</v>
      </c>
      <c r="BI87" s="155">
        <f t="shared" si="46"/>
        <v>0</v>
      </c>
      <c r="BJ87" s="155">
        <f t="shared" si="47"/>
        <v>0.26654195535465575</v>
      </c>
      <c r="BK87" s="155">
        <f t="shared" si="48"/>
        <v>3.8928884123665655</v>
      </c>
      <c r="BL87" s="155">
        <f t="shared" si="49"/>
        <v>9.1347896579751406</v>
      </c>
      <c r="BM87" s="155">
        <f t="shared" si="50"/>
        <v>32.224015994125168</v>
      </c>
      <c r="BN87" s="155">
        <f t="shared" si="51"/>
        <v>55.727636878351333</v>
      </c>
      <c r="BO87" s="155">
        <f t="shared" si="52"/>
        <v>70.980262748787553</v>
      </c>
      <c r="BP87" s="155">
        <f t="shared" si="53"/>
        <v>13.395042151196151</v>
      </c>
      <c r="BR87" s="206" t="s">
        <v>313</v>
      </c>
      <c r="BS87" s="155">
        <f t="shared" si="29"/>
        <v>96.986562386994279</v>
      </c>
      <c r="BT87" s="155">
        <f t="shared" si="30"/>
        <v>0.65</v>
      </c>
    </row>
    <row r="88" spans="1:72">
      <c r="A88" s="155" t="s">
        <v>261</v>
      </c>
      <c r="B88" s="155" t="s">
        <v>1267</v>
      </c>
      <c r="C88" s="155" t="s">
        <v>207</v>
      </c>
      <c r="D88" s="155">
        <v>34.5</v>
      </c>
      <c r="E88" s="189">
        <v>0</v>
      </c>
      <c r="F88" s="67">
        <v>0</v>
      </c>
      <c r="G88" s="67">
        <v>0</v>
      </c>
      <c r="H88" s="67">
        <v>0</v>
      </c>
      <c r="I88" s="67">
        <v>0</v>
      </c>
      <c r="J88" s="67">
        <v>105</v>
      </c>
      <c r="K88" s="67">
        <v>1397</v>
      </c>
      <c r="L88" s="67">
        <v>1750</v>
      </c>
      <c r="M88" s="67">
        <v>8274.8610000000008</v>
      </c>
      <c r="N88" s="67">
        <v>8274.9999999999982</v>
      </c>
      <c r="O88" s="67">
        <v>4999.9999999999991</v>
      </c>
      <c r="Q88" s="201" t="s">
        <v>261</v>
      </c>
      <c r="R88" s="201" t="s">
        <v>1267</v>
      </c>
      <c r="S88" s="201" t="s">
        <v>207</v>
      </c>
      <c r="U88" s="155"/>
      <c r="V88" s="155"/>
      <c r="W88" s="155"/>
      <c r="X88" s="155"/>
      <c r="Y88" s="155"/>
      <c r="Z88" s="155"/>
      <c r="AA88" s="155"/>
      <c r="AB88" s="155"/>
      <c r="AC88" s="155"/>
      <c r="AE88" s="76">
        <f t="shared" si="31"/>
        <v>0</v>
      </c>
      <c r="AF88" s="76">
        <f t="shared" si="32"/>
        <v>0</v>
      </c>
      <c r="AG88" s="76">
        <f t="shared" si="33"/>
        <v>0</v>
      </c>
      <c r="AH88" s="76">
        <f t="shared" si="34"/>
        <v>0</v>
      </c>
      <c r="AI88" s="76">
        <f t="shared" si="35"/>
        <v>0</v>
      </c>
      <c r="AJ88" s="76">
        <f t="shared" si="36"/>
        <v>0</v>
      </c>
      <c r="AK88" s="76">
        <f t="shared" si="37"/>
        <v>0</v>
      </c>
      <c r="AL88" s="76">
        <f t="shared" si="38"/>
        <v>0</v>
      </c>
      <c r="AM88" s="76">
        <f t="shared" si="39"/>
        <v>0</v>
      </c>
      <c r="AN88" s="76">
        <f t="shared" si="40"/>
        <v>0</v>
      </c>
      <c r="AP88" s="201" t="s">
        <v>261</v>
      </c>
      <c r="AQ88" s="201" t="s">
        <v>207</v>
      </c>
      <c r="AR88" s="155" cm="1">
        <f t="array" ref="AR88">_xlfn.IFS($AQ88=$AP$1,$AQ$1*AE88,$AQ88=$AP$2,$AQ$2*AE88,$AQ88=$AP$3,$AQ$3*AE88,$AQ88=$AP$4,$AQ$4*AE88)</f>
        <v>0</v>
      </c>
      <c r="AS88" s="155" cm="1">
        <f t="array" ref="AS88">_xlfn.IFS($AQ88=$AP$1,$AQ$1*AF88,$AQ88=$AP$2,$AQ$2*AF88,$AQ88=$AP$3,$AQ$3*AF88,$AQ88=$AP$4,$AQ$4*AF88)</f>
        <v>0</v>
      </c>
      <c r="AT88" s="155" cm="1">
        <f t="array" ref="AT88">_xlfn.IFS($AQ88=$AP$1,$AQ$1*AG88,$AQ88=$AP$2,$AQ$2*AG88,$AQ88=$AP$3,$AQ$3*AG88,$AQ88=$AP$4,$AQ$4*AG88)</f>
        <v>0</v>
      </c>
      <c r="AU88" s="155" cm="1">
        <f t="array" ref="AU88">_xlfn.IFS($AQ88=$AP$1,$AQ$1*AH88,$AQ88=$AP$2,$AQ$2*AH88,$AQ88=$AP$3,$AQ$3*AH88,$AQ88=$AP$4,$AQ$4*AH88)</f>
        <v>0</v>
      </c>
      <c r="AV88" s="155" cm="1">
        <f t="array" ref="AV88">_xlfn.IFS($AQ88=$AP$1,$AQ$1*AI88,$AQ88=$AP$2,$AQ$2*AI88,$AQ88=$AP$3,$AQ$3*AI88,$AQ88=$AP$4,$AQ$4*AI88)</f>
        <v>0</v>
      </c>
      <c r="AW88" s="155" cm="1">
        <f t="array" ref="AW88">_xlfn.IFS($AQ88=$AP$1,$AQ$1*AJ88,$AQ88=$AP$2,$AQ$2*AJ88,$AQ88=$AP$3,$AQ$3*AJ88,$AQ88=$AP$4,$AQ$4*AJ88)</f>
        <v>0</v>
      </c>
      <c r="AX88" s="155" cm="1">
        <f t="array" ref="AX88">_xlfn.IFS($AQ88=$AP$1,$AQ$1*AK88,$AQ88=$AP$2,$AQ$2*AK88,$AQ88=$AP$3,$AQ$3*AK88,$AQ88=$AP$4,$AQ$4*AK88)</f>
        <v>0</v>
      </c>
      <c r="AY88" s="155" cm="1">
        <f t="array" ref="AY88">_xlfn.IFS($AQ88=$AP$1,$AQ$1*AL88,$AQ88=$AP$2,$AQ$2*AL88,$AQ88=$AP$3,$AQ$3*AL88,$AQ88=$AP$4,$AQ$4*AL88)</f>
        <v>0</v>
      </c>
      <c r="AZ88" s="155" cm="1">
        <f t="array" ref="AZ88">_xlfn.IFS($AQ88=$AP$1,$AQ$1*AM88,$AQ88=$AP$2,$AQ$2*AM88,$AQ88=$AP$3,$AQ$3*AM88,$AQ88=$AP$4,$AQ$4*AM88)</f>
        <v>0</v>
      </c>
      <c r="BA88" s="155" cm="1">
        <f t="array" ref="BA88">_xlfn.IFS($AQ88=$AP$1,$AQ$1*AN88,$AQ88=$AP$2,$AQ$2*AN88,$AQ88=$AP$3,$AQ$3*AN88,$AQ88=$AP$4,$AQ$4*AN88)</f>
        <v>0</v>
      </c>
      <c r="BB88" s="155"/>
      <c r="BC88" s="155" t="str">
        <f>Table2[[#This Row],[FN Parent  '#]]</f>
        <v>FN012138</v>
      </c>
      <c r="BD88" s="155">
        <f t="shared" si="41"/>
        <v>0</v>
      </c>
      <c r="BF88" s="155" t="str">
        <f t="shared" si="43"/>
        <v/>
      </c>
      <c r="BG88" s="155" t="str">
        <f t="shared" si="44"/>
        <v/>
      </c>
      <c r="BH88" s="155" t="str">
        <f t="shared" si="45"/>
        <v/>
      </c>
      <c r="BI88" s="155" t="str">
        <f t="shared" si="46"/>
        <v/>
      </c>
      <c r="BJ88" s="155" t="str">
        <f t="shared" si="47"/>
        <v/>
      </c>
      <c r="BK88" s="155" t="str">
        <f t="shared" si="48"/>
        <v/>
      </c>
      <c r="BL88" s="155" t="str">
        <f t="shared" si="49"/>
        <v/>
      </c>
      <c r="BM88" s="155" t="str">
        <f t="shared" si="50"/>
        <v/>
      </c>
      <c r="BN88" s="155" t="str">
        <f t="shared" si="51"/>
        <v/>
      </c>
      <c r="BO88" s="155" t="str">
        <f t="shared" si="52"/>
        <v/>
      </c>
      <c r="BP88" s="155">
        <f t="shared" si="53"/>
        <v>0</v>
      </c>
      <c r="BR88" s="206" t="s">
        <v>315</v>
      </c>
      <c r="BS88" s="155">
        <f t="shared" si="29"/>
        <v>54.003235108494984</v>
      </c>
      <c r="BT88" s="155">
        <f t="shared" si="30"/>
        <v>17</v>
      </c>
    </row>
    <row r="89" spans="1:72">
      <c r="A89" s="155" t="s">
        <v>252</v>
      </c>
      <c r="B89" s="155" t="s">
        <v>1337</v>
      </c>
      <c r="C89" s="155" t="s">
        <v>208</v>
      </c>
      <c r="D89" s="155">
        <v>7</v>
      </c>
      <c r="E89" s="189">
        <v>0</v>
      </c>
      <c r="F89" s="67">
        <v>0</v>
      </c>
      <c r="G89" s="67">
        <v>433</v>
      </c>
      <c r="H89" s="67">
        <v>3645</v>
      </c>
      <c r="I89" s="67">
        <v>4653.9999900000003</v>
      </c>
      <c r="J89" s="67">
        <v>1425</v>
      </c>
      <c r="K89" s="67">
        <v>429</v>
      </c>
      <c r="L89" s="67">
        <v>0</v>
      </c>
      <c r="M89" s="67">
        <v>0</v>
      </c>
      <c r="N89" s="67">
        <v>0</v>
      </c>
      <c r="O89" s="67">
        <v>0</v>
      </c>
      <c r="Q89" s="202" t="s">
        <v>252</v>
      </c>
      <c r="R89" s="202" t="s">
        <v>1337</v>
      </c>
      <c r="S89" s="202" t="s">
        <v>208</v>
      </c>
      <c r="T89" s="76">
        <f>SUM($E89:F92)</f>
        <v>240</v>
      </c>
      <c r="U89" s="76">
        <f>SUM($E89:G92)</f>
        <v>1513</v>
      </c>
      <c r="V89" s="76">
        <f>SUM($E89:H92)</f>
        <v>7318</v>
      </c>
      <c r="W89" s="76">
        <f>SUM($E89:I92)</f>
        <v>14411.99999</v>
      </c>
      <c r="X89" s="76">
        <f>SUM($E89:J92)</f>
        <v>17846.99999</v>
      </c>
      <c r="Y89" s="76">
        <f>SUM($E89:K92)</f>
        <v>18335.99999</v>
      </c>
      <c r="Z89" s="76">
        <f>SUM($E89:L92)</f>
        <v>18335.99999</v>
      </c>
      <c r="AA89" s="76">
        <f>SUM($E89:M92)</f>
        <v>18335.99999</v>
      </c>
      <c r="AB89" s="76">
        <f>SUM($E89:N92)</f>
        <v>18335.99999</v>
      </c>
      <c r="AC89" s="76">
        <f>SUM($E89:O92)</f>
        <v>18335.99999</v>
      </c>
      <c r="AE89" s="76">
        <f t="shared" si="31"/>
        <v>240</v>
      </c>
      <c r="AF89" s="76">
        <f t="shared" si="32"/>
        <v>1544.7729999999999</v>
      </c>
      <c r="AG89" s="76">
        <f t="shared" si="33"/>
        <v>7628.5832379999983</v>
      </c>
      <c r="AH89" s="76">
        <f t="shared" si="34"/>
        <v>15339.156534888672</v>
      </c>
      <c r="AI89" s="76">
        <f t="shared" si="35"/>
        <v>19394.035746303565</v>
      </c>
      <c r="AJ89" s="76">
        <f t="shared" si="36"/>
        <v>20343.857750769108</v>
      </c>
      <c r="AK89" s="76">
        <f t="shared" si="37"/>
        <v>20771.078763535257</v>
      </c>
      <c r="AL89" s="76">
        <f t="shared" si="38"/>
        <v>21207.271417569496</v>
      </c>
      <c r="AM89" s="76">
        <f t="shared" si="39"/>
        <v>21652.624117338451</v>
      </c>
      <c r="AN89" s="76">
        <f t="shared" si="40"/>
        <v>22107.329223802553</v>
      </c>
      <c r="AP89" s="202" t="s">
        <v>252</v>
      </c>
      <c r="AQ89" s="202" t="s">
        <v>208</v>
      </c>
      <c r="AR89" s="155" cm="1">
        <f t="array" ref="AR89">_xlfn.IFS($AQ89=$AP$1,$AQ$1*AE89,$AQ89=$AP$2,$AQ$2*AE89,$AQ89=$AP$3,$AQ$3*AE89,$AQ89=$AP$4,$AQ$4*AE89)</f>
        <v>33.910237705264308</v>
      </c>
      <c r="AS89" s="155" cm="1">
        <f t="array" ref="AS89">_xlfn.IFS($AQ89=$AP$1,$AQ$1*AF89,$AQ89=$AP$2,$AQ$2*AF89,$AQ89=$AP$3,$AQ$3*AF89,$AQ89=$AP$4,$AQ$4*AF89)</f>
        <v>218.26508179447606</v>
      </c>
      <c r="AT89" s="155" cm="1">
        <f t="array" ref="AT89">_xlfn.IFS($AQ89=$AP$1,$AQ$1*AG89,$AQ89=$AP$2,$AQ$2*AG89,$AQ89=$AP$3,$AQ$3*AG89,$AQ89=$AP$4,$AQ$4*AG89)</f>
        <v>1077.8627956457285</v>
      </c>
      <c r="AU89" s="155" cm="1">
        <f t="array" ref="AU89">_xlfn.IFS($AQ89=$AP$1,$AQ$1*AH89,$AQ89=$AP$2,$AQ$2*AH89,$AQ89=$AP$3,$AQ$3*AH89,$AQ89=$AP$4,$AQ$4*AH89)</f>
        <v>2167.3101845680553</v>
      </c>
      <c r="AV89" s="155" cm="1">
        <f t="array" ref="AV89">_xlfn.IFS($AQ89=$AP$1,$AQ$1*AI89,$AQ89=$AP$2,$AQ$2*AI89,$AQ89=$AP$3,$AQ$3*AI89,$AQ89=$AP$4,$AQ$4*AI89)</f>
        <v>2740.234842589779</v>
      </c>
      <c r="AW89" s="155" cm="1">
        <f t="array" ref="AW89">_xlfn.IFS($AQ89=$AP$1,$AQ$1*AJ89,$AQ89=$AP$2,$AQ$2*AJ89,$AQ89=$AP$3,$AQ$3*AJ89,$AQ89=$AP$4,$AQ$4*AJ89)</f>
        <v>2874.4377173777671</v>
      </c>
      <c r="AX89" s="155" cm="1">
        <f t="array" ref="AX89">_xlfn.IFS($AQ89=$AP$1,$AQ$1*AK89,$AQ89=$AP$2,$AQ$2*AK89,$AQ89=$AP$3,$AQ$3*AK89,$AQ89=$AP$4,$AQ$4*AK89)</f>
        <v>2934.8009094427002</v>
      </c>
      <c r="AY89" s="155" cm="1">
        <f t="array" ref="AY89">_xlfn.IFS($AQ89=$AP$1,$AQ$1*AL89,$AQ89=$AP$2,$AQ$2*AL89,$AQ89=$AP$3,$AQ$3*AL89,$AQ89=$AP$4,$AQ$4*AL89)</f>
        <v>2996.4317285409966</v>
      </c>
      <c r="AZ89" s="155" cm="1">
        <f t="array" ref="AZ89">_xlfn.IFS($AQ89=$AP$1,$AQ$1*AM89,$AQ89=$AP$2,$AQ$2*AM89,$AQ89=$AP$3,$AQ$3*AM89,$AQ89=$AP$4,$AQ$4*AM89)</f>
        <v>3059.356794840357</v>
      </c>
      <c r="BA89" s="155" cm="1">
        <f t="array" ref="BA89">_xlfn.IFS($AQ89=$AP$1,$AQ$1*AN89,$AQ89=$AP$2,$AQ$2*AN89,$AQ89=$AP$3,$AQ$3*AN89,$AQ89=$AP$4,$AQ$4*AN89)</f>
        <v>3123.6032875320038</v>
      </c>
      <c r="BB89" s="155">
        <f>Table2[[#This Row],[FINAL Project System Capacity (MW)]]</f>
        <v>7</v>
      </c>
      <c r="BC89" s="155" t="str">
        <f>Table2[[#This Row],[FN Parent  '#]]</f>
        <v>FN014417</v>
      </c>
      <c r="BD89" s="155">
        <f t="shared" si="41"/>
        <v>7</v>
      </c>
      <c r="BE89" s="155">
        <f t="shared" si="42"/>
        <v>7</v>
      </c>
      <c r="BF89" s="155">
        <f t="shared" si="43"/>
        <v>4.8443196721806157</v>
      </c>
      <c r="BG89" s="155">
        <f t="shared" si="44"/>
        <v>31.180725970639436</v>
      </c>
      <c r="BH89" s="155">
        <f t="shared" si="45"/>
        <v>153.98039937796122</v>
      </c>
      <c r="BI89" s="155">
        <f t="shared" si="46"/>
        <v>309.61574065257935</v>
      </c>
      <c r="BJ89" s="155">
        <f t="shared" si="47"/>
        <v>391.46212036996843</v>
      </c>
      <c r="BK89" s="155">
        <f t="shared" si="48"/>
        <v>410.63395962539528</v>
      </c>
      <c r="BL89" s="155">
        <f t="shared" si="49"/>
        <v>419.25727277752861</v>
      </c>
      <c r="BM89" s="155">
        <f t="shared" si="50"/>
        <v>428.06167550585667</v>
      </c>
      <c r="BN89" s="155">
        <f t="shared" si="51"/>
        <v>437.05097069147956</v>
      </c>
      <c r="BO89" s="155">
        <f t="shared" si="52"/>
        <v>446.22904107600056</v>
      </c>
      <c r="BP89" s="155">
        <f t="shared" si="53"/>
        <v>274.07766657044215</v>
      </c>
      <c r="BR89" s="206" t="s">
        <v>335</v>
      </c>
      <c r="BS89" s="155">
        <f t="shared" si="29"/>
        <v>34.904117623998637</v>
      </c>
      <c r="BT89" s="155">
        <f t="shared" si="30"/>
        <v>13</v>
      </c>
    </row>
    <row r="90" spans="1:72">
      <c r="A90" s="155" t="s">
        <v>252</v>
      </c>
      <c r="B90" s="155" t="s">
        <v>1337</v>
      </c>
      <c r="C90" s="155" t="s">
        <v>208</v>
      </c>
      <c r="D90" s="155">
        <v>7</v>
      </c>
      <c r="E90" s="189">
        <v>0</v>
      </c>
      <c r="F90" s="67">
        <v>80</v>
      </c>
      <c r="G90" s="67">
        <v>280</v>
      </c>
      <c r="H90" s="67">
        <v>720</v>
      </c>
      <c r="I90" s="67">
        <v>1000</v>
      </c>
      <c r="J90" s="67">
        <v>960</v>
      </c>
      <c r="K90" s="67">
        <v>20</v>
      </c>
      <c r="L90" s="67">
        <v>0</v>
      </c>
      <c r="M90" s="67">
        <v>0</v>
      </c>
      <c r="N90" s="67">
        <v>0</v>
      </c>
      <c r="O90" s="67">
        <v>0</v>
      </c>
      <c r="Q90" s="201" t="s">
        <v>252</v>
      </c>
      <c r="R90" s="201" t="s">
        <v>1337</v>
      </c>
      <c r="S90" s="201" t="s">
        <v>208</v>
      </c>
      <c r="U90" s="155"/>
      <c r="V90" s="155"/>
      <c r="W90" s="155"/>
      <c r="X90" s="155"/>
      <c r="Y90" s="155"/>
      <c r="Z90" s="155"/>
      <c r="AA90" s="155"/>
      <c r="AB90" s="155"/>
      <c r="AC90" s="155"/>
      <c r="AE90" s="76">
        <f t="shared" si="31"/>
        <v>0</v>
      </c>
      <c r="AF90" s="76">
        <f t="shared" si="32"/>
        <v>0</v>
      </c>
      <c r="AG90" s="76">
        <f t="shared" si="33"/>
        <v>0</v>
      </c>
      <c r="AH90" s="76">
        <f t="shared" si="34"/>
        <v>0</v>
      </c>
      <c r="AI90" s="76">
        <f t="shared" si="35"/>
        <v>0</v>
      </c>
      <c r="AJ90" s="76">
        <f t="shared" si="36"/>
        <v>0</v>
      </c>
      <c r="AK90" s="76">
        <f t="shared" si="37"/>
        <v>0</v>
      </c>
      <c r="AL90" s="76">
        <f t="shared" si="38"/>
        <v>0</v>
      </c>
      <c r="AM90" s="76">
        <f t="shared" si="39"/>
        <v>0</v>
      </c>
      <c r="AN90" s="76">
        <f t="shared" si="40"/>
        <v>0</v>
      </c>
      <c r="AP90" s="201" t="s">
        <v>252</v>
      </c>
      <c r="AQ90" s="201" t="s">
        <v>208</v>
      </c>
      <c r="AR90" s="155" cm="1">
        <f t="array" ref="AR90">_xlfn.IFS($AQ90=$AP$1,$AQ$1*AE90,$AQ90=$AP$2,$AQ$2*AE90,$AQ90=$AP$3,$AQ$3*AE90,$AQ90=$AP$4,$AQ$4*AE90)</f>
        <v>0</v>
      </c>
      <c r="AS90" s="155" cm="1">
        <f t="array" ref="AS90">_xlfn.IFS($AQ90=$AP$1,$AQ$1*AF90,$AQ90=$AP$2,$AQ$2*AF90,$AQ90=$AP$3,$AQ$3*AF90,$AQ90=$AP$4,$AQ$4*AF90)</f>
        <v>0</v>
      </c>
      <c r="AT90" s="155" cm="1">
        <f t="array" ref="AT90">_xlfn.IFS($AQ90=$AP$1,$AQ$1*AG90,$AQ90=$AP$2,$AQ$2*AG90,$AQ90=$AP$3,$AQ$3*AG90,$AQ90=$AP$4,$AQ$4*AG90)</f>
        <v>0</v>
      </c>
      <c r="AU90" s="155" cm="1">
        <f t="array" ref="AU90">_xlfn.IFS($AQ90=$AP$1,$AQ$1*AH90,$AQ90=$AP$2,$AQ$2*AH90,$AQ90=$AP$3,$AQ$3*AH90,$AQ90=$AP$4,$AQ$4*AH90)</f>
        <v>0</v>
      </c>
      <c r="AV90" s="155" cm="1">
        <f t="array" ref="AV90">_xlfn.IFS($AQ90=$AP$1,$AQ$1*AI90,$AQ90=$AP$2,$AQ$2*AI90,$AQ90=$AP$3,$AQ$3*AI90,$AQ90=$AP$4,$AQ$4*AI90)</f>
        <v>0</v>
      </c>
      <c r="AW90" s="155" cm="1">
        <f t="array" ref="AW90">_xlfn.IFS($AQ90=$AP$1,$AQ$1*AJ90,$AQ90=$AP$2,$AQ$2*AJ90,$AQ90=$AP$3,$AQ$3*AJ90,$AQ90=$AP$4,$AQ$4*AJ90)</f>
        <v>0</v>
      </c>
      <c r="AX90" s="155" cm="1">
        <f t="array" ref="AX90">_xlfn.IFS($AQ90=$AP$1,$AQ$1*AK90,$AQ90=$AP$2,$AQ$2*AK90,$AQ90=$AP$3,$AQ$3*AK90,$AQ90=$AP$4,$AQ$4*AK90)</f>
        <v>0</v>
      </c>
      <c r="AY90" s="155" cm="1">
        <f t="array" ref="AY90">_xlfn.IFS($AQ90=$AP$1,$AQ$1*AL90,$AQ90=$AP$2,$AQ$2*AL90,$AQ90=$AP$3,$AQ$3*AL90,$AQ90=$AP$4,$AQ$4*AL90)</f>
        <v>0</v>
      </c>
      <c r="AZ90" s="155" cm="1">
        <f t="array" ref="AZ90">_xlfn.IFS($AQ90=$AP$1,$AQ$1*AM90,$AQ90=$AP$2,$AQ$2*AM90,$AQ90=$AP$3,$AQ$3*AM90,$AQ90=$AP$4,$AQ$4*AM90)</f>
        <v>0</v>
      </c>
      <c r="BA90" s="155" cm="1">
        <f t="array" ref="BA90">_xlfn.IFS($AQ90=$AP$1,$AQ$1*AN90,$AQ90=$AP$2,$AQ$2*AN90,$AQ90=$AP$3,$AQ$3*AN90,$AQ90=$AP$4,$AQ$4*AN90)</f>
        <v>0</v>
      </c>
      <c r="BB90" s="155"/>
      <c r="BC90" s="155" t="str">
        <f>Table2[[#This Row],[FN Parent  '#]]</f>
        <v>FN014417</v>
      </c>
      <c r="BD90" s="155">
        <f t="shared" si="41"/>
        <v>0</v>
      </c>
      <c r="BF90" s="155" t="str">
        <f t="shared" si="43"/>
        <v/>
      </c>
      <c r="BG90" s="155" t="str">
        <f t="shared" si="44"/>
        <v/>
      </c>
      <c r="BH90" s="155" t="str">
        <f t="shared" si="45"/>
        <v/>
      </c>
      <c r="BI90" s="155" t="str">
        <f t="shared" si="46"/>
        <v/>
      </c>
      <c r="BJ90" s="155" t="str">
        <f t="shared" si="47"/>
        <v/>
      </c>
      <c r="BK90" s="155" t="str">
        <f t="shared" si="48"/>
        <v/>
      </c>
      <c r="BL90" s="155" t="str">
        <f t="shared" si="49"/>
        <v/>
      </c>
      <c r="BM90" s="155" t="str">
        <f t="shared" si="50"/>
        <v/>
      </c>
      <c r="BN90" s="155" t="str">
        <f t="shared" si="51"/>
        <v/>
      </c>
      <c r="BO90" s="155" t="str">
        <f t="shared" si="52"/>
        <v/>
      </c>
      <c r="BP90" s="155">
        <f t="shared" si="53"/>
        <v>0</v>
      </c>
      <c r="BR90" s="206" t="s">
        <v>317</v>
      </c>
      <c r="BS90" s="155">
        <f t="shared" si="29"/>
        <v>50.781222709559053</v>
      </c>
      <c r="BT90" s="155">
        <f t="shared" si="30"/>
        <v>0.5</v>
      </c>
    </row>
    <row r="91" spans="1:72">
      <c r="A91" s="155" t="s">
        <v>252</v>
      </c>
      <c r="B91" s="155" t="s">
        <v>1337</v>
      </c>
      <c r="C91" s="155" t="s">
        <v>208</v>
      </c>
      <c r="D91" s="155">
        <v>7</v>
      </c>
      <c r="E91" s="189">
        <v>0</v>
      </c>
      <c r="F91" s="67">
        <v>80</v>
      </c>
      <c r="G91" s="67">
        <v>280</v>
      </c>
      <c r="H91" s="67">
        <v>720</v>
      </c>
      <c r="I91" s="67">
        <v>720</v>
      </c>
      <c r="J91" s="67">
        <v>520</v>
      </c>
      <c r="K91" s="67">
        <v>20</v>
      </c>
      <c r="L91" s="67">
        <v>0</v>
      </c>
      <c r="M91" s="67">
        <v>0</v>
      </c>
      <c r="N91" s="67">
        <v>0</v>
      </c>
      <c r="O91" s="67">
        <v>0</v>
      </c>
      <c r="Q91" s="202" t="s">
        <v>252</v>
      </c>
      <c r="R91" s="202" t="s">
        <v>1337</v>
      </c>
      <c r="S91" s="202" t="s">
        <v>208</v>
      </c>
      <c r="U91" s="155"/>
      <c r="V91" s="155"/>
      <c r="W91" s="155"/>
      <c r="X91" s="155"/>
      <c r="Y91" s="155"/>
      <c r="Z91" s="155"/>
      <c r="AA91" s="155"/>
      <c r="AB91" s="155"/>
      <c r="AC91" s="155"/>
      <c r="AE91" s="76">
        <f t="shared" si="31"/>
        <v>0</v>
      </c>
      <c r="AF91" s="76">
        <f t="shared" si="32"/>
        <v>0</v>
      </c>
      <c r="AG91" s="76">
        <f t="shared" si="33"/>
        <v>0</v>
      </c>
      <c r="AH91" s="76">
        <f t="shared" si="34"/>
        <v>0</v>
      </c>
      <c r="AI91" s="76">
        <f t="shared" si="35"/>
        <v>0</v>
      </c>
      <c r="AJ91" s="76">
        <f t="shared" si="36"/>
        <v>0</v>
      </c>
      <c r="AK91" s="76">
        <f t="shared" si="37"/>
        <v>0</v>
      </c>
      <c r="AL91" s="76">
        <f t="shared" si="38"/>
        <v>0</v>
      </c>
      <c r="AM91" s="76">
        <f t="shared" si="39"/>
        <v>0</v>
      </c>
      <c r="AN91" s="76">
        <f t="shared" si="40"/>
        <v>0</v>
      </c>
      <c r="AP91" s="202" t="s">
        <v>252</v>
      </c>
      <c r="AQ91" s="202" t="s">
        <v>208</v>
      </c>
      <c r="AR91" s="155" cm="1">
        <f t="array" ref="AR91">_xlfn.IFS($AQ91=$AP$1,$AQ$1*AE91,$AQ91=$AP$2,$AQ$2*AE91,$AQ91=$AP$3,$AQ$3*AE91,$AQ91=$AP$4,$AQ$4*AE91)</f>
        <v>0</v>
      </c>
      <c r="AS91" s="155" cm="1">
        <f t="array" ref="AS91">_xlfn.IFS($AQ91=$AP$1,$AQ$1*AF91,$AQ91=$AP$2,$AQ$2*AF91,$AQ91=$AP$3,$AQ$3*AF91,$AQ91=$AP$4,$AQ$4*AF91)</f>
        <v>0</v>
      </c>
      <c r="AT91" s="155" cm="1">
        <f t="array" ref="AT91">_xlfn.IFS($AQ91=$AP$1,$AQ$1*AG91,$AQ91=$AP$2,$AQ$2*AG91,$AQ91=$AP$3,$AQ$3*AG91,$AQ91=$AP$4,$AQ$4*AG91)</f>
        <v>0</v>
      </c>
      <c r="AU91" s="155" cm="1">
        <f t="array" ref="AU91">_xlfn.IFS($AQ91=$AP$1,$AQ$1*AH91,$AQ91=$AP$2,$AQ$2*AH91,$AQ91=$AP$3,$AQ$3*AH91,$AQ91=$AP$4,$AQ$4*AH91)</f>
        <v>0</v>
      </c>
      <c r="AV91" s="155" cm="1">
        <f t="array" ref="AV91">_xlfn.IFS($AQ91=$AP$1,$AQ$1*AI91,$AQ91=$AP$2,$AQ$2*AI91,$AQ91=$AP$3,$AQ$3*AI91,$AQ91=$AP$4,$AQ$4*AI91)</f>
        <v>0</v>
      </c>
      <c r="AW91" s="155" cm="1">
        <f t="array" ref="AW91">_xlfn.IFS($AQ91=$AP$1,$AQ$1*AJ91,$AQ91=$AP$2,$AQ$2*AJ91,$AQ91=$AP$3,$AQ$3*AJ91,$AQ91=$AP$4,$AQ$4*AJ91)</f>
        <v>0</v>
      </c>
      <c r="AX91" s="155" cm="1">
        <f t="array" ref="AX91">_xlfn.IFS($AQ91=$AP$1,$AQ$1*AK91,$AQ91=$AP$2,$AQ$2*AK91,$AQ91=$AP$3,$AQ$3*AK91,$AQ91=$AP$4,$AQ$4*AK91)</f>
        <v>0</v>
      </c>
      <c r="AY91" s="155" cm="1">
        <f t="array" ref="AY91">_xlfn.IFS($AQ91=$AP$1,$AQ$1*AL91,$AQ91=$AP$2,$AQ$2*AL91,$AQ91=$AP$3,$AQ$3*AL91,$AQ91=$AP$4,$AQ$4*AL91)</f>
        <v>0</v>
      </c>
      <c r="AZ91" s="155" cm="1">
        <f t="array" ref="AZ91">_xlfn.IFS($AQ91=$AP$1,$AQ$1*AM91,$AQ91=$AP$2,$AQ$2*AM91,$AQ91=$AP$3,$AQ$3*AM91,$AQ91=$AP$4,$AQ$4*AM91)</f>
        <v>0</v>
      </c>
      <c r="BA91" s="155" cm="1">
        <f t="array" ref="BA91">_xlfn.IFS($AQ91=$AP$1,$AQ$1*AN91,$AQ91=$AP$2,$AQ$2*AN91,$AQ91=$AP$3,$AQ$3*AN91,$AQ91=$AP$4,$AQ$4*AN91)</f>
        <v>0</v>
      </c>
      <c r="BB91" s="155"/>
      <c r="BC91" s="155" t="str">
        <f>Table2[[#This Row],[FN Parent  '#]]</f>
        <v>FN014417</v>
      </c>
      <c r="BD91" s="155">
        <f t="shared" si="41"/>
        <v>0</v>
      </c>
      <c r="BF91" s="155" t="str">
        <f t="shared" si="43"/>
        <v/>
      </c>
      <c r="BG91" s="155" t="str">
        <f t="shared" si="44"/>
        <v/>
      </c>
      <c r="BH91" s="155" t="str">
        <f t="shared" si="45"/>
        <v/>
      </c>
      <c r="BI91" s="155" t="str">
        <f t="shared" si="46"/>
        <v/>
      </c>
      <c r="BJ91" s="155" t="str">
        <f t="shared" si="47"/>
        <v/>
      </c>
      <c r="BK91" s="155" t="str">
        <f t="shared" si="48"/>
        <v/>
      </c>
      <c r="BL91" s="155" t="str">
        <f t="shared" si="49"/>
        <v/>
      </c>
      <c r="BM91" s="155" t="str">
        <f t="shared" si="50"/>
        <v/>
      </c>
      <c r="BN91" s="155" t="str">
        <f t="shared" si="51"/>
        <v/>
      </c>
      <c r="BO91" s="155" t="str">
        <f t="shared" si="52"/>
        <v/>
      </c>
      <c r="BP91" s="155">
        <f t="shared" si="53"/>
        <v>0</v>
      </c>
      <c r="BR91" s="206" t="s">
        <v>318</v>
      </c>
      <c r="BS91" s="155">
        <f t="shared" si="29"/>
        <v>154.91650289157522</v>
      </c>
      <c r="BT91" s="155">
        <f t="shared" si="30"/>
        <v>5</v>
      </c>
    </row>
    <row r="92" spans="1:72">
      <c r="A92" s="155" t="s">
        <v>252</v>
      </c>
      <c r="B92" s="155" t="s">
        <v>1337</v>
      </c>
      <c r="C92" s="155" t="s">
        <v>208</v>
      </c>
      <c r="D92" s="155">
        <v>7</v>
      </c>
      <c r="E92" s="189">
        <v>0</v>
      </c>
      <c r="F92" s="67">
        <v>80</v>
      </c>
      <c r="G92" s="67">
        <v>280</v>
      </c>
      <c r="H92" s="67">
        <v>720</v>
      </c>
      <c r="I92" s="67">
        <v>720</v>
      </c>
      <c r="J92" s="67">
        <v>530</v>
      </c>
      <c r="K92" s="67">
        <v>20</v>
      </c>
      <c r="L92" s="67">
        <v>0</v>
      </c>
      <c r="M92" s="67">
        <v>0</v>
      </c>
      <c r="N92" s="67">
        <v>0</v>
      </c>
      <c r="O92" s="67">
        <v>0</v>
      </c>
      <c r="Q92" s="201" t="s">
        <v>252</v>
      </c>
      <c r="R92" s="201" t="s">
        <v>1337</v>
      </c>
      <c r="S92" s="201" t="s">
        <v>208</v>
      </c>
      <c r="U92" s="155"/>
      <c r="V92" s="155"/>
      <c r="W92" s="155"/>
      <c r="X92" s="155"/>
      <c r="Y92" s="155"/>
      <c r="Z92" s="155"/>
      <c r="AA92" s="155"/>
      <c r="AB92" s="155"/>
      <c r="AC92" s="155"/>
      <c r="AE92" s="76">
        <f t="shared" si="31"/>
        <v>0</v>
      </c>
      <c r="AF92" s="76">
        <f t="shared" si="32"/>
        <v>0</v>
      </c>
      <c r="AG92" s="76">
        <f t="shared" si="33"/>
        <v>0</v>
      </c>
      <c r="AH92" s="76">
        <f t="shared" si="34"/>
        <v>0</v>
      </c>
      <c r="AI92" s="76">
        <f t="shared" si="35"/>
        <v>0</v>
      </c>
      <c r="AJ92" s="76">
        <f t="shared" si="36"/>
        <v>0</v>
      </c>
      <c r="AK92" s="76">
        <f t="shared" si="37"/>
        <v>0</v>
      </c>
      <c r="AL92" s="76">
        <f t="shared" si="38"/>
        <v>0</v>
      </c>
      <c r="AM92" s="76">
        <f t="shared" si="39"/>
        <v>0</v>
      </c>
      <c r="AN92" s="76">
        <f t="shared" si="40"/>
        <v>0</v>
      </c>
      <c r="AP92" s="201" t="s">
        <v>252</v>
      </c>
      <c r="AQ92" s="201" t="s">
        <v>208</v>
      </c>
      <c r="AR92" s="155" cm="1">
        <f t="array" ref="AR92">_xlfn.IFS($AQ92=$AP$1,$AQ$1*AE92,$AQ92=$AP$2,$AQ$2*AE92,$AQ92=$AP$3,$AQ$3*AE92,$AQ92=$AP$4,$AQ$4*AE92)</f>
        <v>0</v>
      </c>
      <c r="AS92" s="155" cm="1">
        <f t="array" ref="AS92">_xlfn.IFS($AQ92=$AP$1,$AQ$1*AF92,$AQ92=$AP$2,$AQ$2*AF92,$AQ92=$AP$3,$AQ$3*AF92,$AQ92=$AP$4,$AQ$4*AF92)</f>
        <v>0</v>
      </c>
      <c r="AT92" s="155" cm="1">
        <f t="array" ref="AT92">_xlfn.IFS($AQ92=$AP$1,$AQ$1*AG92,$AQ92=$AP$2,$AQ$2*AG92,$AQ92=$AP$3,$AQ$3*AG92,$AQ92=$AP$4,$AQ$4*AG92)</f>
        <v>0</v>
      </c>
      <c r="AU92" s="155" cm="1">
        <f t="array" ref="AU92">_xlfn.IFS($AQ92=$AP$1,$AQ$1*AH92,$AQ92=$AP$2,$AQ$2*AH92,$AQ92=$AP$3,$AQ$3*AH92,$AQ92=$AP$4,$AQ$4*AH92)</f>
        <v>0</v>
      </c>
      <c r="AV92" s="155" cm="1">
        <f t="array" ref="AV92">_xlfn.IFS($AQ92=$AP$1,$AQ$1*AI92,$AQ92=$AP$2,$AQ$2*AI92,$AQ92=$AP$3,$AQ$3*AI92,$AQ92=$AP$4,$AQ$4*AI92)</f>
        <v>0</v>
      </c>
      <c r="AW92" s="155" cm="1">
        <f t="array" ref="AW92">_xlfn.IFS($AQ92=$AP$1,$AQ$1*AJ92,$AQ92=$AP$2,$AQ$2*AJ92,$AQ92=$AP$3,$AQ$3*AJ92,$AQ92=$AP$4,$AQ$4*AJ92)</f>
        <v>0</v>
      </c>
      <c r="AX92" s="155" cm="1">
        <f t="array" ref="AX92">_xlfn.IFS($AQ92=$AP$1,$AQ$1*AK92,$AQ92=$AP$2,$AQ$2*AK92,$AQ92=$AP$3,$AQ$3*AK92,$AQ92=$AP$4,$AQ$4*AK92)</f>
        <v>0</v>
      </c>
      <c r="AY92" s="155" cm="1">
        <f t="array" ref="AY92">_xlfn.IFS($AQ92=$AP$1,$AQ$1*AL92,$AQ92=$AP$2,$AQ$2*AL92,$AQ92=$AP$3,$AQ$3*AL92,$AQ92=$AP$4,$AQ$4*AL92)</f>
        <v>0</v>
      </c>
      <c r="AZ92" s="155" cm="1">
        <f t="array" ref="AZ92">_xlfn.IFS($AQ92=$AP$1,$AQ$1*AM92,$AQ92=$AP$2,$AQ$2*AM92,$AQ92=$AP$3,$AQ$3*AM92,$AQ92=$AP$4,$AQ$4*AM92)</f>
        <v>0</v>
      </c>
      <c r="BA92" s="155" cm="1">
        <f t="array" ref="BA92">_xlfn.IFS($AQ92=$AP$1,$AQ$1*AN92,$AQ92=$AP$2,$AQ$2*AN92,$AQ92=$AP$3,$AQ$3*AN92,$AQ92=$AP$4,$AQ$4*AN92)</f>
        <v>0</v>
      </c>
      <c r="BB92" s="155"/>
      <c r="BC92" s="155" t="str">
        <f>Table2[[#This Row],[FN Parent  '#]]</f>
        <v>FN014417</v>
      </c>
      <c r="BD92" s="155">
        <f t="shared" si="41"/>
        <v>0</v>
      </c>
      <c r="BF92" s="155" t="str">
        <f t="shared" si="43"/>
        <v/>
      </c>
      <c r="BG92" s="155" t="str">
        <f t="shared" si="44"/>
        <v/>
      </c>
      <c r="BH92" s="155" t="str">
        <f t="shared" si="45"/>
        <v/>
      </c>
      <c r="BI92" s="155" t="str">
        <f t="shared" si="46"/>
        <v/>
      </c>
      <c r="BJ92" s="155" t="str">
        <f t="shared" si="47"/>
        <v/>
      </c>
      <c r="BK92" s="155" t="str">
        <f t="shared" si="48"/>
        <v/>
      </c>
      <c r="BL92" s="155" t="str">
        <f t="shared" si="49"/>
        <v/>
      </c>
      <c r="BM92" s="155" t="str">
        <f t="shared" si="50"/>
        <v/>
      </c>
      <c r="BN92" s="155" t="str">
        <f t="shared" si="51"/>
        <v/>
      </c>
      <c r="BO92" s="155" t="str">
        <f t="shared" si="52"/>
        <v/>
      </c>
      <c r="BP92" s="155">
        <f t="shared" si="53"/>
        <v>0</v>
      </c>
      <c r="BR92" s="206" t="s">
        <v>319</v>
      </c>
      <c r="BS92" s="155">
        <f t="shared" si="29"/>
        <v>32.695033092503778</v>
      </c>
      <c r="BT92" s="155">
        <f t="shared" si="30"/>
        <v>20</v>
      </c>
    </row>
    <row r="93" spans="1:72">
      <c r="A93" s="155" t="s">
        <v>253</v>
      </c>
      <c r="B93" s="155" t="s">
        <v>1241</v>
      </c>
      <c r="C93" s="155" t="s">
        <v>208</v>
      </c>
      <c r="D93" s="155">
        <v>13.5</v>
      </c>
      <c r="E93" s="189">
        <v>0</v>
      </c>
      <c r="F93" s="67">
        <v>0</v>
      </c>
      <c r="G93" s="67">
        <v>0</v>
      </c>
      <c r="H93" s="67">
        <v>0</v>
      </c>
      <c r="I93" s="67">
        <v>68.466279999999998</v>
      </c>
      <c r="J93" s="67">
        <v>169.79632000000001</v>
      </c>
      <c r="K93" s="67">
        <v>271.12633</v>
      </c>
      <c r="L93" s="67">
        <v>997.52747999999997</v>
      </c>
      <c r="M93" s="67">
        <v>1805.8840399999999</v>
      </c>
      <c r="N93" s="67">
        <v>106.04765</v>
      </c>
      <c r="O93" s="67">
        <v>0</v>
      </c>
      <c r="Q93" s="202" t="s">
        <v>253</v>
      </c>
      <c r="R93" s="202" t="s">
        <v>1241</v>
      </c>
      <c r="S93" s="202" t="s">
        <v>208</v>
      </c>
      <c r="T93" s="76">
        <f>SUM($E93:F94)</f>
        <v>0</v>
      </c>
      <c r="U93" s="76">
        <f>SUM($E93:G94)</f>
        <v>0</v>
      </c>
      <c r="V93" s="76">
        <f>SUM($E93:H94)</f>
        <v>0</v>
      </c>
      <c r="W93" s="76">
        <f>SUM($E93:I94)</f>
        <v>75.554239999999993</v>
      </c>
      <c r="X93" s="76">
        <f>SUM($E93:J94)</f>
        <v>262.37708000000003</v>
      </c>
      <c r="Y93" s="76">
        <f>SUM($E93:K94)</f>
        <v>582.69621000000006</v>
      </c>
      <c r="Z93" s="76">
        <f>SUM($E93:L94)</f>
        <v>1727.31897</v>
      </c>
      <c r="AA93" s="76">
        <f>SUM($E93:M94)</f>
        <v>3557.7002199999993</v>
      </c>
      <c r="AB93" s="76">
        <f>SUM($E93:N94)</f>
        <v>3663.7478699999992</v>
      </c>
      <c r="AC93" s="76">
        <f>SUM($E93:O94)</f>
        <v>3663.7478699999992</v>
      </c>
      <c r="AE93" s="76">
        <f t="shared" si="31"/>
        <v>0</v>
      </c>
      <c r="AF93" s="76">
        <f t="shared" si="32"/>
        <v>0</v>
      </c>
      <c r="AG93" s="76">
        <f t="shared" si="33"/>
        <v>0</v>
      </c>
      <c r="AH93" s="76">
        <f t="shared" si="34"/>
        <v>80.414815087336606</v>
      </c>
      <c r="AI93" s="76">
        <f t="shared" si="35"/>
        <v>285.12077499758828</v>
      </c>
      <c r="AJ93" s="76">
        <f t="shared" si="36"/>
        <v>646.50353482860601</v>
      </c>
      <c r="AK93" s="76">
        <f t="shared" si="37"/>
        <v>1956.7123906623974</v>
      </c>
      <c r="AL93" s="76">
        <f t="shared" si="38"/>
        <v>4114.8077131890686</v>
      </c>
      <c r="AM93" s="76">
        <f t="shared" si="39"/>
        <v>4326.4482729643241</v>
      </c>
      <c r="AN93" s="76">
        <f t="shared" si="40"/>
        <v>4417.303686696574</v>
      </c>
      <c r="AP93" s="202" t="s">
        <v>253</v>
      </c>
      <c r="AQ93" s="202" t="s">
        <v>208</v>
      </c>
      <c r="AR93" s="155" cm="1">
        <f t="array" ref="AR93">_xlfn.IFS($AQ93=$AP$1,$AQ$1*AE93,$AQ93=$AP$2,$AQ$2*AE93,$AQ93=$AP$3,$AQ$3*AE93,$AQ93=$AP$4,$AQ$4*AE93)</f>
        <v>0</v>
      </c>
      <c r="AS93" s="155" cm="1">
        <f t="array" ref="AS93">_xlfn.IFS($AQ93=$AP$1,$AQ$1*AF93,$AQ93=$AP$2,$AQ$2*AF93,$AQ93=$AP$3,$AQ$3*AF93,$AQ93=$AP$4,$AQ$4*AF93)</f>
        <v>0</v>
      </c>
      <c r="AT93" s="155" cm="1">
        <f t="array" ref="AT93">_xlfn.IFS($AQ93=$AP$1,$AQ$1*AG93,$AQ93=$AP$2,$AQ$2*AG93,$AQ93=$AP$3,$AQ$3*AG93,$AQ93=$AP$4,$AQ$4*AG93)</f>
        <v>0</v>
      </c>
      <c r="AU93" s="155" cm="1">
        <f t="array" ref="AU93">_xlfn.IFS($AQ93=$AP$1,$AQ$1*AH93,$AQ93=$AP$2,$AQ$2*AH93,$AQ93=$AP$3,$AQ$3*AH93,$AQ93=$AP$4,$AQ$4*AH93)</f>
        <v>11.36202289431858</v>
      </c>
      <c r="AV93" s="155" cm="1">
        <f t="array" ref="AV93">_xlfn.IFS($AQ93=$AP$1,$AQ$1*AI93,$AQ93=$AP$2,$AQ$2*AI93,$AQ93=$AP$3,$AQ$3*AI93,$AQ93=$AP$4,$AQ$4*AI93)</f>
        <v>40.285471895322495</v>
      </c>
      <c r="AW93" s="155" cm="1">
        <f t="array" ref="AW93">_xlfn.IFS($AQ93=$AP$1,$AQ$1*AJ93,$AQ93=$AP$2,$AQ$2*AJ93,$AQ93=$AP$3,$AQ$3*AJ93,$AQ93=$AP$4,$AQ$4*AJ93)</f>
        <v>91.346202263881878</v>
      </c>
      <c r="AX93" s="155" cm="1">
        <f t="array" ref="AX93">_xlfn.IFS($AQ93=$AP$1,$AQ$1*AK93,$AQ93=$AP$2,$AQ$2*AK93,$AQ93=$AP$3,$AQ$3*AK93,$AQ93=$AP$4,$AQ$4*AK93)</f>
        <v>276.46909286749121</v>
      </c>
      <c r="AY93" s="155" cm="1">
        <f t="array" ref="AY93">_xlfn.IFS($AQ93=$AP$1,$AQ$1*AL93,$AQ93=$AP$2,$AQ$2*AL93,$AQ93=$AP$3,$AQ$3*AL93,$AQ93=$AP$4,$AQ$4*AL93)</f>
        <v>581.39211527373482</v>
      </c>
      <c r="AZ93" s="155" cm="1">
        <f t="array" ref="AZ93">_xlfn.IFS($AQ93=$AP$1,$AQ$1*AM93,$AQ93=$AP$2,$AQ$2*AM93,$AQ93=$AP$3,$AQ$3*AM93,$AQ93=$AP$4,$AQ$4*AM93)</f>
        <v>611.29537231562699</v>
      </c>
      <c r="BA93" s="155" cm="1">
        <f t="array" ref="BA93">_xlfn.IFS($AQ93=$AP$1,$AQ$1*AN93,$AQ93=$AP$2,$AQ$2*AN93,$AQ93=$AP$3,$AQ$3*AN93,$AQ93=$AP$4,$AQ$4*AN93)</f>
        <v>624.13257513425503</v>
      </c>
      <c r="BB93" s="155">
        <f>Table2[[#This Row],[FINAL Project System Capacity (MW)]]</f>
        <v>13.5</v>
      </c>
      <c r="BC93" s="155" t="str">
        <f>Table2[[#This Row],[FN Parent  '#]]</f>
        <v>FN011965</v>
      </c>
      <c r="BD93" s="155">
        <f t="shared" si="41"/>
        <v>13.5</v>
      </c>
      <c r="BE93" s="155">
        <f t="shared" si="42"/>
        <v>13.5</v>
      </c>
      <c r="BF93" s="155">
        <f t="shared" si="43"/>
        <v>0</v>
      </c>
      <c r="BG93" s="155">
        <f t="shared" si="44"/>
        <v>0</v>
      </c>
      <c r="BH93" s="155">
        <f t="shared" si="45"/>
        <v>0</v>
      </c>
      <c r="BI93" s="155">
        <f t="shared" si="46"/>
        <v>0.84163132550508002</v>
      </c>
      <c r="BJ93" s="155">
        <f t="shared" si="47"/>
        <v>2.9841090292831476</v>
      </c>
      <c r="BK93" s="155">
        <f t="shared" si="48"/>
        <v>6.766385352880139</v>
      </c>
      <c r="BL93" s="155">
        <f t="shared" si="49"/>
        <v>20.479192064258608</v>
      </c>
      <c r="BM93" s="155">
        <f t="shared" si="50"/>
        <v>43.066082612869245</v>
      </c>
      <c r="BN93" s="155">
        <f t="shared" si="51"/>
        <v>45.281138690046447</v>
      </c>
      <c r="BO93" s="155">
        <f t="shared" si="52"/>
        <v>46.232042602537412</v>
      </c>
      <c r="BP93" s="155">
        <f t="shared" si="53"/>
        <v>13.330080219197859</v>
      </c>
      <c r="BR93" s="206" t="s">
        <v>321</v>
      </c>
      <c r="BS93" s="155">
        <f t="shared" si="29"/>
        <v>55.151791018911986</v>
      </c>
      <c r="BT93" s="155">
        <f t="shared" si="30"/>
        <v>13</v>
      </c>
    </row>
    <row r="94" spans="1:72">
      <c r="A94" s="155" t="s">
        <v>253</v>
      </c>
      <c r="B94" s="155" t="s">
        <v>1241</v>
      </c>
      <c r="C94" s="155" t="s">
        <v>208</v>
      </c>
      <c r="D94" s="155">
        <v>13.5</v>
      </c>
      <c r="E94" s="189">
        <v>0</v>
      </c>
      <c r="F94" s="67">
        <v>0</v>
      </c>
      <c r="G94" s="67">
        <v>0</v>
      </c>
      <c r="H94" s="67">
        <v>0</v>
      </c>
      <c r="I94" s="67">
        <v>7.0879599999999998</v>
      </c>
      <c r="J94" s="67">
        <v>17.026520000000001</v>
      </c>
      <c r="K94" s="67">
        <v>49.192799999999998</v>
      </c>
      <c r="L94" s="67">
        <v>147.09528</v>
      </c>
      <c r="M94" s="67">
        <v>24.497209999999999</v>
      </c>
      <c r="N94" s="67">
        <v>0</v>
      </c>
      <c r="O94" s="67">
        <v>0</v>
      </c>
      <c r="Q94" s="201" t="s">
        <v>253</v>
      </c>
      <c r="R94" s="201" t="s">
        <v>1241</v>
      </c>
      <c r="S94" s="201" t="s">
        <v>208</v>
      </c>
      <c r="U94" s="155"/>
      <c r="V94" s="155"/>
      <c r="W94" s="155"/>
      <c r="X94" s="155"/>
      <c r="Y94" s="155"/>
      <c r="Z94" s="155"/>
      <c r="AA94" s="155"/>
      <c r="AB94" s="155"/>
      <c r="AC94" s="155"/>
      <c r="AE94" s="76">
        <f t="shared" si="31"/>
        <v>0</v>
      </c>
      <c r="AF94" s="76">
        <f t="shared" si="32"/>
        <v>0</v>
      </c>
      <c r="AG94" s="76">
        <f t="shared" si="33"/>
        <v>0</v>
      </c>
      <c r="AH94" s="76">
        <f t="shared" si="34"/>
        <v>0</v>
      </c>
      <c r="AI94" s="76">
        <f t="shared" si="35"/>
        <v>0</v>
      </c>
      <c r="AJ94" s="76">
        <f t="shared" si="36"/>
        <v>0</v>
      </c>
      <c r="AK94" s="76">
        <f t="shared" si="37"/>
        <v>0</v>
      </c>
      <c r="AL94" s="76">
        <f t="shared" si="38"/>
        <v>0</v>
      </c>
      <c r="AM94" s="76">
        <f t="shared" si="39"/>
        <v>0</v>
      </c>
      <c r="AN94" s="76">
        <f t="shared" si="40"/>
        <v>0</v>
      </c>
      <c r="AP94" s="201" t="s">
        <v>253</v>
      </c>
      <c r="AQ94" s="201" t="s">
        <v>208</v>
      </c>
      <c r="AR94" s="155" cm="1">
        <f t="array" ref="AR94">_xlfn.IFS($AQ94=$AP$1,$AQ$1*AE94,$AQ94=$AP$2,$AQ$2*AE94,$AQ94=$AP$3,$AQ$3*AE94,$AQ94=$AP$4,$AQ$4*AE94)</f>
        <v>0</v>
      </c>
      <c r="AS94" s="155" cm="1">
        <f t="array" ref="AS94">_xlfn.IFS($AQ94=$AP$1,$AQ$1*AF94,$AQ94=$AP$2,$AQ$2*AF94,$AQ94=$AP$3,$AQ$3*AF94,$AQ94=$AP$4,$AQ$4*AF94)</f>
        <v>0</v>
      </c>
      <c r="AT94" s="155" cm="1">
        <f t="array" ref="AT94">_xlfn.IFS($AQ94=$AP$1,$AQ$1*AG94,$AQ94=$AP$2,$AQ$2*AG94,$AQ94=$AP$3,$AQ$3*AG94,$AQ94=$AP$4,$AQ$4*AG94)</f>
        <v>0</v>
      </c>
      <c r="AU94" s="155" cm="1">
        <f t="array" ref="AU94">_xlfn.IFS($AQ94=$AP$1,$AQ$1*AH94,$AQ94=$AP$2,$AQ$2*AH94,$AQ94=$AP$3,$AQ$3*AH94,$AQ94=$AP$4,$AQ$4*AH94)</f>
        <v>0</v>
      </c>
      <c r="AV94" s="155" cm="1">
        <f t="array" ref="AV94">_xlfn.IFS($AQ94=$AP$1,$AQ$1*AI94,$AQ94=$AP$2,$AQ$2*AI94,$AQ94=$AP$3,$AQ$3*AI94,$AQ94=$AP$4,$AQ$4*AI94)</f>
        <v>0</v>
      </c>
      <c r="AW94" s="155" cm="1">
        <f t="array" ref="AW94">_xlfn.IFS($AQ94=$AP$1,$AQ$1*AJ94,$AQ94=$AP$2,$AQ$2*AJ94,$AQ94=$AP$3,$AQ$3*AJ94,$AQ94=$AP$4,$AQ$4*AJ94)</f>
        <v>0</v>
      </c>
      <c r="AX94" s="155" cm="1">
        <f t="array" ref="AX94">_xlfn.IFS($AQ94=$AP$1,$AQ$1*AK94,$AQ94=$AP$2,$AQ$2*AK94,$AQ94=$AP$3,$AQ$3*AK94,$AQ94=$AP$4,$AQ$4*AK94)</f>
        <v>0</v>
      </c>
      <c r="AY94" s="155" cm="1">
        <f t="array" ref="AY94">_xlfn.IFS($AQ94=$AP$1,$AQ$1*AL94,$AQ94=$AP$2,$AQ$2*AL94,$AQ94=$AP$3,$AQ$3*AL94,$AQ94=$AP$4,$AQ$4*AL94)</f>
        <v>0</v>
      </c>
      <c r="AZ94" s="155" cm="1">
        <f t="array" ref="AZ94">_xlfn.IFS($AQ94=$AP$1,$AQ$1*AM94,$AQ94=$AP$2,$AQ$2*AM94,$AQ94=$AP$3,$AQ$3*AM94,$AQ94=$AP$4,$AQ$4*AM94)</f>
        <v>0</v>
      </c>
      <c r="BA94" s="155" cm="1">
        <f t="array" ref="BA94">_xlfn.IFS($AQ94=$AP$1,$AQ$1*AN94,$AQ94=$AP$2,$AQ$2*AN94,$AQ94=$AP$3,$AQ$3*AN94,$AQ94=$AP$4,$AQ$4*AN94)</f>
        <v>0</v>
      </c>
      <c r="BB94" s="155"/>
      <c r="BC94" s="155" t="str">
        <f>Table2[[#This Row],[FN Parent  '#]]</f>
        <v>FN011965</v>
      </c>
      <c r="BD94" s="155">
        <f t="shared" si="41"/>
        <v>0</v>
      </c>
      <c r="BF94" s="155" t="str">
        <f t="shared" si="43"/>
        <v/>
      </c>
      <c r="BG94" s="155" t="str">
        <f t="shared" si="44"/>
        <v/>
      </c>
      <c r="BH94" s="155" t="str">
        <f t="shared" si="45"/>
        <v/>
      </c>
      <c r="BI94" s="155" t="str">
        <f t="shared" si="46"/>
        <v/>
      </c>
      <c r="BJ94" s="155" t="str">
        <f t="shared" si="47"/>
        <v/>
      </c>
      <c r="BK94" s="155" t="str">
        <f t="shared" si="48"/>
        <v/>
      </c>
      <c r="BL94" s="155" t="str">
        <f t="shared" si="49"/>
        <v/>
      </c>
      <c r="BM94" s="155" t="str">
        <f t="shared" si="50"/>
        <v/>
      </c>
      <c r="BN94" s="155" t="str">
        <f t="shared" si="51"/>
        <v/>
      </c>
      <c r="BO94" s="155" t="str">
        <f t="shared" si="52"/>
        <v/>
      </c>
      <c r="BP94" s="155">
        <f t="shared" si="53"/>
        <v>0</v>
      </c>
      <c r="BR94" s="206" t="s">
        <v>266</v>
      </c>
      <c r="BS94" s="155">
        <f t="shared" si="29"/>
        <v>172.89950703008137</v>
      </c>
      <c r="BT94" s="155">
        <f t="shared" si="30"/>
        <v>3</v>
      </c>
    </row>
    <row r="95" spans="1:72">
      <c r="A95" s="155" t="s">
        <v>253</v>
      </c>
      <c r="B95" s="155" t="s">
        <v>1241</v>
      </c>
      <c r="C95" s="155" t="s">
        <v>207</v>
      </c>
      <c r="D95" s="155">
        <v>13.5</v>
      </c>
      <c r="E95" s="189">
        <v>0</v>
      </c>
      <c r="F95" s="67">
        <v>0</v>
      </c>
      <c r="G95" s="67">
        <v>0</v>
      </c>
      <c r="H95" s="67">
        <v>0</v>
      </c>
      <c r="I95" s="67">
        <v>0</v>
      </c>
      <c r="J95" s="67">
        <v>670.96924999999999</v>
      </c>
      <c r="K95" s="67">
        <v>670.96924999999999</v>
      </c>
      <c r="L95" s="67">
        <v>670.96924999999999</v>
      </c>
      <c r="M95" s="67">
        <v>0</v>
      </c>
      <c r="N95" s="67">
        <v>0</v>
      </c>
      <c r="O95" s="67">
        <v>0</v>
      </c>
      <c r="Q95" s="202" t="s">
        <v>253</v>
      </c>
      <c r="R95" s="202" t="s">
        <v>1241</v>
      </c>
      <c r="S95" s="202" t="s">
        <v>207</v>
      </c>
      <c r="T95" s="76">
        <f>SUM($E95:F96)</f>
        <v>0</v>
      </c>
      <c r="U95" s="76">
        <f>SUM($E95:G96)</f>
        <v>0</v>
      </c>
      <c r="V95" s="76">
        <f>SUM($E95:H96)</f>
        <v>0</v>
      </c>
      <c r="W95" s="76">
        <f>SUM($E95:I96)</f>
        <v>423.64411999999999</v>
      </c>
      <c r="X95" s="76">
        <f>SUM($E95:J96)</f>
        <v>2376.5457500000002</v>
      </c>
      <c r="Y95" s="76">
        <f>SUM($E95:K96)</f>
        <v>4109.7087199999996</v>
      </c>
      <c r="Z95" s="76">
        <f>SUM($E95:L96)</f>
        <v>8349.9917700000005</v>
      </c>
      <c r="AA95" s="76">
        <f>SUM($E95:M96)</f>
        <v>15786.912800000002</v>
      </c>
      <c r="AB95" s="76">
        <f>SUM($E95:N96)</f>
        <v>16037.991300000002</v>
      </c>
      <c r="AC95" s="76">
        <f>SUM($E95:O96)</f>
        <v>16037.991300000002</v>
      </c>
      <c r="AE95" s="76">
        <f t="shared" si="31"/>
        <v>0</v>
      </c>
      <c r="AF95" s="76">
        <f t="shared" si="32"/>
        <v>0</v>
      </c>
      <c r="AG95" s="76">
        <f t="shared" si="33"/>
        <v>0</v>
      </c>
      <c r="AH95" s="76">
        <f t="shared" si="34"/>
        <v>450.89810409895517</v>
      </c>
      <c r="AI95" s="76">
        <f t="shared" si="35"/>
        <v>2582.5524320082559</v>
      </c>
      <c r="AJ95" s="76">
        <f t="shared" si="36"/>
        <v>4559.7365642655295</v>
      </c>
      <c r="AK95" s="76">
        <f t="shared" si="37"/>
        <v>9458.8970781048301</v>
      </c>
      <c r="AL95" s="76">
        <f t="shared" si="38"/>
        <v>18259.017494420386</v>
      </c>
      <c r="AM95" s="76">
        <f t="shared" si="39"/>
        <v>18938.950556579068</v>
      </c>
      <c r="AN95" s="76">
        <f t="shared" si="40"/>
        <v>19336.668518267226</v>
      </c>
      <c r="AP95" s="202" t="s">
        <v>253</v>
      </c>
      <c r="AQ95" s="202" t="s">
        <v>207</v>
      </c>
      <c r="AR95" s="155" cm="1">
        <f t="array" ref="AR95">_xlfn.IFS($AQ95=$AP$1,$AQ$1*AE95,$AQ95=$AP$2,$AQ$2*AE95,$AQ95=$AP$3,$AQ$3*AE95,$AQ95=$AP$4,$AQ$4*AE95)</f>
        <v>0</v>
      </c>
      <c r="AS95" s="155" cm="1">
        <f t="array" ref="AS95">_xlfn.IFS($AQ95=$AP$1,$AQ$1*AF95,$AQ95=$AP$2,$AQ$2*AF95,$AQ95=$AP$3,$AQ$3*AF95,$AQ95=$AP$4,$AQ$4*AF95)</f>
        <v>0</v>
      </c>
      <c r="AT95" s="155" cm="1">
        <f t="array" ref="AT95">_xlfn.IFS($AQ95=$AP$1,$AQ$1*AG95,$AQ95=$AP$2,$AQ$2*AG95,$AQ95=$AP$3,$AQ$3*AG95,$AQ95=$AP$4,$AQ$4*AG95)</f>
        <v>0</v>
      </c>
      <c r="AU95" s="155" cm="1">
        <f t="array" ref="AU95">_xlfn.IFS($AQ95=$AP$1,$AQ$1*AH95,$AQ95=$AP$2,$AQ$2*AH95,$AQ95=$AP$3,$AQ$3*AH95,$AQ95=$AP$4,$AQ$4*AH95)</f>
        <v>36.338819627031704</v>
      </c>
      <c r="AV95" s="155" cm="1">
        <f t="array" ref="AV95">_xlfn.IFS($AQ95=$AP$1,$AQ$1*AI95,$AQ95=$AP$2,$AQ$2*AI95,$AQ95=$AP$3,$AQ$3*AI95,$AQ95=$AP$4,$AQ$4*AI95)</f>
        <v>208.13329253543324</v>
      </c>
      <c r="AW95" s="155" cm="1">
        <f t="array" ref="AW95">_xlfn.IFS($AQ95=$AP$1,$AQ$1*AJ95,$AQ95=$AP$2,$AQ$2*AJ95,$AQ95=$AP$3,$AQ$3*AJ95,$AQ95=$AP$4,$AQ$4*AJ95)</f>
        <v>367.47868986218322</v>
      </c>
      <c r="AX95" s="155" cm="1">
        <f t="array" ref="AX95">_xlfn.IFS($AQ95=$AP$1,$AQ$1*AK95,$AQ95=$AP$2,$AQ$2*AK95,$AQ95=$AP$3,$AQ$3*AK95,$AQ95=$AP$4,$AQ$4*AK95)</f>
        <v>762.31226449440544</v>
      </c>
      <c r="AY95" s="155" cm="1">
        <f t="array" ref="AY95">_xlfn.IFS($AQ95=$AP$1,$AQ$1*AL95,$AQ95=$AP$2,$AQ$2*AL95,$AQ95=$AP$3,$AQ$3*AL95,$AQ95=$AP$4,$AQ$4*AL95)</f>
        <v>1471.5323423736177</v>
      </c>
      <c r="AZ95" s="155" cm="1">
        <f t="array" ref="AZ95">_xlfn.IFS($AQ95=$AP$1,$AQ$1*AM95,$AQ95=$AP$2,$AQ$2*AM95,$AQ95=$AP$3,$AQ$3*AM95,$AQ95=$AP$4,$AQ$4*AM95)</f>
        <v>1526.3295674664453</v>
      </c>
      <c r="BA95" s="155" cm="1">
        <f t="array" ref="BA95">_xlfn.IFS($AQ95=$AP$1,$AQ$1*AN95,$AQ95=$AP$2,$AQ$2*AN95,$AQ95=$AP$3,$AQ$3*AN95,$AQ95=$AP$4,$AQ$4*AN95)</f>
        <v>1558.3824883832406</v>
      </c>
      <c r="BB95" s="155">
        <f>Table2[[#This Row],[FINAL Project System Capacity (MW)]]</f>
        <v>13.5</v>
      </c>
      <c r="BC95" s="155" t="str">
        <f>Table2[[#This Row],[FN Parent  '#]]</f>
        <v>FN011965</v>
      </c>
      <c r="BD95" s="155">
        <f t="shared" si="41"/>
        <v>13.5</v>
      </c>
      <c r="BF95" s="155">
        <f t="shared" si="43"/>
        <v>0</v>
      </c>
      <c r="BG95" s="155">
        <f t="shared" si="44"/>
        <v>0</v>
      </c>
      <c r="BH95" s="155">
        <f t="shared" si="45"/>
        <v>0</v>
      </c>
      <c r="BI95" s="155">
        <f t="shared" si="46"/>
        <v>2.6917644168171631</v>
      </c>
      <c r="BJ95" s="155">
        <f t="shared" si="47"/>
        <v>15.41728092855061</v>
      </c>
      <c r="BK95" s="155">
        <f t="shared" si="48"/>
        <v>27.220643693495052</v>
      </c>
      <c r="BL95" s="155">
        <f t="shared" si="49"/>
        <v>56.467575147733733</v>
      </c>
      <c r="BM95" s="155">
        <f t="shared" si="50"/>
        <v>109.00239573137908</v>
      </c>
      <c r="BN95" s="155">
        <f t="shared" si="51"/>
        <v>113.06144944195891</v>
      </c>
      <c r="BO95" s="155">
        <f t="shared" si="52"/>
        <v>115.43573988024004</v>
      </c>
      <c r="BP95" s="155">
        <f t="shared" si="53"/>
        <v>35.733721625046321</v>
      </c>
      <c r="BR95" s="206" t="s">
        <v>214</v>
      </c>
      <c r="BS95" s="155">
        <f t="shared" si="29"/>
        <v>27.365709704195883</v>
      </c>
      <c r="BT95" s="155">
        <f t="shared" si="30"/>
        <v>32</v>
      </c>
    </row>
    <row r="96" spans="1:72">
      <c r="A96" s="155" t="s">
        <v>253</v>
      </c>
      <c r="B96" s="155" t="s">
        <v>1241</v>
      </c>
      <c r="C96" s="155" t="s">
        <v>207</v>
      </c>
      <c r="D96" s="155">
        <v>13.5</v>
      </c>
      <c r="E96" s="189">
        <v>0</v>
      </c>
      <c r="F96" s="67">
        <v>0</v>
      </c>
      <c r="G96" s="67">
        <v>0</v>
      </c>
      <c r="H96" s="67">
        <v>0</v>
      </c>
      <c r="I96" s="67">
        <v>423.64411999999999</v>
      </c>
      <c r="J96" s="67">
        <v>1281.93238</v>
      </c>
      <c r="K96" s="67">
        <v>1062.19372</v>
      </c>
      <c r="L96" s="67">
        <v>3569.3137999999999</v>
      </c>
      <c r="M96" s="67">
        <v>7436.9210300000004</v>
      </c>
      <c r="N96" s="67">
        <v>251.07849999999999</v>
      </c>
      <c r="O96" s="67">
        <v>0</v>
      </c>
      <c r="Q96" s="201" t="s">
        <v>253</v>
      </c>
      <c r="R96" s="201" t="s">
        <v>1241</v>
      </c>
      <c r="S96" s="201" t="s">
        <v>207</v>
      </c>
      <c r="U96" s="155"/>
      <c r="V96" s="155"/>
      <c r="W96" s="155"/>
      <c r="X96" s="155"/>
      <c r="Y96" s="155"/>
      <c r="Z96" s="155"/>
      <c r="AA96" s="155"/>
      <c r="AB96" s="155"/>
      <c r="AC96" s="155"/>
      <c r="AE96" s="76">
        <f t="shared" si="31"/>
        <v>0</v>
      </c>
      <c r="AF96" s="76">
        <f t="shared" si="32"/>
        <v>0</v>
      </c>
      <c r="AG96" s="76">
        <f t="shared" si="33"/>
        <v>0</v>
      </c>
      <c r="AH96" s="76">
        <f t="shared" si="34"/>
        <v>0</v>
      </c>
      <c r="AI96" s="76">
        <f t="shared" si="35"/>
        <v>0</v>
      </c>
      <c r="AJ96" s="76">
        <f t="shared" si="36"/>
        <v>0</v>
      </c>
      <c r="AK96" s="76">
        <f t="shared" si="37"/>
        <v>0</v>
      </c>
      <c r="AL96" s="76">
        <f t="shared" si="38"/>
        <v>0</v>
      </c>
      <c r="AM96" s="76">
        <f t="shared" si="39"/>
        <v>0</v>
      </c>
      <c r="AN96" s="76">
        <f t="shared" si="40"/>
        <v>0</v>
      </c>
      <c r="AP96" s="201" t="s">
        <v>253</v>
      </c>
      <c r="AQ96" s="201" t="s">
        <v>207</v>
      </c>
      <c r="AR96" s="155" cm="1">
        <f t="array" ref="AR96">_xlfn.IFS($AQ96=$AP$1,$AQ$1*AE96,$AQ96=$AP$2,$AQ$2*AE96,$AQ96=$AP$3,$AQ$3*AE96,$AQ96=$AP$4,$AQ$4*AE96)</f>
        <v>0</v>
      </c>
      <c r="AS96" s="155" cm="1">
        <f t="array" ref="AS96">_xlfn.IFS($AQ96=$AP$1,$AQ$1*AF96,$AQ96=$AP$2,$AQ$2*AF96,$AQ96=$AP$3,$AQ$3*AF96,$AQ96=$AP$4,$AQ$4*AF96)</f>
        <v>0</v>
      </c>
      <c r="AT96" s="155" cm="1">
        <f t="array" ref="AT96">_xlfn.IFS($AQ96=$AP$1,$AQ$1*AG96,$AQ96=$AP$2,$AQ$2*AG96,$AQ96=$AP$3,$AQ$3*AG96,$AQ96=$AP$4,$AQ$4*AG96)</f>
        <v>0</v>
      </c>
      <c r="AU96" s="155" cm="1">
        <f t="array" ref="AU96">_xlfn.IFS($AQ96=$AP$1,$AQ$1*AH96,$AQ96=$AP$2,$AQ$2*AH96,$AQ96=$AP$3,$AQ$3*AH96,$AQ96=$AP$4,$AQ$4*AH96)</f>
        <v>0</v>
      </c>
      <c r="AV96" s="155" cm="1">
        <f t="array" ref="AV96">_xlfn.IFS($AQ96=$AP$1,$AQ$1*AI96,$AQ96=$AP$2,$AQ$2*AI96,$AQ96=$AP$3,$AQ$3*AI96,$AQ96=$AP$4,$AQ$4*AI96)</f>
        <v>0</v>
      </c>
      <c r="AW96" s="155" cm="1">
        <f t="array" ref="AW96">_xlfn.IFS($AQ96=$AP$1,$AQ$1*AJ96,$AQ96=$AP$2,$AQ$2*AJ96,$AQ96=$AP$3,$AQ$3*AJ96,$AQ96=$AP$4,$AQ$4*AJ96)</f>
        <v>0</v>
      </c>
      <c r="AX96" s="155" cm="1">
        <f t="array" ref="AX96">_xlfn.IFS($AQ96=$AP$1,$AQ$1*AK96,$AQ96=$AP$2,$AQ$2*AK96,$AQ96=$AP$3,$AQ$3*AK96,$AQ96=$AP$4,$AQ$4*AK96)</f>
        <v>0</v>
      </c>
      <c r="AY96" s="155" cm="1">
        <f t="array" ref="AY96">_xlfn.IFS($AQ96=$AP$1,$AQ$1*AL96,$AQ96=$AP$2,$AQ$2*AL96,$AQ96=$AP$3,$AQ$3*AL96,$AQ96=$AP$4,$AQ$4*AL96)</f>
        <v>0</v>
      </c>
      <c r="AZ96" s="155" cm="1">
        <f t="array" ref="AZ96">_xlfn.IFS($AQ96=$AP$1,$AQ$1*AM96,$AQ96=$AP$2,$AQ$2*AM96,$AQ96=$AP$3,$AQ$3*AM96,$AQ96=$AP$4,$AQ$4*AM96)</f>
        <v>0</v>
      </c>
      <c r="BA96" s="155" cm="1">
        <f t="array" ref="BA96">_xlfn.IFS($AQ96=$AP$1,$AQ$1*AN96,$AQ96=$AP$2,$AQ$2*AN96,$AQ96=$AP$3,$AQ$3*AN96,$AQ96=$AP$4,$AQ$4*AN96)</f>
        <v>0</v>
      </c>
      <c r="BB96" s="155"/>
      <c r="BC96" s="155" t="str">
        <f>Table2[[#This Row],[FN Parent  '#]]</f>
        <v>FN011965</v>
      </c>
      <c r="BD96" s="155">
        <f t="shared" si="41"/>
        <v>0</v>
      </c>
      <c r="BF96" s="155" t="str">
        <f t="shared" si="43"/>
        <v/>
      </c>
      <c r="BG96" s="155" t="str">
        <f t="shared" si="44"/>
        <v/>
      </c>
      <c r="BH96" s="155" t="str">
        <f t="shared" si="45"/>
        <v/>
      </c>
      <c r="BI96" s="155" t="str">
        <f t="shared" si="46"/>
        <v/>
      </c>
      <c r="BJ96" s="155" t="str">
        <f t="shared" si="47"/>
        <v/>
      </c>
      <c r="BK96" s="155" t="str">
        <f t="shared" si="48"/>
        <v/>
      </c>
      <c r="BL96" s="155" t="str">
        <f t="shared" si="49"/>
        <v/>
      </c>
      <c r="BM96" s="155" t="str">
        <f t="shared" si="50"/>
        <v/>
      </c>
      <c r="BN96" s="155" t="str">
        <f t="shared" si="51"/>
        <v/>
      </c>
      <c r="BO96" s="155" t="str">
        <f t="shared" si="52"/>
        <v/>
      </c>
      <c r="BP96" s="155">
        <f t="shared" si="53"/>
        <v>0</v>
      </c>
      <c r="BR96" s="206" t="s">
        <v>324</v>
      </c>
      <c r="BS96" s="155">
        <f t="shared" si="29"/>
        <v>37.110899722959367</v>
      </c>
      <c r="BT96" s="155">
        <f t="shared" si="30"/>
        <v>3</v>
      </c>
    </row>
    <row r="97" spans="1:72">
      <c r="A97" s="155" t="s">
        <v>255</v>
      </c>
      <c r="B97" s="155" t="s">
        <v>1222</v>
      </c>
      <c r="C97" s="155" t="s">
        <v>208</v>
      </c>
      <c r="D97" s="155">
        <v>9.4</v>
      </c>
      <c r="E97" s="189">
        <v>737.37907999999993</v>
      </c>
      <c r="F97" s="67">
        <v>1071.56313</v>
      </c>
      <c r="G97" s="67">
        <v>875.14034000000004</v>
      </c>
      <c r="H97" s="67">
        <v>505.81258000000008</v>
      </c>
      <c r="I97" s="67">
        <v>0</v>
      </c>
      <c r="J97" s="67">
        <v>0</v>
      </c>
      <c r="K97" s="67">
        <v>0</v>
      </c>
      <c r="L97" s="67">
        <v>0</v>
      </c>
      <c r="M97" s="67">
        <v>0</v>
      </c>
      <c r="N97" s="67">
        <v>0</v>
      </c>
      <c r="O97" s="67">
        <v>0</v>
      </c>
      <c r="Q97" s="202" t="s">
        <v>255</v>
      </c>
      <c r="R97" s="202" t="s">
        <v>1222</v>
      </c>
      <c r="S97" s="202" t="s">
        <v>208</v>
      </c>
      <c r="T97" s="76">
        <f>SUM($E97:F97)</f>
        <v>1808.9422099999999</v>
      </c>
      <c r="U97" s="76">
        <f>SUM($E97:G97)</f>
        <v>2684.0825500000001</v>
      </c>
      <c r="V97" s="76">
        <f>SUM($E97:H97)</f>
        <v>3189.8951300000003</v>
      </c>
      <c r="W97" s="76">
        <f>SUM($E97:I97)</f>
        <v>3189.8951300000003</v>
      </c>
      <c r="X97" s="76">
        <f>SUM($E97:J97)</f>
        <v>3189.8951300000003</v>
      </c>
      <c r="Y97" s="76">
        <f>SUM($E97:K97)</f>
        <v>3189.8951300000003</v>
      </c>
      <c r="Z97" s="76">
        <f>SUM($E97:L97)</f>
        <v>3189.8951300000003</v>
      </c>
      <c r="AA97" s="76">
        <f>SUM($E97:M97)</f>
        <v>3189.8951300000003</v>
      </c>
      <c r="AB97" s="76">
        <f>SUM($E97:N97)</f>
        <v>3189.8951300000003</v>
      </c>
      <c r="AC97" s="76">
        <f>SUM($E97:O97)</f>
        <v>3189.8951300000003</v>
      </c>
      <c r="AE97" s="76">
        <f t="shared" si="31"/>
        <v>1808.9422099999999</v>
      </c>
      <c r="AF97" s="76">
        <f t="shared" si="32"/>
        <v>2740.4482835499998</v>
      </c>
      <c r="AG97" s="76">
        <f t="shared" si="33"/>
        <v>3325.2774692123294</v>
      </c>
      <c r="AH97" s="76">
        <f t="shared" si="34"/>
        <v>3395.1082960657882</v>
      </c>
      <c r="AI97" s="76">
        <f t="shared" si="35"/>
        <v>3466.4055702831693</v>
      </c>
      <c r="AJ97" s="76">
        <f t="shared" si="36"/>
        <v>3539.2000872591152</v>
      </c>
      <c r="AK97" s="76">
        <f t="shared" si="37"/>
        <v>3613.5232890915563</v>
      </c>
      <c r="AL97" s="76">
        <f t="shared" si="38"/>
        <v>3689.4072781624786</v>
      </c>
      <c r="AM97" s="76">
        <f t="shared" si="39"/>
        <v>3766.8848310038902</v>
      </c>
      <c r="AN97" s="76">
        <f t="shared" si="40"/>
        <v>3845.989412454971</v>
      </c>
      <c r="AP97" s="202" t="s">
        <v>255</v>
      </c>
      <c r="AQ97" s="202" t="s">
        <v>208</v>
      </c>
      <c r="AR97" s="155" cm="1">
        <f t="array" ref="AR97">_xlfn.IFS($AQ97=$AP$1,$AQ$1*AE97,$AQ97=$AP$2,$AQ$2*AE97,$AQ97=$AP$3,$AQ$3*AE97,$AQ97=$AP$4,$AQ$4*AE97)</f>
        <v>255.5902514007756</v>
      </c>
      <c r="AS97" s="155" cm="1">
        <f t="array" ref="AS97">_xlfn.IFS($AQ97=$AP$1,$AQ$1*AF97,$AQ97=$AP$2,$AQ$2*AF97,$AQ97=$AP$3,$AQ$3*AF97,$AQ97=$AP$4,$AQ$4*AF97)</f>
        <v>387.20521964235024</v>
      </c>
      <c r="AT97" s="155" cm="1">
        <f t="array" ref="AT97">_xlfn.IFS($AQ97=$AP$1,$AQ$1*AG97,$AQ97=$AP$2,$AQ$2*AG97,$AQ97=$AP$3,$AQ$3*AG97,$AQ97=$AP$4,$AQ$4*AG97)</f>
        <v>469.83728923729086</v>
      </c>
      <c r="AU97" s="155" cm="1">
        <f t="array" ref="AU97">_xlfn.IFS($AQ97=$AP$1,$AQ$1*AH97,$AQ97=$AP$2,$AQ$2*AH97,$AQ97=$AP$3,$AQ$3*AH97,$AQ97=$AP$4,$AQ$4*AH97)</f>
        <v>479.70387231127393</v>
      </c>
      <c r="AV97" s="155" cm="1">
        <f t="array" ref="AV97">_xlfn.IFS($AQ97=$AP$1,$AQ$1*AI97,$AQ97=$AP$2,$AQ$2*AI97,$AQ97=$AP$3,$AQ$3*AI97,$AQ97=$AP$4,$AQ$4*AI97)</f>
        <v>489.77765362981063</v>
      </c>
      <c r="AW97" s="155" cm="1">
        <f t="array" ref="AW97">_xlfn.IFS($AQ97=$AP$1,$AQ$1*AJ97,$AQ97=$AP$2,$AQ$2*AJ97,$AQ97=$AP$3,$AQ$3*AJ97,$AQ97=$AP$4,$AQ$4*AJ97)</f>
        <v>500.06298435603657</v>
      </c>
      <c r="AX97" s="155" cm="1">
        <f t="array" ref="AX97">_xlfn.IFS($AQ97=$AP$1,$AQ$1*AK97,$AQ97=$AP$2,$AQ$2*AK97,$AQ97=$AP$3,$AQ$3*AK97,$AQ97=$AP$4,$AQ$4*AK97)</f>
        <v>510.56430702751328</v>
      </c>
      <c r="AY97" s="155" cm="1">
        <f t="array" ref="AY97">_xlfn.IFS($AQ97=$AP$1,$AQ$1*AL97,$AQ97=$AP$2,$AQ$2*AL97,$AQ97=$AP$3,$AQ$3*AL97,$AQ97=$AP$4,$AQ$4*AL97)</f>
        <v>521.28615747509104</v>
      </c>
      <c r="AZ97" s="155" cm="1">
        <f t="array" ref="AZ97">_xlfn.IFS($AQ97=$AP$1,$AQ$1*AM97,$AQ97=$AP$2,$AQ$2*AM97,$AQ97=$AP$3,$AQ$3*AM97,$AQ97=$AP$4,$AQ$4*AM97)</f>
        <v>532.23316678206788</v>
      </c>
      <c r="BA97" s="155" cm="1">
        <f t="array" ref="BA97">_xlfn.IFS($AQ97=$AP$1,$AQ$1*AN97,$AQ97=$AP$2,$AQ$2*AN97,$AQ97=$AP$3,$AQ$3*AN97,$AQ97=$AP$4,$AQ$4*AN97)</f>
        <v>543.41006328449112</v>
      </c>
      <c r="BB97" s="155">
        <f>Table2[[#This Row],[FINAL Project System Capacity (MW)]]</f>
        <v>9.4</v>
      </c>
      <c r="BC97" s="155" t="str">
        <f>Table2[[#This Row],[FN Parent  '#]]</f>
        <v>FN011920</v>
      </c>
      <c r="BD97" s="155">
        <f t="shared" si="41"/>
        <v>9.4</v>
      </c>
      <c r="BE97" s="155">
        <f t="shared" si="42"/>
        <v>9.4</v>
      </c>
      <c r="BF97" s="155">
        <f t="shared" si="43"/>
        <v>27.190452276678254</v>
      </c>
      <c r="BG97" s="155">
        <f t="shared" si="44"/>
        <v>41.192044642803218</v>
      </c>
      <c r="BH97" s="155">
        <f t="shared" si="45"/>
        <v>49.982690344392644</v>
      </c>
      <c r="BI97" s="155">
        <f t="shared" si="46"/>
        <v>51.032326841624887</v>
      </c>
      <c r="BJ97" s="155">
        <f t="shared" si="47"/>
        <v>52.104005705299002</v>
      </c>
      <c r="BK97" s="155">
        <f t="shared" si="48"/>
        <v>53.198189825110269</v>
      </c>
      <c r="BL97" s="155">
        <f t="shared" si="49"/>
        <v>54.31535181143758</v>
      </c>
      <c r="BM97" s="155">
        <f t="shared" si="50"/>
        <v>55.455974199477765</v>
      </c>
      <c r="BN97" s="155">
        <f t="shared" si="51"/>
        <v>56.620549657666793</v>
      </c>
      <c r="BO97" s="155">
        <f t="shared" si="52"/>
        <v>57.809581200477773</v>
      </c>
      <c r="BP97" s="155">
        <f t="shared" si="53"/>
        <v>48.436747831611939</v>
      </c>
      <c r="BR97" s="206" t="s">
        <v>326</v>
      </c>
      <c r="BS97" s="155">
        <f t="shared" si="29"/>
        <v>21.083527496081032</v>
      </c>
      <c r="BT97" s="155">
        <f t="shared" si="30"/>
        <v>4.8</v>
      </c>
    </row>
    <row r="98" spans="1:72">
      <c r="A98" s="155" t="s">
        <v>255</v>
      </c>
      <c r="B98" s="155" t="s">
        <v>1222</v>
      </c>
      <c r="C98" s="155" t="s">
        <v>207</v>
      </c>
      <c r="D98" s="155">
        <v>9.4</v>
      </c>
      <c r="E98" s="189">
        <v>1183.2639200000001</v>
      </c>
      <c r="F98" s="67">
        <v>766.76334000000008</v>
      </c>
      <c r="G98" s="67">
        <v>1246.1692800000001</v>
      </c>
      <c r="H98" s="67">
        <v>526.53431999999998</v>
      </c>
      <c r="I98" s="67">
        <v>0</v>
      </c>
      <c r="J98" s="67">
        <v>0</v>
      </c>
      <c r="K98" s="67">
        <v>0</v>
      </c>
      <c r="L98" s="67">
        <v>0</v>
      </c>
      <c r="M98" s="67">
        <v>0</v>
      </c>
      <c r="N98" s="67">
        <v>0</v>
      </c>
      <c r="O98" s="67">
        <v>0</v>
      </c>
      <c r="Q98" s="201" t="s">
        <v>255</v>
      </c>
      <c r="R98" s="201" t="s">
        <v>1222</v>
      </c>
      <c r="S98" s="201" t="s">
        <v>207</v>
      </c>
      <c r="T98" s="76">
        <f>SUM($E98:F98)</f>
        <v>1950.0272600000003</v>
      </c>
      <c r="U98" s="76">
        <f>SUM($E98:G98)</f>
        <v>3196.1965400000004</v>
      </c>
      <c r="V98" s="76">
        <f>SUM($E98:H98)</f>
        <v>3722.7308600000006</v>
      </c>
      <c r="W98" s="76">
        <f>SUM($E98:I98)</f>
        <v>3722.7308600000006</v>
      </c>
      <c r="X98" s="76">
        <f>SUM($E98:J98)</f>
        <v>3722.7308600000006</v>
      </c>
      <c r="Y98" s="76">
        <f>SUM($E98:K98)</f>
        <v>3722.7308600000006</v>
      </c>
      <c r="Z98" s="76">
        <f>SUM($E98:L98)</f>
        <v>3722.7308600000006</v>
      </c>
      <c r="AA98" s="76">
        <f>SUM($E98:M98)</f>
        <v>3722.7308600000006</v>
      </c>
      <c r="AB98" s="76">
        <f>SUM($E98:N98)</f>
        <v>3722.7308600000006</v>
      </c>
      <c r="AC98" s="76">
        <f>SUM($E98:O98)</f>
        <v>3722.7308600000006</v>
      </c>
      <c r="AE98" s="76">
        <f t="shared" si="31"/>
        <v>1950.0272600000003</v>
      </c>
      <c r="AF98" s="76">
        <f t="shared" si="32"/>
        <v>3263.3166673400001</v>
      </c>
      <c r="AG98" s="76">
        <f t="shared" si="33"/>
        <v>3880.7272804292597</v>
      </c>
      <c r="AH98" s="76">
        <f t="shared" si="34"/>
        <v>3962.2225533182736</v>
      </c>
      <c r="AI98" s="76">
        <f t="shared" si="35"/>
        <v>4045.4292269379566</v>
      </c>
      <c r="AJ98" s="76">
        <f t="shared" si="36"/>
        <v>4130.3832407036534</v>
      </c>
      <c r="AK98" s="76">
        <f t="shared" si="37"/>
        <v>4217.1212887584297</v>
      </c>
      <c r="AL98" s="76">
        <f t="shared" si="38"/>
        <v>4305.6808358223561</v>
      </c>
      <c r="AM98" s="76">
        <f t="shared" si="39"/>
        <v>4396.1001333746253</v>
      </c>
      <c r="AN98" s="76">
        <f t="shared" si="40"/>
        <v>4488.4182361754911</v>
      </c>
      <c r="AP98" s="201" t="s">
        <v>255</v>
      </c>
      <c r="AQ98" s="201" t="s">
        <v>207</v>
      </c>
      <c r="AR98" s="155" cm="1">
        <f t="array" ref="AR98">_xlfn.IFS($AQ98=$AP$1,$AQ$1*AE98,$AQ98=$AP$2,$AQ$2*AE98,$AQ98=$AP$3,$AQ$3*AE98,$AQ98=$AP$4,$AQ$4*AE98)</f>
        <v>157.15676829145281</v>
      </c>
      <c r="AS98" s="155" cm="1">
        <f t="array" ref="AS98">_xlfn.IFS($AQ98=$AP$1,$AQ$1*AF98,$AQ98=$AP$2,$AQ$2*AF98,$AQ98=$AP$3,$AQ$3*AF98,$AQ98=$AP$4,$AQ$4*AF98)</f>
        <v>262.99750360966152</v>
      </c>
      <c r="AT98" s="155" cm="1">
        <f t="array" ref="AT98">_xlfn.IFS($AQ98=$AP$1,$AQ$1*AG98,$AQ98=$AP$2,$AQ$2*AG98,$AQ98=$AP$3,$AQ$3*AG98,$AQ98=$AP$4,$AQ$4*AG98)</f>
        <v>312.75591399308996</v>
      </c>
      <c r="AU98" s="155" cm="1">
        <f t="array" ref="AU98">_xlfn.IFS($AQ98=$AP$1,$AQ$1*AH98,$AQ98=$AP$2,$AQ$2*AH98,$AQ98=$AP$3,$AQ$3*AH98,$AQ98=$AP$4,$AQ$4*AH98)</f>
        <v>319.3237881869448</v>
      </c>
      <c r="AV98" s="155" cm="1">
        <f t="array" ref="AV98">_xlfn.IFS($AQ98=$AP$1,$AQ$1*AI98,$AQ98=$AP$2,$AQ$2*AI98,$AQ98=$AP$3,$AQ$3*AI98,$AQ98=$AP$4,$AQ$4*AI98)</f>
        <v>326.02958773887059</v>
      </c>
      <c r="AW98" s="155" cm="1">
        <f t="array" ref="AW98">_xlfn.IFS($AQ98=$AP$1,$AQ$1*AJ98,$AQ98=$AP$2,$AQ$2*AJ98,$AQ98=$AP$3,$AQ$3*AJ98,$AQ98=$AP$4,$AQ$4*AJ98)</f>
        <v>332.87620908138689</v>
      </c>
      <c r="AX98" s="155" cm="1">
        <f t="array" ref="AX98">_xlfn.IFS($AQ98=$AP$1,$AQ$1*AK98,$AQ98=$AP$2,$AQ$2*AK98,$AQ98=$AP$3,$AQ$3*AK98,$AQ98=$AP$4,$AQ$4*AK98)</f>
        <v>339.86660947209594</v>
      </c>
      <c r="AY98" s="155" cm="1">
        <f t="array" ref="AY98">_xlfn.IFS($AQ98=$AP$1,$AQ$1*AL98,$AQ98=$AP$2,$AQ$2*AL98,$AQ98=$AP$3,$AQ$3*AL98,$AQ98=$AP$4,$AQ$4*AL98)</f>
        <v>347.00380827100992</v>
      </c>
      <c r="AZ98" s="155" cm="1">
        <f t="array" ref="AZ98">_xlfn.IFS($AQ98=$AP$1,$AQ$1*AM98,$AQ98=$AP$2,$AQ$2*AM98,$AQ98=$AP$3,$AQ$3*AM98,$AQ98=$AP$4,$AQ$4*AM98)</f>
        <v>354.29088824470108</v>
      </c>
      <c r="BA98" s="155" cm="1">
        <f t="array" ref="BA98">_xlfn.IFS($AQ98=$AP$1,$AQ$1*AN98,$AQ98=$AP$2,$AQ$2*AN98,$AQ98=$AP$3,$AQ$3*AN98,$AQ98=$AP$4,$AQ$4*AN98)</f>
        <v>361.7309968978397</v>
      </c>
      <c r="BB98" s="155">
        <f>Table2[[#This Row],[FINAL Project System Capacity (MW)]]</f>
        <v>9.4</v>
      </c>
      <c r="BC98" s="155" t="str">
        <f>Table2[[#This Row],[FN Parent  '#]]</f>
        <v>FN011920</v>
      </c>
      <c r="BD98" s="155">
        <f t="shared" si="41"/>
        <v>9.4</v>
      </c>
      <c r="BF98" s="155">
        <f t="shared" si="43"/>
        <v>16.718805137388596</v>
      </c>
      <c r="BG98" s="155">
        <f t="shared" si="44"/>
        <v>27.978457830815053</v>
      </c>
      <c r="BH98" s="155">
        <f t="shared" si="45"/>
        <v>33.271905743945737</v>
      </c>
      <c r="BI98" s="155">
        <f t="shared" si="46"/>
        <v>33.970615764568592</v>
      </c>
      <c r="BJ98" s="155">
        <f t="shared" si="47"/>
        <v>34.683998695624531</v>
      </c>
      <c r="BK98" s="155">
        <f t="shared" si="48"/>
        <v>35.412362668232646</v>
      </c>
      <c r="BL98" s="155">
        <f t="shared" si="49"/>
        <v>36.156022284265525</v>
      </c>
      <c r="BM98" s="155">
        <f t="shared" si="50"/>
        <v>36.915298752235095</v>
      </c>
      <c r="BN98" s="155">
        <f t="shared" si="51"/>
        <v>37.690520026032026</v>
      </c>
      <c r="BO98" s="155">
        <f t="shared" si="52"/>
        <v>38.482020946578693</v>
      </c>
      <c r="BP98" s="155">
        <f t="shared" si="53"/>
        <v>32.129106693954085</v>
      </c>
      <c r="BR98" s="206" t="s">
        <v>328</v>
      </c>
      <c r="BS98" s="155">
        <f t="shared" si="29"/>
        <v>1.1981773529651205</v>
      </c>
      <c r="BT98" s="155">
        <f t="shared" si="30"/>
        <v>29.5</v>
      </c>
    </row>
    <row r="99" spans="1:72">
      <c r="A99" s="155" t="s">
        <v>256</v>
      </c>
      <c r="B99" s="155" t="s">
        <v>1345</v>
      </c>
      <c r="C99" s="155" t="s">
        <v>208</v>
      </c>
      <c r="D99" s="155">
        <v>5</v>
      </c>
      <c r="E99" s="189">
        <v>0</v>
      </c>
      <c r="F99" s="67">
        <v>0</v>
      </c>
      <c r="G99" s="67">
        <v>0</v>
      </c>
      <c r="H99" s="67">
        <v>240</v>
      </c>
      <c r="I99" s="67">
        <v>940</v>
      </c>
      <c r="J99" s="67">
        <v>1090</v>
      </c>
      <c r="K99" s="67">
        <v>0</v>
      </c>
      <c r="L99" s="67">
        <v>0</v>
      </c>
      <c r="M99" s="67">
        <v>0</v>
      </c>
      <c r="N99" s="67">
        <v>0</v>
      </c>
      <c r="O99" s="67">
        <v>0</v>
      </c>
      <c r="Q99" s="202" t="s">
        <v>256</v>
      </c>
      <c r="R99" s="202" t="s">
        <v>1345</v>
      </c>
      <c r="S99" s="202" t="s">
        <v>208</v>
      </c>
      <c r="T99" s="76">
        <f>SUM($E99:F99)</f>
        <v>0</v>
      </c>
      <c r="U99" s="76">
        <f>SUM($E99:G99)</f>
        <v>0</v>
      </c>
      <c r="V99" s="76">
        <f>SUM($E99:H99)</f>
        <v>240</v>
      </c>
      <c r="W99" s="76">
        <f>SUM($E99:I99)</f>
        <v>1180</v>
      </c>
      <c r="X99" s="76">
        <f>SUM($E99:J99)</f>
        <v>2270</v>
      </c>
      <c r="Y99" s="76">
        <f>SUM($E99:K99)</f>
        <v>2270</v>
      </c>
      <c r="Z99" s="76">
        <f>SUM($E99:L99)</f>
        <v>2270</v>
      </c>
      <c r="AA99" s="76">
        <f>SUM($E99:M99)</f>
        <v>2270</v>
      </c>
      <c r="AB99" s="76">
        <f>SUM($E99:N99)</f>
        <v>2270</v>
      </c>
      <c r="AC99" s="76">
        <f>SUM($E99:O99)</f>
        <v>2270</v>
      </c>
      <c r="AE99" s="76">
        <f t="shared" si="31"/>
        <v>0</v>
      </c>
      <c r="AF99" s="76">
        <f t="shared" si="32"/>
        <v>0</v>
      </c>
      <c r="AG99" s="76">
        <f t="shared" si="33"/>
        <v>250.18583999999993</v>
      </c>
      <c r="AH99" s="76">
        <f t="shared" si="34"/>
        <v>1255.9120679799996</v>
      </c>
      <c r="AI99" s="76">
        <f t="shared" si="35"/>
        <v>2466.7709513518689</v>
      </c>
      <c r="AJ99" s="76">
        <f t="shared" si="36"/>
        <v>2518.5731413302578</v>
      </c>
      <c r="AK99" s="76">
        <f t="shared" si="37"/>
        <v>2571.4631772981929</v>
      </c>
      <c r="AL99" s="76">
        <f t="shared" si="38"/>
        <v>2625.4639040214547</v>
      </c>
      <c r="AM99" s="76">
        <f t="shared" si="39"/>
        <v>2680.5986460059048</v>
      </c>
      <c r="AN99" s="76">
        <f t="shared" si="40"/>
        <v>2736.8912175720284</v>
      </c>
      <c r="AP99" s="202" t="s">
        <v>256</v>
      </c>
      <c r="AQ99" s="202" t="s">
        <v>208</v>
      </c>
      <c r="AR99" s="155" cm="1">
        <f t="array" ref="AR99">_xlfn.IFS($AQ99=$AP$1,$AQ$1*AE99,$AQ99=$AP$2,$AQ$2*AE99,$AQ99=$AP$3,$AQ$3*AE99,$AQ99=$AP$4,$AQ$4*AE99)</f>
        <v>0</v>
      </c>
      <c r="AS99" s="155" cm="1">
        <f t="array" ref="AS99">_xlfn.IFS($AQ99=$AP$1,$AQ$1*AF99,$AQ99=$AP$2,$AQ$2*AF99,$AQ99=$AP$3,$AQ$3*AF99,$AQ99=$AP$4,$AQ$4*AF99)</f>
        <v>0</v>
      </c>
      <c r="AT99" s="155" cm="1">
        <f t="array" ref="AT99">_xlfn.IFS($AQ99=$AP$1,$AQ$1*AG99,$AQ99=$AP$2,$AQ$2*AG99,$AQ99=$AP$3,$AQ$3*AG99,$AQ99=$AP$4,$AQ$4*AG99)</f>
        <v>35.349422103713422</v>
      </c>
      <c r="AU99" s="155" cm="1">
        <f t="array" ref="AU99">_xlfn.IFS($AQ99=$AP$1,$AQ$1*AH99,$AQ99=$AP$2,$AQ$2*AH99,$AQ99=$AP$3,$AQ$3*AH99,$AQ99=$AP$4,$AQ$4*AH99)</f>
        <v>177.45115317546606</v>
      </c>
      <c r="AV99" s="155" cm="1">
        <f t="array" ref="AV99">_xlfn.IFS($AQ99=$AP$1,$AQ$1*AI99,$AQ99=$AP$2,$AQ$2*AI99,$AQ99=$AP$3,$AQ$3*AI99,$AQ99=$AP$4,$AQ$4*AI99)</f>
        <v>348.5366221865952</v>
      </c>
      <c r="AW99" s="155" cm="1">
        <f t="array" ref="AW99">_xlfn.IFS($AQ99=$AP$1,$AQ$1*AJ99,$AQ99=$AP$2,$AQ$2*AJ99,$AQ99=$AP$3,$AQ$3*AJ99,$AQ99=$AP$4,$AQ$4*AJ99)</f>
        <v>355.85589125251369</v>
      </c>
      <c r="AX99" s="155" cm="1">
        <f t="array" ref="AX99">_xlfn.IFS($AQ99=$AP$1,$AQ$1*AK99,$AQ99=$AP$2,$AQ$2*AK99,$AQ99=$AP$3,$AQ$3*AK99,$AQ99=$AP$4,$AQ$4*AK99)</f>
        <v>363.32886496881639</v>
      </c>
      <c r="AY99" s="155" cm="1">
        <f t="array" ref="AY99">_xlfn.IFS($AQ99=$AP$1,$AQ$1*AL99,$AQ99=$AP$2,$AQ$2*AL99,$AQ99=$AP$3,$AQ$3*AL99,$AQ99=$AP$4,$AQ$4*AL99)</f>
        <v>370.95877113316152</v>
      </c>
      <c r="AZ99" s="155" cm="1">
        <f t="array" ref="AZ99">_xlfn.IFS($AQ99=$AP$1,$AQ$1*AM99,$AQ99=$AP$2,$AQ$2*AM99,$AQ99=$AP$3,$AQ$3*AM99,$AQ99=$AP$4,$AQ$4*AM99)</f>
        <v>378.74890532695787</v>
      </c>
      <c r="BA99" s="155" cm="1">
        <f t="array" ref="BA99">_xlfn.IFS($AQ99=$AP$1,$AQ$1*AN99,$AQ99=$AP$2,$AQ$2*AN99,$AQ99=$AP$3,$AQ$3*AN99,$AQ99=$AP$4,$AQ$4*AN99)</f>
        <v>386.70263233882389</v>
      </c>
      <c r="BB99" s="155">
        <f>Table2[[#This Row],[FINAL Project System Capacity (MW)]]</f>
        <v>5</v>
      </c>
      <c r="BC99" s="155" t="str">
        <f>Table2[[#This Row],[FN Parent  '#]]</f>
        <v>Individual Project</v>
      </c>
      <c r="BD99" s="155">
        <f t="shared" si="41"/>
        <v>5</v>
      </c>
      <c r="BE99" s="155">
        <f t="shared" si="42"/>
        <v>5</v>
      </c>
      <c r="BF99" s="155">
        <f t="shared" si="43"/>
        <v>0</v>
      </c>
      <c r="BG99" s="155">
        <f t="shared" si="44"/>
        <v>0</v>
      </c>
      <c r="BH99" s="155">
        <f t="shared" si="45"/>
        <v>7.0698844207426843</v>
      </c>
      <c r="BI99" s="155">
        <f t="shared" si="46"/>
        <v>35.490230635093212</v>
      </c>
      <c r="BJ99" s="155">
        <f t="shared" si="47"/>
        <v>69.707324437319045</v>
      </c>
      <c r="BK99" s="155">
        <f t="shared" si="48"/>
        <v>71.171178250502734</v>
      </c>
      <c r="BL99" s="155">
        <f t="shared" si="49"/>
        <v>72.665772993763284</v>
      </c>
      <c r="BM99" s="155">
        <f t="shared" si="50"/>
        <v>74.191754226632298</v>
      </c>
      <c r="BN99" s="155">
        <f t="shared" si="51"/>
        <v>75.749781065391574</v>
      </c>
      <c r="BO99" s="155">
        <f t="shared" si="52"/>
        <v>77.340526467764775</v>
      </c>
      <c r="BP99" s="155">
        <f t="shared" si="53"/>
        <v>42.664841944854885</v>
      </c>
      <c r="BR99" s="206" t="s">
        <v>330</v>
      </c>
      <c r="BS99" s="155">
        <f t="shared" si="29"/>
        <v>0.98270428383678776</v>
      </c>
      <c r="BT99" s="155">
        <f t="shared" si="30"/>
        <v>9.1</v>
      </c>
    </row>
    <row r="100" spans="1:72">
      <c r="A100" s="155" t="s">
        <v>258</v>
      </c>
      <c r="B100" s="155" t="s">
        <v>1345</v>
      </c>
      <c r="C100" s="155" t="s">
        <v>207</v>
      </c>
      <c r="D100" s="155">
        <v>4.4000000000000004</v>
      </c>
      <c r="E100" s="189">
        <v>519.33879999999999</v>
      </c>
      <c r="F100" s="67">
        <v>210.8092</v>
      </c>
      <c r="G100" s="67">
        <v>803.23541999999998</v>
      </c>
      <c r="H100" s="67">
        <v>913.95478000000003</v>
      </c>
      <c r="I100" s="67">
        <v>334.69596000000001</v>
      </c>
      <c r="J100" s="67">
        <v>7189.8461500000003</v>
      </c>
      <c r="K100" s="67">
        <v>493.64819999999997</v>
      </c>
      <c r="L100" s="67">
        <v>0</v>
      </c>
      <c r="M100" s="67">
        <v>0</v>
      </c>
      <c r="N100" s="67">
        <v>0</v>
      </c>
      <c r="O100" s="67">
        <v>0</v>
      </c>
      <c r="Q100" s="201" t="s">
        <v>258</v>
      </c>
      <c r="R100" s="201" t="s">
        <v>1345</v>
      </c>
      <c r="S100" s="201" t="s">
        <v>207</v>
      </c>
      <c r="T100" s="76">
        <f>SUM($E100:F100)</f>
        <v>730.14800000000002</v>
      </c>
      <c r="U100" s="76">
        <f>SUM($E100:G100)</f>
        <v>1533.3834200000001</v>
      </c>
      <c r="V100" s="76">
        <f>SUM($E100:H100)</f>
        <v>2447.3382000000001</v>
      </c>
      <c r="W100" s="76">
        <f>SUM($E100:I100)</f>
        <v>2782.0341600000002</v>
      </c>
      <c r="X100" s="76">
        <f>SUM($E100:J100)</f>
        <v>9971.8803100000005</v>
      </c>
      <c r="Y100" s="76">
        <f>SUM($E100:K100)</f>
        <v>10465.52851</v>
      </c>
      <c r="Z100" s="76">
        <f>SUM($E100:L100)</f>
        <v>10465.52851</v>
      </c>
      <c r="AA100" s="76">
        <f>SUM($E100:M100)</f>
        <v>10465.52851</v>
      </c>
      <c r="AB100" s="76">
        <f>SUM($E100:N100)</f>
        <v>10465.52851</v>
      </c>
      <c r="AC100" s="76">
        <f>SUM($E100:O100)</f>
        <v>10465.52851</v>
      </c>
      <c r="AE100" s="76">
        <f t="shared" si="31"/>
        <v>730.14800000000002</v>
      </c>
      <c r="AF100" s="76">
        <f t="shared" si="32"/>
        <v>1565.5844718199999</v>
      </c>
      <c r="AG100" s="76">
        <f t="shared" si="33"/>
        <v>2551.2056805461993</v>
      </c>
      <c r="AH100" s="76">
        <f t="shared" si="34"/>
        <v>2961.0087076920349</v>
      </c>
      <c r="AI100" s="76">
        <f t="shared" si="35"/>
        <v>10836.275189015714</v>
      </c>
      <c r="AJ100" s="76">
        <f t="shared" si="36"/>
        <v>11611.541416348929</v>
      </c>
      <c r="AK100" s="76">
        <f t="shared" si="37"/>
        <v>11855.383786092258</v>
      </c>
      <c r="AL100" s="76">
        <f t="shared" si="38"/>
        <v>12104.346845600192</v>
      </c>
      <c r="AM100" s="76">
        <f t="shared" si="39"/>
        <v>12358.538129357794</v>
      </c>
      <c r="AN100" s="76">
        <f t="shared" si="40"/>
        <v>12618.067430074307</v>
      </c>
      <c r="AP100" s="201" t="s">
        <v>258</v>
      </c>
      <c r="AQ100" s="201" t="s">
        <v>207</v>
      </c>
      <c r="AR100" s="155" cm="1">
        <f t="array" ref="AR100">_xlfn.IFS($AQ100=$AP$1,$AQ$1*AE100,$AQ100=$AP$2,$AQ$2*AE100,$AQ100=$AP$3,$AQ$3*AE100,$AQ100=$AP$4,$AQ$4*AE100)</f>
        <v>58.844151775841162</v>
      </c>
      <c r="AS100" s="155" cm="1">
        <f t="array" ref="AS100">_xlfn.IFS($AQ100=$AP$1,$AQ$1*AF100,$AQ100=$AP$2,$AQ$2*AF100,$AQ100=$AP$3,$AQ$3*AF100,$AQ100=$AP$4,$AQ$4*AF100)</f>
        <v>126.17372132454815</v>
      </c>
      <c r="AT100" s="155" cm="1">
        <f t="array" ref="AT100">_xlfn.IFS($AQ100=$AP$1,$AQ$1*AG100,$AQ100=$AP$2,$AQ$2*AG100,$AQ100=$AP$3,$AQ$3*AG100,$AQ100=$AP$4,$AQ$4*AG100)</f>
        <v>205.6069923870896</v>
      </c>
      <c r="AU100" s="155" cm="1">
        <f t="array" ref="AU100">_xlfn.IFS($AQ100=$AP$1,$AQ$1*AH100,$AQ100=$AP$2,$AQ$2*AH100,$AQ100=$AP$3,$AQ$3*AH100,$AQ100=$AP$4,$AQ$4*AH100)</f>
        <v>238.63387396119333</v>
      </c>
      <c r="AV100" s="155" cm="1">
        <f t="array" ref="AV100">_xlfn.IFS($AQ100=$AP$1,$AQ$1*AI100,$AQ100=$AP$2,$AQ$2*AI100,$AQ100=$AP$3,$AQ$3*AI100,$AQ100=$AP$4,$AQ$4*AI100)</f>
        <v>873.31804224242558</v>
      </c>
      <c r="AW100" s="155" cm="1">
        <f t="array" ref="AW100">_xlfn.IFS($AQ100=$AP$1,$AQ$1*AJ100,$AQ100=$AP$2,$AQ$2*AJ100,$AQ100=$AP$3,$AQ$3*AJ100,$AQ100=$AP$4,$AQ$4*AJ100)</f>
        <v>935.7983661601512</v>
      </c>
      <c r="AX100" s="155" cm="1">
        <f t="array" ref="AX100">_xlfn.IFS($AQ100=$AP$1,$AQ$1*AK100,$AQ100=$AP$2,$AQ$2*AK100,$AQ100=$AP$3,$AQ$3*AK100,$AQ100=$AP$4,$AQ$4*AK100)</f>
        <v>955.45013184951438</v>
      </c>
      <c r="AY100" s="155" cm="1">
        <f t="array" ref="AY100">_xlfn.IFS($AQ100=$AP$1,$AQ$1*AL100,$AQ100=$AP$2,$AQ$2*AL100,$AQ100=$AP$3,$AQ$3*AL100,$AQ100=$AP$4,$AQ$4*AL100)</f>
        <v>975.51458461835398</v>
      </c>
      <c r="AZ100" s="155" cm="1">
        <f t="array" ref="AZ100">_xlfn.IFS($AQ100=$AP$1,$AQ$1*AM100,$AQ100=$AP$2,$AQ$2*AM100,$AQ100=$AP$3,$AQ$3*AM100,$AQ100=$AP$4,$AQ$4*AM100)</f>
        <v>996.00039089533914</v>
      </c>
      <c r="BA100" s="155" cm="1">
        <f t="array" ref="BA100">_xlfn.IFS($AQ100=$AP$1,$AQ$1*AN100,$AQ100=$AP$2,$AQ$2*AN100,$AQ100=$AP$3,$AQ$3*AN100,$AQ100=$AP$4,$AQ$4*AN100)</f>
        <v>1016.9163991041412</v>
      </c>
      <c r="BB100" s="155">
        <f>Table2[[#This Row],[FINAL Project System Capacity (MW)]]</f>
        <v>4.4000000000000004</v>
      </c>
      <c r="BC100" s="155" t="str">
        <f>Table2[[#This Row],[FN Parent  '#]]</f>
        <v>Individual Project</v>
      </c>
      <c r="BD100" s="155">
        <f t="shared" si="41"/>
        <v>4.4000000000000004</v>
      </c>
      <c r="BE100" s="155">
        <f t="shared" si="42"/>
        <v>4.4000000000000004</v>
      </c>
      <c r="BF100" s="155">
        <f t="shared" si="43"/>
        <v>13.373670858145717</v>
      </c>
      <c r="BG100" s="155">
        <f t="shared" si="44"/>
        <v>28.675845755579125</v>
      </c>
      <c r="BH100" s="155">
        <f t="shared" si="45"/>
        <v>46.728861906156723</v>
      </c>
      <c r="BI100" s="155">
        <f t="shared" si="46"/>
        <v>54.234971354816665</v>
      </c>
      <c r="BJ100" s="155">
        <f t="shared" si="47"/>
        <v>198.48137323691489</v>
      </c>
      <c r="BK100" s="155">
        <f t="shared" si="48"/>
        <v>212.6814468545798</v>
      </c>
      <c r="BL100" s="155">
        <f t="shared" si="49"/>
        <v>217.14775723852597</v>
      </c>
      <c r="BM100" s="155">
        <f t="shared" si="50"/>
        <v>221.70786014053499</v>
      </c>
      <c r="BN100" s="155">
        <f t="shared" si="51"/>
        <v>226.36372520348615</v>
      </c>
      <c r="BO100" s="155">
        <f t="shared" si="52"/>
        <v>231.11736343275933</v>
      </c>
      <c r="BP100" s="155">
        <f t="shared" si="53"/>
        <v>129.16878072676934</v>
      </c>
      <c r="BR100" s="206" t="s">
        <v>331</v>
      </c>
      <c r="BS100" s="155">
        <f t="shared" si="29"/>
        <v>31.383132119017084</v>
      </c>
      <c r="BT100" s="155">
        <f t="shared" si="30"/>
        <v>2.5</v>
      </c>
    </row>
    <row r="101" spans="1:72">
      <c r="A101" s="155" t="s">
        <v>260</v>
      </c>
      <c r="B101" s="155" t="s">
        <v>1345</v>
      </c>
      <c r="C101" s="155" t="s">
        <v>207</v>
      </c>
      <c r="D101" s="155">
        <v>9.5</v>
      </c>
      <c r="E101" s="189">
        <v>0</v>
      </c>
      <c r="F101" s="67">
        <v>0</v>
      </c>
      <c r="G101" s="67">
        <v>0</v>
      </c>
      <c r="H101" s="67">
        <v>0</v>
      </c>
      <c r="I101" s="67">
        <v>121.551</v>
      </c>
      <c r="J101" s="67">
        <v>1616.623</v>
      </c>
      <c r="K101" s="67">
        <v>583.44299999999998</v>
      </c>
      <c r="L101" s="67">
        <v>1442.4839999999999</v>
      </c>
      <c r="M101" s="67">
        <v>9579.1859999999997</v>
      </c>
      <c r="N101" s="67">
        <v>9579.1859999999997</v>
      </c>
      <c r="O101" s="67">
        <v>5793.8620000000001</v>
      </c>
      <c r="Q101" s="202" t="s">
        <v>260</v>
      </c>
      <c r="R101" s="202" t="s">
        <v>1345</v>
      </c>
      <c r="S101" s="202" t="s">
        <v>207</v>
      </c>
      <c r="T101" s="76">
        <f>SUM($E101:F101)</f>
        <v>0</v>
      </c>
      <c r="U101" s="76">
        <f>SUM($E101:G101)</f>
        <v>0</v>
      </c>
      <c r="V101" s="76">
        <f>SUM($E101:H101)</f>
        <v>0</v>
      </c>
      <c r="W101" s="76">
        <f>SUM($E101:I101)</f>
        <v>121.551</v>
      </c>
      <c r="X101" s="76">
        <f>SUM($E101:J101)</f>
        <v>1738.174</v>
      </c>
      <c r="Y101" s="76">
        <f>SUM($E101:K101)</f>
        <v>2321.6170000000002</v>
      </c>
      <c r="Z101" s="76">
        <f>SUM($E101:L101)</f>
        <v>3764.1010000000001</v>
      </c>
      <c r="AA101" s="76">
        <f>SUM($E101:M101)</f>
        <v>13343.287</v>
      </c>
      <c r="AB101" s="76">
        <f>SUM($E101:N101)</f>
        <v>22922.472999999998</v>
      </c>
      <c r="AC101" s="76">
        <f>SUM($E101:O101)</f>
        <v>28716.334999999999</v>
      </c>
      <c r="AE101" s="76">
        <f t="shared" si="31"/>
        <v>0</v>
      </c>
      <c r="AF101" s="76">
        <f t="shared" si="32"/>
        <v>0</v>
      </c>
      <c r="AG101" s="76">
        <f t="shared" si="33"/>
        <v>0</v>
      </c>
      <c r="AH101" s="76">
        <f t="shared" si="34"/>
        <v>129.37065065681097</v>
      </c>
      <c r="AI101" s="76">
        <f t="shared" si="35"/>
        <v>1888.8445513634726</v>
      </c>
      <c r="AJ101" s="76">
        <f t="shared" si="36"/>
        <v>2575.842387954066</v>
      </c>
      <c r="AK101" s="76">
        <f t="shared" si="37"/>
        <v>4263.9855141547605</v>
      </c>
      <c r="AL101" s="76">
        <f t="shared" si="38"/>
        <v>15432.739374228513</v>
      </c>
      <c r="AM101" s="76">
        <f t="shared" si="39"/>
        <v>27068.700478813615</v>
      </c>
      <c r="AN101" s="76">
        <f t="shared" si="40"/>
        <v>34622.680644209802</v>
      </c>
      <c r="AP101" s="202" t="s">
        <v>260</v>
      </c>
      <c r="AQ101" s="202" t="s">
        <v>207</v>
      </c>
      <c r="AR101" s="155" cm="1">
        <f t="array" ref="AR101">_xlfn.IFS($AQ101=$AP$1,$AQ$1*AE101,$AQ101=$AP$2,$AQ$2*AE101,$AQ101=$AP$3,$AQ$3*AE101,$AQ101=$AP$4,$AQ$4*AE101)</f>
        <v>0</v>
      </c>
      <c r="AS101" s="155" cm="1">
        <f t="array" ref="AS101">_xlfn.IFS($AQ101=$AP$1,$AQ$1*AF101,$AQ101=$AP$2,$AQ$2*AF101,$AQ101=$AP$3,$AQ$3*AF101,$AQ101=$AP$4,$AQ$4*AF101)</f>
        <v>0</v>
      </c>
      <c r="AT101" s="155" cm="1">
        <f t="array" ref="AT101">_xlfn.IFS($AQ101=$AP$1,$AQ$1*AG101,$AQ101=$AP$2,$AQ$2*AG101,$AQ101=$AP$3,$AQ$3*AG101,$AQ101=$AP$4,$AQ$4*AG101)</f>
        <v>0</v>
      </c>
      <c r="AU101" s="155" cm="1">
        <f t="array" ref="AU101">_xlfn.IFS($AQ101=$AP$1,$AQ$1*AH101,$AQ101=$AP$2,$AQ$2*AH101,$AQ101=$AP$3,$AQ$3*AH101,$AQ101=$AP$4,$AQ$4*AH101)</f>
        <v>10.426250845840444</v>
      </c>
      <c r="AV101" s="155" cm="1">
        <f t="array" ref="AV101">_xlfn.IFS($AQ101=$AP$1,$AQ$1*AI101,$AQ101=$AP$2,$AQ$2*AI101,$AQ101=$AP$3,$AQ$3*AI101,$AQ101=$AP$4,$AQ$4*AI101)</f>
        <v>152.22592606074767</v>
      </c>
      <c r="AW101" s="155" cm="1">
        <f t="array" ref="AW101">_xlfn.IFS($AQ101=$AP$1,$AQ$1*AJ101,$AQ101=$AP$2,$AQ$2*AJ101,$AQ101=$AP$3,$AQ$3*AJ101,$AQ101=$AP$4,$AQ$4*AJ101)</f>
        <v>207.59251607539045</v>
      </c>
      <c r="AX101" s="155" cm="1">
        <f t="array" ref="AX101">_xlfn.IFS($AQ101=$AP$1,$AQ$1*AK101,$AQ101=$AP$2,$AQ$2*AK101,$AQ101=$AP$3,$AQ$3*AK101,$AQ101=$AP$4,$AQ$4*AK101)</f>
        <v>343.643495243308</v>
      </c>
      <c r="AY101" s="155" cm="1">
        <f t="array" ref="AY101">_xlfn.IFS($AQ101=$AP$1,$AQ$1*AL101,$AQ101=$AP$2,$AQ$2*AL101,$AQ101=$AP$3,$AQ$3*AL101,$AQ101=$AP$4,$AQ$4*AL101)</f>
        <v>1243.7566877593345</v>
      </c>
      <c r="AZ101" s="155" cm="1">
        <f t="array" ref="AZ101">_xlfn.IFS($AQ101=$AP$1,$AQ$1*AM101,$AQ101=$AP$2,$AQ$2*AM101,$AQ101=$AP$3,$AQ$3*AM101,$AQ101=$AP$4,$AQ$4*AM101)</f>
        <v>2181.5230875796315</v>
      </c>
      <c r="BA101" s="155" cm="1">
        <f t="array" ref="BA101">_xlfn.IFS($AQ101=$AP$1,$AQ$1*AN101,$AQ101=$AP$2,$AQ$2*AN101,$AQ101=$AP$3,$AQ$3*AN101,$AQ101=$AP$4,$AQ$4*AN101)</f>
        <v>2790.3141208554425</v>
      </c>
      <c r="BB101" s="155">
        <f>Table2[[#This Row],[FINAL Project System Capacity (MW)]]</f>
        <v>9.5</v>
      </c>
      <c r="BC101" s="155" t="str">
        <f>Table2[[#This Row],[FN Parent  '#]]</f>
        <v>Individual Project</v>
      </c>
      <c r="BD101" s="155">
        <f t="shared" si="41"/>
        <v>9.5</v>
      </c>
      <c r="BE101" s="155">
        <f t="shared" si="42"/>
        <v>9.5</v>
      </c>
      <c r="BF101" s="155">
        <f t="shared" si="43"/>
        <v>0</v>
      </c>
      <c r="BG101" s="155">
        <f t="shared" si="44"/>
        <v>0</v>
      </c>
      <c r="BH101" s="155">
        <f t="shared" si="45"/>
        <v>0</v>
      </c>
      <c r="BI101" s="155">
        <f t="shared" si="46"/>
        <v>1.0975000890358362</v>
      </c>
      <c r="BJ101" s="155">
        <f t="shared" si="47"/>
        <v>16.023781690605016</v>
      </c>
      <c r="BK101" s="155">
        <f t="shared" si="48"/>
        <v>21.851843797409522</v>
      </c>
      <c r="BL101" s="155">
        <f t="shared" si="49"/>
        <v>36.172999499295578</v>
      </c>
      <c r="BM101" s="155">
        <f t="shared" si="50"/>
        <v>130.92175660624574</v>
      </c>
      <c r="BN101" s="155">
        <f t="shared" si="51"/>
        <v>229.63400921890857</v>
      </c>
      <c r="BO101" s="155">
        <f t="shared" si="52"/>
        <v>293.71727587952029</v>
      </c>
      <c r="BP101" s="155">
        <f t="shared" si="53"/>
        <v>57.186898537205266</v>
      </c>
      <c r="BR101" s="206" t="s">
        <v>333</v>
      </c>
      <c r="BS101" s="155">
        <f t="shared" si="29"/>
        <v>62.997880891488386</v>
      </c>
      <c r="BT101" s="155">
        <f t="shared" si="30"/>
        <v>4.0270000000000001</v>
      </c>
    </row>
    <row r="102" spans="1:72">
      <c r="A102" s="155" t="s">
        <v>262</v>
      </c>
      <c r="B102" s="155" t="s">
        <v>1258</v>
      </c>
      <c r="C102" s="155" t="s">
        <v>208</v>
      </c>
      <c r="D102" s="155">
        <v>40</v>
      </c>
      <c r="E102" s="189">
        <v>0</v>
      </c>
      <c r="F102" s="67">
        <v>0</v>
      </c>
      <c r="G102" s="67">
        <v>0</v>
      </c>
      <c r="H102" s="67">
        <v>0</v>
      </c>
      <c r="I102" s="67">
        <v>752.45600000000002</v>
      </c>
      <c r="J102" s="67">
        <v>2894.0630000000001</v>
      </c>
      <c r="K102" s="67">
        <v>3365.3589999999999</v>
      </c>
      <c r="L102" s="67">
        <v>0</v>
      </c>
      <c r="M102" s="67">
        <v>0</v>
      </c>
      <c r="N102" s="67">
        <v>0</v>
      </c>
      <c r="O102" s="67">
        <v>0</v>
      </c>
      <c r="Q102" s="201" t="s">
        <v>262</v>
      </c>
      <c r="R102" s="201" t="s">
        <v>1258</v>
      </c>
      <c r="S102" s="201" t="s">
        <v>208</v>
      </c>
      <c r="T102" s="76">
        <f>SUM($E102:F102)</f>
        <v>0</v>
      </c>
      <c r="U102" s="76">
        <f>SUM($E102:G102)</f>
        <v>0</v>
      </c>
      <c r="V102" s="76">
        <f>SUM($E102:H102)</f>
        <v>0</v>
      </c>
      <c r="W102" s="76">
        <f>SUM($E102:I102)</f>
        <v>752.45600000000002</v>
      </c>
      <c r="X102" s="76">
        <f>SUM($E102:J102)</f>
        <v>3646.5190000000002</v>
      </c>
      <c r="Y102" s="76">
        <f>SUM($E102:K102)</f>
        <v>7011.8780000000006</v>
      </c>
      <c r="Z102" s="76">
        <f>SUM($E102:L102)</f>
        <v>7011.8780000000006</v>
      </c>
      <c r="AA102" s="76">
        <f>SUM($E102:M102)</f>
        <v>7011.8780000000006</v>
      </c>
      <c r="AB102" s="76">
        <f>SUM($E102:N102)</f>
        <v>7011.8780000000006</v>
      </c>
      <c r="AC102" s="76">
        <f>SUM($E102:O102)</f>
        <v>7011.8780000000006</v>
      </c>
      <c r="AE102" s="76">
        <f t="shared" si="31"/>
        <v>0</v>
      </c>
      <c r="AF102" s="76">
        <f t="shared" si="32"/>
        <v>0</v>
      </c>
      <c r="AG102" s="76">
        <f t="shared" si="33"/>
        <v>0</v>
      </c>
      <c r="AH102" s="76">
        <f t="shared" si="34"/>
        <v>800.86319578301573</v>
      </c>
      <c r="AI102" s="76">
        <f t="shared" si="35"/>
        <v>3962.6110761024961</v>
      </c>
      <c r="AJ102" s="76">
        <f t="shared" si="36"/>
        <v>7779.7037890240199</v>
      </c>
      <c r="AK102" s="76">
        <f t="shared" si="37"/>
        <v>7943.0775685935241</v>
      </c>
      <c r="AL102" s="76">
        <f t="shared" si="38"/>
        <v>8109.882197533987</v>
      </c>
      <c r="AM102" s="76">
        <f t="shared" si="39"/>
        <v>8280.1897236821987</v>
      </c>
      <c r="AN102" s="76">
        <f t="shared" si="40"/>
        <v>8454.0737078795246</v>
      </c>
      <c r="AP102" s="201" t="s">
        <v>262</v>
      </c>
      <c r="AQ102" s="201" t="s">
        <v>208</v>
      </c>
      <c r="AR102" s="155" cm="1">
        <f t="array" ref="AR102">_xlfn.IFS($AQ102=$AP$1,$AQ$1*AE102,$AQ102=$AP$2,$AQ$2*AE102,$AQ102=$AP$3,$AQ$3*AE102,$AQ102=$AP$4,$AQ$4*AE102)</f>
        <v>0</v>
      </c>
      <c r="AS102" s="155" cm="1">
        <f t="array" ref="AS102">_xlfn.IFS($AQ102=$AP$1,$AQ$1*AF102,$AQ102=$AP$2,$AQ$2*AF102,$AQ102=$AP$3,$AQ$3*AF102,$AQ102=$AP$4,$AQ$4*AF102)</f>
        <v>0</v>
      </c>
      <c r="AT102" s="155" cm="1">
        <f t="array" ref="AT102">_xlfn.IFS($AQ102=$AP$1,$AQ$1*AG102,$AQ102=$AP$2,$AQ$2*AG102,$AQ102=$AP$3,$AQ$3*AG102,$AQ102=$AP$4,$AQ$4*AG102)</f>
        <v>0</v>
      </c>
      <c r="AU102" s="155" cm="1">
        <f t="array" ref="AU102">_xlfn.IFS($AQ102=$AP$1,$AQ$1*AH102,$AQ102=$AP$2,$AQ$2*AH102,$AQ102=$AP$3,$AQ$3*AH102,$AQ102=$AP$4,$AQ$4*AH102)</f>
        <v>113.15608890999872</v>
      </c>
      <c r="AV102" s="155" cm="1">
        <f t="array" ref="AV102">_xlfn.IFS($AQ102=$AP$1,$AQ$1*AI102,$AQ102=$AP$2,$AQ$2*AI102,$AQ102=$AP$3,$AQ$3*AI102,$AQ102=$AP$4,$AQ$4*AI102)</f>
        <v>559.88784801728684</v>
      </c>
      <c r="AW102" s="155" cm="1">
        <f t="array" ref="AW102">_xlfn.IFS($AQ102=$AP$1,$AQ$1*AJ102,$AQ102=$AP$2,$AQ$2*AJ102,$AQ102=$AP$3,$AQ$3*AJ102,$AQ102=$AP$4,$AQ$4*AJ102)</f>
        <v>1099.2150198431248</v>
      </c>
      <c r="AX102" s="155" cm="1">
        <f t="array" ref="AX102">_xlfn.IFS($AQ102=$AP$1,$AQ$1*AK102,$AQ102=$AP$2,$AQ$2*AK102,$AQ102=$AP$3,$AQ$3*AK102,$AQ102=$AP$4,$AQ$4*AK102)</f>
        <v>1122.2985352598303</v>
      </c>
      <c r="AY102" s="155" cm="1">
        <f t="array" ref="AY102">_xlfn.IFS($AQ102=$AP$1,$AQ$1*AL102,$AQ102=$AP$2,$AQ$2*AL102,$AQ102=$AP$3,$AQ$3*AL102,$AQ102=$AP$4,$AQ$4*AL102)</f>
        <v>1145.8668045002864</v>
      </c>
      <c r="AZ102" s="155" cm="1">
        <f t="array" ref="AZ102">_xlfn.IFS($AQ102=$AP$1,$AQ$1*AM102,$AQ102=$AP$2,$AQ$2*AM102,$AQ102=$AP$3,$AQ$3*AM102,$AQ102=$AP$4,$AQ$4*AM102)</f>
        <v>1169.9300073947923</v>
      </c>
      <c r="BA102" s="155" cm="1">
        <f t="array" ref="BA102">_xlfn.IFS($AQ102=$AP$1,$AQ$1*AN102,$AQ102=$AP$2,$AQ$2*AN102,$AQ102=$AP$3,$AQ$3*AN102,$AQ102=$AP$4,$AQ$4*AN102)</f>
        <v>1194.4985375500828</v>
      </c>
      <c r="BB102" s="155">
        <f>Table2[[#This Row],[FINAL Project System Capacity (MW)]]</f>
        <v>40</v>
      </c>
      <c r="BC102" s="155" t="str">
        <f>Table2[[#This Row],[FN Parent  '#]]</f>
        <v>FN011976</v>
      </c>
      <c r="BD102" s="155">
        <f t="shared" si="41"/>
        <v>40</v>
      </c>
      <c r="BE102" s="155">
        <f t="shared" si="42"/>
        <v>40</v>
      </c>
      <c r="BF102" s="155">
        <f t="shared" si="43"/>
        <v>0</v>
      </c>
      <c r="BG102" s="155">
        <f t="shared" si="44"/>
        <v>0</v>
      </c>
      <c r="BH102" s="155">
        <f t="shared" si="45"/>
        <v>0</v>
      </c>
      <c r="BI102" s="155">
        <f t="shared" si="46"/>
        <v>2.8289022227499681</v>
      </c>
      <c r="BJ102" s="155">
        <f t="shared" si="47"/>
        <v>13.997196200432171</v>
      </c>
      <c r="BK102" s="155">
        <f t="shared" si="48"/>
        <v>27.480375496078118</v>
      </c>
      <c r="BL102" s="155">
        <f t="shared" si="49"/>
        <v>28.057463381495758</v>
      </c>
      <c r="BM102" s="155">
        <f t="shared" si="50"/>
        <v>28.646670112507159</v>
      </c>
      <c r="BN102" s="155">
        <f t="shared" si="51"/>
        <v>29.248250184869807</v>
      </c>
      <c r="BO102" s="155">
        <f t="shared" si="52"/>
        <v>29.862463438752069</v>
      </c>
      <c r="BP102" s="155">
        <f t="shared" si="53"/>
        <v>13.665860693742966</v>
      </c>
      <c r="BR102" s="206" t="s">
        <v>334</v>
      </c>
      <c r="BS102" s="155">
        <f t="shared" ref="BS102:BS125" si="54">SUMIFS($BP$6:$BP$243,$AP$6:$AP$243,$BR102)</f>
        <v>30.561155748131149</v>
      </c>
      <c r="BT102" s="155">
        <f t="shared" ref="BT102:BT125" si="55">SUMIFS($BE$6:$BE$243,$AP$6:$AP$243,$BR102)</f>
        <v>17.600000000000001</v>
      </c>
    </row>
    <row r="103" spans="1:72">
      <c r="A103" s="155" t="s">
        <v>262</v>
      </c>
      <c r="B103" s="155" t="s">
        <v>1258</v>
      </c>
      <c r="C103" s="155" t="s">
        <v>207</v>
      </c>
      <c r="D103" s="155">
        <v>40</v>
      </c>
      <c r="E103" s="189">
        <v>0</v>
      </c>
      <c r="F103" s="67">
        <v>0</v>
      </c>
      <c r="G103" s="67">
        <v>0</v>
      </c>
      <c r="H103" s="67">
        <v>0</v>
      </c>
      <c r="I103" s="67">
        <v>105</v>
      </c>
      <c r="J103" s="67">
        <v>1397</v>
      </c>
      <c r="K103" s="67">
        <v>504</v>
      </c>
      <c r="L103" s="67">
        <v>1246</v>
      </c>
      <c r="M103" s="67">
        <v>577.5</v>
      </c>
      <c r="N103" s="67">
        <v>8275.0439999999999</v>
      </c>
      <c r="O103" s="67">
        <v>5004.9560000000001</v>
      </c>
      <c r="Q103" s="202" t="s">
        <v>262</v>
      </c>
      <c r="R103" s="202" t="s">
        <v>1258</v>
      </c>
      <c r="S103" s="202" t="s">
        <v>207</v>
      </c>
      <c r="T103" s="76">
        <f>SUM($E103:F103)</f>
        <v>0</v>
      </c>
      <c r="U103" s="76">
        <f>SUM($E103:G103)</f>
        <v>0</v>
      </c>
      <c r="V103" s="76">
        <f>SUM($E103:H103)</f>
        <v>0</v>
      </c>
      <c r="W103" s="76">
        <f>SUM($E103:I103)</f>
        <v>105</v>
      </c>
      <c r="X103" s="76">
        <f>SUM($E103:J103)</f>
        <v>1502</v>
      </c>
      <c r="Y103" s="76">
        <f>SUM($E103:K103)</f>
        <v>2006</v>
      </c>
      <c r="Z103" s="76">
        <f>SUM($E103:L103)</f>
        <v>3252</v>
      </c>
      <c r="AA103" s="76">
        <f>SUM($E103:M103)</f>
        <v>3829.5</v>
      </c>
      <c r="AB103" s="76">
        <f>SUM($E103:N103)</f>
        <v>12104.544</v>
      </c>
      <c r="AC103" s="76">
        <f>SUM($E103:O103)</f>
        <v>17109.5</v>
      </c>
      <c r="AE103" s="76">
        <f t="shared" si="31"/>
        <v>0</v>
      </c>
      <c r="AF103" s="76">
        <f t="shared" si="32"/>
        <v>0</v>
      </c>
      <c r="AG103" s="76">
        <f t="shared" si="33"/>
        <v>0</v>
      </c>
      <c r="AH103" s="76">
        <f t="shared" si="34"/>
        <v>111.75488740499996</v>
      </c>
      <c r="AI103" s="76">
        <f t="shared" si="35"/>
        <v>1632.1982241984613</v>
      </c>
      <c r="AJ103" s="76">
        <f t="shared" si="36"/>
        <v>2225.6641944971352</v>
      </c>
      <c r="AK103" s="76">
        <f t="shared" si="37"/>
        <v>3683.8758821910674</v>
      </c>
      <c r="AL103" s="76">
        <f t="shared" si="38"/>
        <v>4429.1691720044764</v>
      </c>
      <c r="AM103" s="76">
        <f t="shared" si="39"/>
        <v>14294.019496440043</v>
      </c>
      <c r="AN103" s="76">
        <f t="shared" si="40"/>
        <v>20628.564003105119</v>
      </c>
      <c r="AP103" s="202" t="s">
        <v>262</v>
      </c>
      <c r="AQ103" s="202" t="s">
        <v>207</v>
      </c>
      <c r="AR103" s="155" cm="1">
        <f t="array" ref="AR103">_xlfn.IFS($AQ103=$AP$1,$AQ$1*AE103,$AQ103=$AP$2,$AQ$2*AE103,$AQ103=$AP$3,$AQ$3*AE103,$AQ103=$AP$4,$AQ$4*AE103)</f>
        <v>0</v>
      </c>
      <c r="AS103" s="155" cm="1">
        <f t="array" ref="AS103">_xlfn.IFS($AQ103=$AP$1,$AQ$1*AF103,$AQ103=$AP$2,$AQ$2*AF103,$AQ103=$AP$3,$AQ$3*AF103,$AQ103=$AP$4,$AQ$4*AF103)</f>
        <v>0</v>
      </c>
      <c r="AT103" s="155" cm="1">
        <f t="array" ref="AT103">_xlfn.IFS($AQ103=$AP$1,$AQ$1*AG103,$AQ103=$AP$2,$AQ$2*AG103,$AQ103=$AP$3,$AQ$3*AG103,$AQ103=$AP$4,$AQ$4*AG103)</f>
        <v>0</v>
      </c>
      <c r="AU103" s="155" cm="1">
        <f t="array" ref="AU103">_xlfn.IFS($AQ103=$AP$1,$AQ$1*AH103,$AQ103=$AP$2,$AQ$2*AH103,$AQ103=$AP$3,$AQ$3*AH103,$AQ103=$AP$4,$AQ$4*AH103)</f>
        <v>9.0065597059114832</v>
      </c>
      <c r="AV103" s="155" cm="1">
        <f t="array" ref="AV103">_xlfn.IFS($AQ103=$AP$1,$AQ$1*AI103,$AQ103=$AP$2,$AQ$2*AI103,$AQ103=$AP$3,$AQ$3*AI103,$AQ103=$AP$4,$AQ$4*AI103)</f>
        <v>131.54226270974195</v>
      </c>
      <c r="AW103" s="155" cm="1">
        <f t="array" ref="AW103">_xlfn.IFS($AQ103=$AP$1,$AQ$1*AJ103,$AQ103=$AP$2,$AQ$2*AJ103,$AQ103=$AP$3,$AQ$3*AJ103,$AQ103=$AP$4,$AQ$4*AJ103)</f>
        <v>179.37092433731885</v>
      </c>
      <c r="AX103" s="155" cm="1">
        <f t="array" ref="AX103">_xlfn.IFS($AQ103=$AP$1,$AQ$1*AK103,$AQ103=$AP$2,$AQ$2*AK103,$AQ103=$AP$3,$AQ$3*AK103,$AQ103=$AP$4,$AQ$4*AK103)</f>
        <v>296.89124880847709</v>
      </c>
      <c r="AY103" s="155" cm="1">
        <f t="array" ref="AY103">_xlfn.IFS($AQ103=$AP$1,$AQ$1*AL103,$AQ103=$AP$2,$AQ$2*AL103,$AQ103=$AP$3,$AQ$3*AL103,$AQ103=$AP$4,$AQ$4*AL103)</f>
        <v>356.95599111181315</v>
      </c>
      <c r="AZ103" s="155" cm="1">
        <f t="array" ref="AZ103">_xlfn.IFS($AQ103=$AP$1,$AQ$1*AM103,$AQ103=$AP$2,$AQ$2*AM103,$AQ103=$AP$3,$AQ$3*AM103,$AQ103=$AP$4,$AQ$4*AM103)</f>
        <v>1151.9848753065824</v>
      </c>
      <c r="BA103" s="155" cm="1">
        <f t="array" ref="BA103">_xlfn.IFS($AQ103=$AP$1,$AQ$1*AN103,$AQ103=$AP$2,$AQ$2*AN103,$AQ103=$AP$3,$AQ$3*AN103,$AQ103=$AP$4,$AQ$4*AN103)</f>
        <v>1662.4990428192245</v>
      </c>
      <c r="BB103" s="155">
        <f>Table2[[#This Row],[FINAL Project System Capacity (MW)]]</f>
        <v>40</v>
      </c>
      <c r="BC103" s="155" t="str">
        <f>Table2[[#This Row],[FN Parent  '#]]</f>
        <v>FN011976</v>
      </c>
      <c r="BD103" s="155">
        <f t="shared" si="41"/>
        <v>40</v>
      </c>
      <c r="BF103" s="155">
        <f t="shared" si="43"/>
        <v>0</v>
      </c>
      <c r="BG103" s="155">
        <f t="shared" si="44"/>
        <v>0</v>
      </c>
      <c r="BH103" s="155">
        <f t="shared" si="45"/>
        <v>0</v>
      </c>
      <c r="BI103" s="155">
        <f t="shared" si="46"/>
        <v>0.22516399264778708</v>
      </c>
      <c r="BJ103" s="155">
        <f t="shared" si="47"/>
        <v>3.2885565677435489</v>
      </c>
      <c r="BK103" s="155">
        <f t="shared" si="48"/>
        <v>4.484273108432971</v>
      </c>
      <c r="BL103" s="155">
        <f t="shared" si="49"/>
        <v>7.4222812202119268</v>
      </c>
      <c r="BM103" s="155">
        <f t="shared" si="50"/>
        <v>8.9238997777953291</v>
      </c>
      <c r="BN103" s="155">
        <f t="shared" si="51"/>
        <v>28.79962188266456</v>
      </c>
      <c r="BO103" s="155">
        <f t="shared" si="52"/>
        <v>41.562476070480614</v>
      </c>
      <c r="BP103" s="155">
        <f t="shared" si="53"/>
        <v>7.4542924368951802</v>
      </c>
      <c r="BR103" s="206" t="s">
        <v>336</v>
      </c>
      <c r="BS103" s="155">
        <f t="shared" si="54"/>
        <v>64.310009258363735</v>
      </c>
      <c r="BT103" s="155">
        <f t="shared" si="55"/>
        <v>25</v>
      </c>
    </row>
    <row r="104" spans="1:72">
      <c r="A104" s="155" t="s">
        <v>264</v>
      </c>
      <c r="B104" s="155" t="s">
        <v>1345</v>
      </c>
      <c r="C104" s="155" t="s">
        <v>208</v>
      </c>
      <c r="D104" s="155">
        <v>40</v>
      </c>
      <c r="E104" s="189">
        <v>0</v>
      </c>
      <c r="F104" s="67">
        <v>125.00000000000003</v>
      </c>
      <c r="G104" s="67">
        <v>250</v>
      </c>
      <c r="H104" s="67">
        <v>870</v>
      </c>
      <c r="I104" s="67">
        <v>5120</v>
      </c>
      <c r="J104" s="67">
        <v>5160</v>
      </c>
      <c r="K104" s="67">
        <v>500</v>
      </c>
      <c r="L104" s="67">
        <v>0</v>
      </c>
      <c r="M104" s="67">
        <v>0</v>
      </c>
      <c r="N104" s="67">
        <v>0</v>
      </c>
      <c r="O104" s="67">
        <v>0</v>
      </c>
      <c r="Q104" s="201" t="s">
        <v>264</v>
      </c>
      <c r="R104" s="201" t="s">
        <v>1345</v>
      </c>
      <c r="S104" s="201" t="s">
        <v>208</v>
      </c>
      <c r="T104" s="76">
        <f>SUM($E104:F105)</f>
        <v>6262.0000000000018</v>
      </c>
      <c r="U104" s="76">
        <f>SUM($E104:G105)</f>
        <v>6845.0000000000018</v>
      </c>
      <c r="V104" s="76">
        <f>SUM($E104:H105)</f>
        <v>8048.0000000000018</v>
      </c>
      <c r="W104" s="76">
        <f>SUM($E104:I105)</f>
        <v>13168.000000000002</v>
      </c>
      <c r="X104" s="76">
        <f>SUM($E104:J105)</f>
        <v>18328</v>
      </c>
      <c r="Y104" s="76">
        <f>SUM($E104:K105)</f>
        <v>18828</v>
      </c>
      <c r="Z104" s="76">
        <f>SUM($E104:L105)</f>
        <v>18828</v>
      </c>
      <c r="AA104" s="76">
        <f>SUM($E104:M105)</f>
        <v>18828</v>
      </c>
      <c r="AB104" s="76">
        <f>SUM($E104:N105)</f>
        <v>18828</v>
      </c>
      <c r="AC104" s="76">
        <f>SUM($E104:O105)</f>
        <v>18828</v>
      </c>
      <c r="AE104" s="76">
        <f t="shared" si="31"/>
        <v>6262.0000000000018</v>
      </c>
      <c r="AF104" s="76">
        <f t="shared" si="32"/>
        <v>6988.7450000000008</v>
      </c>
      <c r="AG104" s="76">
        <f t="shared" si="33"/>
        <v>8389.5651679999992</v>
      </c>
      <c r="AH104" s="76">
        <f t="shared" si="34"/>
        <v>14015.127212847998</v>
      </c>
      <c r="AI104" s="76">
        <f t="shared" si="35"/>
        <v>19916.73039487976</v>
      </c>
      <c r="AJ104" s="76">
        <f t="shared" si="36"/>
        <v>20889.733526416781</v>
      </c>
      <c r="AK104" s="76">
        <f t="shared" si="37"/>
        <v>21328.417930471533</v>
      </c>
      <c r="AL104" s="76">
        <f t="shared" si="38"/>
        <v>21776.314707011432</v>
      </c>
      <c r="AM104" s="76">
        <f t="shared" si="39"/>
        <v>22233.617315858668</v>
      </c>
      <c r="AN104" s="76">
        <f t="shared" si="40"/>
        <v>22700.523279491696</v>
      </c>
      <c r="AP104" s="201" t="s">
        <v>264</v>
      </c>
      <c r="AQ104" s="201" t="s">
        <v>208</v>
      </c>
      <c r="AR104" s="155" cm="1">
        <f t="array" ref="AR104">_xlfn.IFS($AQ104=$AP$1,$AQ$1*AE104,$AQ104=$AP$2,$AQ$2*AE104,$AQ104=$AP$3,$AQ$3*AE104,$AQ104=$AP$4,$AQ$4*AE104)</f>
        <v>884.77461879318821</v>
      </c>
      <c r="AS104" s="155" cm="1">
        <f t="array" ref="AS104">_xlfn.IFS($AQ104=$AP$1,$AQ$1*AF104,$AQ104=$AP$2,$AQ$2*AF104,$AQ104=$AP$3,$AQ$3*AF104,$AQ104=$AP$4,$AQ$4*AF104)</f>
        <v>987.45835088115598</v>
      </c>
      <c r="AT104" s="155" cm="1">
        <f t="array" ref="AT104">_xlfn.IFS($AQ104=$AP$1,$AQ$1*AG104,$AQ104=$AP$2,$AQ$2*AG104,$AQ104=$AP$3,$AQ$3*AG104,$AQ104=$AP$4,$AQ$4*AG104)</f>
        <v>1185.3839545445235</v>
      </c>
      <c r="AU104" s="155" cm="1">
        <f t="array" ref="AU104">_xlfn.IFS($AQ104=$AP$1,$AQ$1*AH104,$AQ104=$AP$2,$AQ$2*AH104,$AQ104=$AP$3,$AQ$3*AH104,$AQ104=$AP$4,$AQ$4*AH104)</f>
        <v>1980.2345635716417</v>
      </c>
      <c r="AV104" s="155" cm="1">
        <f t="array" ref="AV104">_xlfn.IFS($AQ104=$AP$1,$AQ$1*AI104,$AQ104=$AP$2,$AQ$2*AI104,$AQ104=$AP$3,$AQ$3*AI104,$AQ104=$AP$4,$AQ$4*AI104)</f>
        <v>2814.0877583418137</v>
      </c>
      <c r="AW104" s="155" cm="1">
        <f t="array" ref="AW104">_xlfn.IFS($AQ104=$AP$1,$AQ$1*AJ104,$AQ104=$AP$2,$AQ$2*AJ104,$AQ104=$AP$3,$AQ$3*AJ104,$AQ104=$AP$4,$AQ$4*AJ104)</f>
        <v>2951.5659561684261</v>
      </c>
      <c r="AX104" s="155" cm="1">
        <f t="array" ref="AX104">_xlfn.IFS($AQ104=$AP$1,$AQ$1*AK104,$AQ104=$AP$2,$AQ$2*AK104,$AQ104=$AP$3,$AQ$3*AK104,$AQ104=$AP$4,$AQ$4*AK104)</f>
        <v>3013.5488412479631</v>
      </c>
      <c r="AY104" s="155" cm="1">
        <f t="array" ref="AY104">_xlfn.IFS($AQ104=$AP$1,$AQ$1*AL104,$AQ104=$AP$2,$AQ$2*AL104,$AQ104=$AP$3,$AQ$3*AL104,$AQ104=$AP$4,$AQ$4*AL104)</f>
        <v>3076.8333669141698</v>
      </c>
      <c r="AZ104" s="155" cm="1">
        <f t="array" ref="AZ104">_xlfn.IFS($AQ104=$AP$1,$AQ$1*AM104,$AQ104=$AP$2,$AQ$2*AM104,$AQ104=$AP$3,$AQ$3*AM104,$AQ104=$AP$4,$AQ$4*AM104)</f>
        <v>3141.4468676193669</v>
      </c>
      <c r="BA104" s="155" cm="1">
        <f t="array" ref="BA104">_xlfn.IFS($AQ104=$AP$1,$AQ$1*AN104,$AQ104=$AP$2,$AQ$2*AN104,$AQ104=$AP$3,$AQ$3*AN104,$AQ104=$AP$4,$AQ$4*AN104)</f>
        <v>3207.417251839373</v>
      </c>
      <c r="BB104" s="155">
        <f>Table2[[#This Row],[FINAL Project System Capacity (MW)]]</f>
        <v>40</v>
      </c>
      <c r="BC104" s="155" t="str">
        <f>Table2[[#This Row],[FN Parent  '#]]</f>
        <v>Individual Project</v>
      </c>
      <c r="BD104" s="155">
        <f>BB104+BB105</f>
        <v>42</v>
      </c>
      <c r="BE104" s="155">
        <f t="shared" si="42"/>
        <v>42</v>
      </c>
      <c r="BF104" s="155">
        <f t="shared" si="43"/>
        <v>21.066062352218768</v>
      </c>
      <c r="BG104" s="155">
        <f t="shared" si="44"/>
        <v>23.510913116217999</v>
      </c>
      <c r="BH104" s="155">
        <f t="shared" si="45"/>
        <v>28.22342748915532</v>
      </c>
      <c r="BI104" s="155">
        <f t="shared" si="46"/>
        <v>47.148441989800993</v>
      </c>
      <c r="BJ104" s="155">
        <f t="shared" si="47"/>
        <v>67.002089484328891</v>
      </c>
      <c r="BK104" s="155">
        <f t="shared" si="48"/>
        <v>70.275379908772052</v>
      </c>
      <c r="BL104" s="155">
        <f t="shared" si="49"/>
        <v>71.751162886856264</v>
      </c>
      <c r="BM104" s="155">
        <f t="shared" si="50"/>
        <v>73.257937307480233</v>
      </c>
      <c r="BN104" s="155">
        <f t="shared" si="51"/>
        <v>74.796353990937305</v>
      </c>
      <c r="BO104" s="155">
        <f t="shared" si="52"/>
        <v>76.367077424746981</v>
      </c>
      <c r="BP104" s="155">
        <f t="shared" si="53"/>
        <v>51.421577900546474</v>
      </c>
      <c r="BR104" s="206" t="s">
        <v>337</v>
      </c>
      <c r="BS104" s="155">
        <f t="shared" si="54"/>
        <v>62.573577533912619</v>
      </c>
      <c r="BT104" s="155">
        <f t="shared" si="55"/>
        <v>7.5</v>
      </c>
    </row>
    <row r="105" spans="1:72">
      <c r="A105" s="155" t="s">
        <v>264</v>
      </c>
      <c r="B105" s="155" t="s">
        <v>1345</v>
      </c>
      <c r="C105" s="155" t="s">
        <v>208</v>
      </c>
      <c r="D105" s="155">
        <v>2</v>
      </c>
      <c r="E105" s="189">
        <v>0</v>
      </c>
      <c r="F105" s="67">
        <v>6137.0000000000018</v>
      </c>
      <c r="G105" s="67">
        <v>333</v>
      </c>
      <c r="H105" s="67">
        <v>333</v>
      </c>
      <c r="I105" s="67">
        <v>0</v>
      </c>
      <c r="J105" s="67">
        <v>0</v>
      </c>
      <c r="K105" s="67">
        <v>0</v>
      </c>
      <c r="L105" s="67">
        <v>0</v>
      </c>
      <c r="M105" s="67">
        <v>0</v>
      </c>
      <c r="N105" s="67">
        <v>0</v>
      </c>
      <c r="O105" s="67">
        <v>0</v>
      </c>
      <c r="Q105" s="202" t="s">
        <v>264</v>
      </c>
      <c r="R105" s="202" t="s">
        <v>1345</v>
      </c>
      <c r="S105" s="202" t="s">
        <v>208</v>
      </c>
      <c r="U105" s="155"/>
      <c r="V105" s="155"/>
      <c r="W105" s="155"/>
      <c r="X105" s="155"/>
      <c r="Y105" s="155"/>
      <c r="Z105" s="155"/>
      <c r="AA105" s="155"/>
      <c r="AB105" s="155"/>
      <c r="AC105" s="155"/>
      <c r="AE105" s="76">
        <f t="shared" si="31"/>
        <v>0</v>
      </c>
      <c r="AF105" s="76">
        <f t="shared" si="32"/>
        <v>0</v>
      </c>
      <c r="AG105" s="76">
        <f t="shared" si="33"/>
        <v>0</v>
      </c>
      <c r="AH105" s="76">
        <f t="shared" si="34"/>
        <v>0</v>
      </c>
      <c r="AI105" s="76">
        <f t="shared" si="35"/>
        <v>0</v>
      </c>
      <c r="AJ105" s="76">
        <f t="shared" si="36"/>
        <v>0</v>
      </c>
      <c r="AK105" s="76">
        <f t="shared" si="37"/>
        <v>0</v>
      </c>
      <c r="AL105" s="76">
        <f t="shared" si="38"/>
        <v>0</v>
      </c>
      <c r="AM105" s="76">
        <f t="shared" si="39"/>
        <v>0</v>
      </c>
      <c r="AN105" s="76">
        <f t="shared" si="40"/>
        <v>0</v>
      </c>
      <c r="AP105" s="202" t="s">
        <v>264</v>
      </c>
      <c r="AQ105" s="202" t="s">
        <v>208</v>
      </c>
      <c r="AR105" s="155" cm="1">
        <f t="array" ref="AR105">_xlfn.IFS($AQ105=$AP$1,$AQ$1*AE105,$AQ105=$AP$2,$AQ$2*AE105,$AQ105=$AP$3,$AQ$3*AE105,$AQ105=$AP$4,$AQ$4*AE105)</f>
        <v>0</v>
      </c>
      <c r="AS105" s="155" cm="1">
        <f t="array" ref="AS105">_xlfn.IFS($AQ105=$AP$1,$AQ$1*AF105,$AQ105=$AP$2,$AQ$2*AF105,$AQ105=$AP$3,$AQ$3*AF105,$AQ105=$AP$4,$AQ$4*AF105)</f>
        <v>0</v>
      </c>
      <c r="AT105" s="155" cm="1">
        <f t="array" ref="AT105">_xlfn.IFS($AQ105=$AP$1,$AQ$1*AG105,$AQ105=$AP$2,$AQ$2*AG105,$AQ105=$AP$3,$AQ$3*AG105,$AQ105=$AP$4,$AQ$4*AG105)</f>
        <v>0</v>
      </c>
      <c r="AU105" s="155" cm="1">
        <f t="array" ref="AU105">_xlfn.IFS($AQ105=$AP$1,$AQ$1*AH105,$AQ105=$AP$2,$AQ$2*AH105,$AQ105=$AP$3,$AQ$3*AH105,$AQ105=$AP$4,$AQ$4*AH105)</f>
        <v>0</v>
      </c>
      <c r="AV105" s="155" cm="1">
        <f t="array" ref="AV105">_xlfn.IFS($AQ105=$AP$1,$AQ$1*AI105,$AQ105=$AP$2,$AQ$2*AI105,$AQ105=$AP$3,$AQ$3*AI105,$AQ105=$AP$4,$AQ$4*AI105)</f>
        <v>0</v>
      </c>
      <c r="AW105" s="155" cm="1">
        <f t="array" ref="AW105">_xlfn.IFS($AQ105=$AP$1,$AQ$1*AJ105,$AQ105=$AP$2,$AQ$2*AJ105,$AQ105=$AP$3,$AQ$3*AJ105,$AQ105=$AP$4,$AQ$4*AJ105)</f>
        <v>0</v>
      </c>
      <c r="AX105" s="155" cm="1">
        <f t="array" ref="AX105">_xlfn.IFS($AQ105=$AP$1,$AQ$1*AK105,$AQ105=$AP$2,$AQ$2*AK105,$AQ105=$AP$3,$AQ$3*AK105,$AQ105=$AP$4,$AQ$4*AK105)</f>
        <v>0</v>
      </c>
      <c r="AY105" s="155" cm="1">
        <f t="array" ref="AY105">_xlfn.IFS($AQ105=$AP$1,$AQ$1*AL105,$AQ105=$AP$2,$AQ$2*AL105,$AQ105=$AP$3,$AQ$3*AL105,$AQ105=$AP$4,$AQ$4*AL105)</f>
        <v>0</v>
      </c>
      <c r="AZ105" s="155" cm="1">
        <f t="array" ref="AZ105">_xlfn.IFS($AQ105=$AP$1,$AQ$1*AM105,$AQ105=$AP$2,$AQ$2*AM105,$AQ105=$AP$3,$AQ$3*AM105,$AQ105=$AP$4,$AQ$4*AM105)</f>
        <v>0</v>
      </c>
      <c r="BA105" s="155" cm="1">
        <f t="array" ref="BA105">_xlfn.IFS($AQ105=$AP$1,$AQ$1*AN105,$AQ105=$AP$2,$AQ$2*AN105,$AQ105=$AP$3,$AQ$3*AN105,$AQ105=$AP$4,$AQ$4*AN105)</f>
        <v>0</v>
      </c>
      <c r="BB105" s="155">
        <f>Table2[[#This Row],[FINAL Project System Capacity (MW)]]</f>
        <v>2</v>
      </c>
      <c r="BC105" s="155" t="str">
        <f>Table2[[#This Row],[FN Parent  '#]]</f>
        <v>Individual Project</v>
      </c>
      <c r="BD105" s="155"/>
      <c r="BF105" s="155" t="str">
        <f t="shared" si="43"/>
        <v/>
      </c>
      <c r="BG105" s="155" t="str">
        <f t="shared" si="44"/>
        <v/>
      </c>
      <c r="BH105" s="155" t="str">
        <f t="shared" si="45"/>
        <v/>
      </c>
      <c r="BI105" s="155" t="str">
        <f t="shared" si="46"/>
        <v/>
      </c>
      <c r="BJ105" s="155" t="str">
        <f t="shared" si="47"/>
        <v/>
      </c>
      <c r="BK105" s="155" t="str">
        <f t="shared" si="48"/>
        <v/>
      </c>
      <c r="BL105" s="155" t="str">
        <f t="shared" si="49"/>
        <v/>
      </c>
      <c r="BM105" s="155" t="str">
        <f t="shared" si="50"/>
        <v/>
      </c>
      <c r="BN105" s="155" t="str">
        <f t="shared" si="51"/>
        <v/>
      </c>
      <c r="BO105" s="155" t="str">
        <f t="shared" si="52"/>
        <v/>
      </c>
      <c r="BP105" s="155">
        <f t="shared" si="53"/>
        <v>0</v>
      </c>
      <c r="BR105" s="206" t="s">
        <v>339</v>
      </c>
      <c r="BS105" s="155">
        <f t="shared" si="54"/>
        <v>47.852868781089342</v>
      </c>
      <c r="BT105" s="155">
        <f t="shared" si="55"/>
        <v>5</v>
      </c>
    </row>
    <row r="106" spans="1:72">
      <c r="A106" s="155" t="s">
        <v>264</v>
      </c>
      <c r="B106" s="155" t="s">
        <v>1345</v>
      </c>
      <c r="C106" s="155" t="s">
        <v>207</v>
      </c>
      <c r="D106" s="155">
        <v>40</v>
      </c>
      <c r="E106" s="189">
        <v>0</v>
      </c>
      <c r="F106" s="67">
        <v>1200</v>
      </c>
      <c r="G106" s="67">
        <v>1100</v>
      </c>
      <c r="H106" s="67">
        <v>2700</v>
      </c>
      <c r="I106" s="67">
        <v>7600</v>
      </c>
      <c r="J106" s="67">
        <v>6900</v>
      </c>
      <c r="K106" s="67">
        <v>1000</v>
      </c>
      <c r="L106" s="67">
        <v>0</v>
      </c>
      <c r="M106" s="67">
        <v>0</v>
      </c>
      <c r="N106" s="67">
        <v>0</v>
      </c>
      <c r="O106" s="67">
        <v>0</v>
      </c>
      <c r="Q106" s="201" t="s">
        <v>264</v>
      </c>
      <c r="R106" s="201" t="s">
        <v>1345</v>
      </c>
      <c r="S106" s="201" t="s">
        <v>207</v>
      </c>
      <c r="T106" s="76">
        <f>SUM($E106:F106)</f>
        <v>1200</v>
      </c>
      <c r="U106" s="76">
        <f>SUM($E106:G106)</f>
        <v>2300</v>
      </c>
      <c r="V106" s="76">
        <f>SUM($E106:H106)</f>
        <v>5000</v>
      </c>
      <c r="W106" s="76">
        <f>SUM($E106:I106)</f>
        <v>12600</v>
      </c>
      <c r="X106" s="76">
        <f>SUM($E106:J106)</f>
        <v>19500</v>
      </c>
      <c r="Y106" s="76">
        <f>SUM($E106:K106)</f>
        <v>20500</v>
      </c>
      <c r="Z106" s="76">
        <f>SUM($E106:L106)</f>
        <v>20500</v>
      </c>
      <c r="AA106" s="76">
        <f>SUM($E106:M106)</f>
        <v>20500</v>
      </c>
      <c r="AB106" s="76">
        <f>SUM($E106:N106)</f>
        <v>20500</v>
      </c>
      <c r="AC106" s="76">
        <f>SUM($E106:O106)</f>
        <v>20500</v>
      </c>
      <c r="AE106" s="76">
        <f t="shared" si="31"/>
        <v>1200</v>
      </c>
      <c r="AF106" s="76">
        <f t="shared" si="32"/>
        <v>2348.2999999999997</v>
      </c>
      <c r="AG106" s="76">
        <f t="shared" si="33"/>
        <v>5212.204999999999</v>
      </c>
      <c r="AH106" s="76">
        <f t="shared" si="34"/>
        <v>13410.586488599996</v>
      </c>
      <c r="AI106" s="76">
        <f t="shared" si="35"/>
        <v>21190.323150379489</v>
      </c>
      <c r="AJ106" s="76">
        <f t="shared" si="36"/>
        <v>22744.823523026556</v>
      </c>
      <c r="AK106" s="76">
        <f t="shared" si="37"/>
        <v>23222.464817010114</v>
      </c>
      <c r="AL106" s="76">
        <f t="shared" si="38"/>
        <v>23710.136578167323</v>
      </c>
      <c r="AM106" s="76">
        <f t="shared" si="39"/>
        <v>24208.049446308833</v>
      </c>
      <c r="AN106" s="76">
        <f t="shared" si="40"/>
        <v>24716.418484681311</v>
      </c>
      <c r="AP106" s="201" t="s">
        <v>264</v>
      </c>
      <c r="AQ106" s="201" t="s">
        <v>207</v>
      </c>
      <c r="AR106" s="155" cm="1">
        <f t="array" ref="AR106">_xlfn.IFS($AQ106=$AP$1,$AQ$1*AE106,$AQ106=$AP$2,$AQ$2*AE106,$AQ106=$AP$3,$AQ$3*AE106,$AQ106=$AP$4,$AQ$4*AE106)</f>
        <v>96.710505446853773</v>
      </c>
      <c r="AS106" s="155" cm="1">
        <f t="array" ref="AS106">_xlfn.IFS($AQ106=$AP$1,$AQ$1*AF106,$AQ106=$AP$2,$AQ$2*AF106,$AQ106=$AP$3,$AQ$3*AF106,$AQ106=$AP$4,$AQ$4*AF106)</f>
        <v>189.25439995070559</v>
      </c>
      <c r="AT106" s="155" cm="1">
        <f t="array" ref="AT106">_xlfn.IFS($AQ106=$AP$1,$AQ$1*AG106,$AQ106=$AP$2,$AQ$2*AG106,$AQ106=$AP$3,$AQ$3*AG106,$AQ106=$AP$4,$AQ$4*AG106)</f>
        <v>420.06248336884869</v>
      </c>
      <c r="AU106" s="155" cm="1">
        <f t="array" ref="AU106">_xlfn.IFS($AQ106=$AP$1,$AQ$1*AH106,$AQ106=$AP$2,$AQ$2*AH106,$AQ106=$AP$3,$AQ$3*AH106,$AQ106=$AP$4,$AQ$4*AH106)</f>
        <v>1080.787164709378</v>
      </c>
      <c r="AV106" s="155" cm="1">
        <f t="array" ref="AV106">_xlfn.IFS($AQ106=$AP$1,$AQ$1*AI106,$AQ106=$AP$2,$AQ$2*AI106,$AQ106=$AP$3,$AQ$3*AI106,$AQ106=$AP$4,$AQ$4*AI106)</f>
        <v>1707.7723853794728</v>
      </c>
      <c r="AW106" s="155" cm="1">
        <f t="array" ref="AW106">_xlfn.IFS($AQ106=$AP$1,$AQ$1*AJ106,$AQ106=$AP$2,$AQ$2*AJ106,$AQ106=$AP$3,$AQ$3*AJ106,$AQ106=$AP$4,$AQ$4*AJ106)</f>
        <v>1833.0528160094898</v>
      </c>
      <c r="AX106" s="155" cm="1">
        <f t="array" ref="AX106">_xlfn.IFS($AQ106=$AP$1,$AQ$1*AK106,$AQ106=$AP$2,$AQ$2*AK106,$AQ106=$AP$3,$AQ$3*AK106,$AQ106=$AP$4,$AQ$4*AK106)</f>
        <v>1871.5469251456891</v>
      </c>
      <c r="AY106" s="155" cm="1">
        <f t="array" ref="AY106">_xlfn.IFS($AQ106=$AP$1,$AQ$1*AL106,$AQ106=$AP$2,$AQ$2*AL106,$AQ106=$AP$3,$AQ$3*AL106,$AQ106=$AP$4,$AQ$4*AL106)</f>
        <v>1910.8494105737482</v>
      </c>
      <c r="AZ106" s="155" cm="1">
        <f t="array" ref="AZ106">_xlfn.IFS($AQ106=$AP$1,$AQ$1*AM106,$AQ106=$AP$2,$AQ$2*AM106,$AQ106=$AP$3,$AQ$3*AM106,$AQ106=$AP$4,$AQ$4*AM106)</f>
        <v>1950.9772481957966</v>
      </c>
      <c r="BA106" s="155" cm="1">
        <f t="array" ref="BA106">_xlfn.IFS($AQ106=$AP$1,$AQ$1*AN106,$AQ106=$AP$2,$AQ$2*AN106,$AQ106=$AP$3,$AQ$3*AN106,$AQ106=$AP$4,$AQ$4*AN106)</f>
        <v>1991.9477704079079</v>
      </c>
      <c r="BB106" s="155">
        <f>Table2[[#This Row],[FINAL Project System Capacity (MW)]]</f>
        <v>40</v>
      </c>
      <c r="BC106" s="155" t="str">
        <f>Table2[[#This Row],[FN Parent  '#]]</f>
        <v>Individual Project</v>
      </c>
      <c r="BD106" s="155">
        <f t="shared" si="41"/>
        <v>40</v>
      </c>
      <c r="BE106" s="155">
        <f t="shared" si="42"/>
        <v>40</v>
      </c>
      <c r="BF106" s="155">
        <f t="shared" si="43"/>
        <v>2.4177626361713442</v>
      </c>
      <c r="BG106" s="155">
        <f t="shared" si="44"/>
        <v>4.7313599987676396</v>
      </c>
      <c r="BH106" s="155">
        <f t="shared" si="45"/>
        <v>10.501562084221217</v>
      </c>
      <c r="BI106" s="155">
        <f t="shared" si="46"/>
        <v>27.019679117734448</v>
      </c>
      <c r="BJ106" s="155">
        <f t="shared" si="47"/>
        <v>42.694309634486821</v>
      </c>
      <c r="BK106" s="155">
        <f t="shared" si="48"/>
        <v>45.826320400237243</v>
      </c>
      <c r="BL106" s="155">
        <f t="shared" si="49"/>
        <v>46.78867312864223</v>
      </c>
      <c r="BM106" s="155">
        <f t="shared" si="50"/>
        <v>47.771235264343701</v>
      </c>
      <c r="BN106" s="155">
        <f t="shared" si="51"/>
        <v>48.774431204894917</v>
      </c>
      <c r="BO106" s="155">
        <f t="shared" si="52"/>
        <v>49.798694260197699</v>
      </c>
      <c r="BP106" s="155">
        <f t="shared" si="53"/>
        <v>29.297591023885925</v>
      </c>
      <c r="BR106" s="206" t="s">
        <v>218</v>
      </c>
      <c r="BS106" s="155">
        <f t="shared" si="54"/>
        <v>63.42851166771748</v>
      </c>
      <c r="BT106" s="155">
        <f t="shared" si="55"/>
        <v>2.6</v>
      </c>
    </row>
    <row r="107" spans="1:72">
      <c r="A107" s="155" t="s">
        <v>265</v>
      </c>
      <c r="B107" s="155" t="s">
        <v>1345</v>
      </c>
      <c r="C107" s="155" t="s">
        <v>208</v>
      </c>
      <c r="D107" s="155">
        <v>1.2410000000000001</v>
      </c>
      <c r="E107" s="189">
        <v>23.482839999999999</v>
      </c>
      <c r="F107" s="67">
        <v>164.3</v>
      </c>
      <c r="G107" s="67">
        <v>0</v>
      </c>
      <c r="H107" s="67">
        <v>0</v>
      </c>
      <c r="I107" s="67">
        <v>0</v>
      </c>
      <c r="J107" s="67">
        <v>0</v>
      </c>
      <c r="K107" s="67">
        <v>0</v>
      </c>
      <c r="L107" s="67">
        <v>0</v>
      </c>
      <c r="M107" s="67">
        <v>0</v>
      </c>
      <c r="N107" s="67">
        <v>0</v>
      </c>
      <c r="O107" s="67">
        <v>0</v>
      </c>
      <c r="Q107" s="202" t="s">
        <v>265</v>
      </c>
      <c r="R107" s="202" t="s">
        <v>1345</v>
      </c>
      <c r="S107" s="202" t="s">
        <v>208</v>
      </c>
      <c r="T107" s="76">
        <f>SUM($E107:F108)</f>
        <v>432.69188000000003</v>
      </c>
      <c r="U107" s="76">
        <f>SUM($E107:G108)</f>
        <v>432.69188000000003</v>
      </c>
      <c r="V107" s="76">
        <f>SUM($E107:H108)</f>
        <v>432.69188000000003</v>
      </c>
      <c r="W107" s="76">
        <f>SUM($E107:I108)</f>
        <v>432.69188000000003</v>
      </c>
      <c r="X107" s="76">
        <f>SUM($E107:J108)</f>
        <v>432.69188000000003</v>
      </c>
      <c r="Y107" s="76">
        <f>SUM($E107:K108)</f>
        <v>432.69188000000003</v>
      </c>
      <c r="Z107" s="76">
        <f>SUM($E107:L108)</f>
        <v>432.69188000000003</v>
      </c>
      <c r="AA107" s="76">
        <f>SUM($E107:M108)</f>
        <v>432.69188000000003</v>
      </c>
      <c r="AB107" s="76">
        <f>SUM($E107:N108)</f>
        <v>432.69188000000003</v>
      </c>
      <c r="AC107" s="76">
        <f>SUM($E107:O108)</f>
        <v>432.69188000000003</v>
      </c>
      <c r="AE107" s="76">
        <f t="shared" si="31"/>
        <v>432.69188000000003</v>
      </c>
      <c r="AF107" s="76">
        <f t="shared" si="32"/>
        <v>441.77840947999999</v>
      </c>
      <c r="AG107" s="76">
        <f t="shared" si="33"/>
        <v>451.05575607907991</v>
      </c>
      <c r="AH107" s="76">
        <f t="shared" si="34"/>
        <v>460.52792695674054</v>
      </c>
      <c r="AI107" s="76">
        <f t="shared" si="35"/>
        <v>470.19901342283202</v>
      </c>
      <c r="AJ107" s="76">
        <f t="shared" si="36"/>
        <v>480.07319270471146</v>
      </c>
      <c r="AK107" s="76">
        <f t="shared" si="37"/>
        <v>490.15472975151033</v>
      </c>
      <c r="AL107" s="76">
        <f t="shared" si="38"/>
        <v>500.44797907629203</v>
      </c>
      <c r="AM107" s="76">
        <f t="shared" si="39"/>
        <v>510.95738663689406</v>
      </c>
      <c r="AN107" s="76">
        <f t="shared" si="40"/>
        <v>521.68749175626874</v>
      </c>
      <c r="AP107" s="202" t="s">
        <v>265</v>
      </c>
      <c r="AQ107" s="202" t="s">
        <v>208</v>
      </c>
      <c r="AR107" s="155" cm="1">
        <f t="array" ref="AR107">_xlfn.IFS($AQ107=$AP$1,$AQ$1*AE107,$AQ107=$AP$2,$AQ$2*AE107,$AQ107=$AP$3,$AQ$3*AE107,$AQ107=$AP$4,$AQ$4*AE107)</f>
        <v>61.136185433073749</v>
      </c>
      <c r="AS107" s="155" cm="1">
        <f t="array" ref="AS107">_xlfn.IFS($AQ107=$AP$1,$AQ$1*AF107,$AQ107=$AP$2,$AQ$2*AF107,$AQ107=$AP$3,$AQ$3*AF107,$AQ107=$AP$4,$AQ$4*AF107)</f>
        <v>62.420045327168296</v>
      </c>
      <c r="AT107" s="155" cm="1">
        <f t="array" ref="AT107">_xlfn.IFS($AQ107=$AP$1,$AQ$1*AG107,$AQ107=$AP$2,$AQ$2*AG107,$AQ107=$AP$3,$AQ$3*AG107,$AQ107=$AP$4,$AQ$4*AG107)</f>
        <v>63.730866279038814</v>
      </c>
      <c r="AU107" s="155" cm="1">
        <f t="array" ref="AU107">_xlfn.IFS($AQ107=$AP$1,$AQ$1*AH107,$AQ107=$AP$2,$AQ$2*AH107,$AQ107=$AP$3,$AQ$3*AH107,$AQ107=$AP$4,$AQ$4*AH107)</f>
        <v>65.069214470898629</v>
      </c>
      <c r="AV107" s="155" cm="1">
        <f t="array" ref="AV107">_xlfn.IFS($AQ107=$AP$1,$AQ$1*AI107,$AQ107=$AP$2,$AQ$2*AI107,$AQ107=$AP$3,$AQ$3*AI107,$AQ107=$AP$4,$AQ$4*AI107)</f>
        <v>66.435667974787492</v>
      </c>
      <c r="AW107" s="155" cm="1">
        <f t="array" ref="AW107">_xlfn.IFS($AQ107=$AP$1,$AQ$1*AJ107,$AQ107=$AP$2,$AQ$2*AJ107,$AQ107=$AP$3,$AQ$3*AJ107,$AQ107=$AP$4,$AQ$4*AJ107)</f>
        <v>67.830817002258016</v>
      </c>
      <c r="AX107" s="155" cm="1">
        <f t="array" ref="AX107">_xlfn.IFS($AQ107=$AP$1,$AQ$1*AK107,$AQ107=$AP$2,$AQ$2*AK107,$AQ107=$AP$3,$AQ$3*AK107,$AQ107=$AP$4,$AQ$4*AK107)</f>
        <v>69.255264159305426</v>
      </c>
      <c r="AY107" s="155" cm="1">
        <f t="array" ref="AY107">_xlfn.IFS($AQ107=$AP$1,$AQ$1*AL107,$AQ107=$AP$2,$AQ$2*AL107,$AQ107=$AP$3,$AQ$3*AL107,$AQ107=$AP$4,$AQ$4*AL107)</f>
        <v>70.709624706650843</v>
      </c>
      <c r="AZ107" s="155" cm="1">
        <f t="array" ref="AZ107">_xlfn.IFS($AQ107=$AP$1,$AQ$1*AM107,$AQ107=$AP$2,$AQ$2*AM107,$AQ107=$AP$3,$AQ$3*AM107,$AQ107=$AP$4,$AQ$4*AM107)</f>
        <v>72.194526825490499</v>
      </c>
      <c r="BA107" s="155" cm="1">
        <f t="array" ref="BA107">_xlfn.IFS($AQ107=$AP$1,$AQ$1*AN107,$AQ107=$AP$2,$AQ$2*AN107,$AQ107=$AP$3,$AQ$3*AN107,$AQ107=$AP$4,$AQ$4*AN107)</f>
        <v>73.710611888825781</v>
      </c>
      <c r="BB107" s="155">
        <f>Table2[[#This Row],[FINAL Project System Capacity (MW)]]</f>
        <v>1.2410000000000001</v>
      </c>
      <c r="BC107" s="155" t="str">
        <f>Table2[[#This Row],[FN Parent  '#]]</f>
        <v>Individual Project</v>
      </c>
      <c r="BD107" s="155">
        <f>BB107+BB108</f>
        <v>2.4820000000000002</v>
      </c>
      <c r="BE107" s="155">
        <f t="shared" si="42"/>
        <v>2.4820000000000002</v>
      </c>
      <c r="BF107" s="155">
        <f t="shared" si="43"/>
        <v>24.631823300996672</v>
      </c>
      <c r="BG107" s="155">
        <f t="shared" si="44"/>
        <v>25.149091590317603</v>
      </c>
      <c r="BH107" s="155">
        <f t="shared" si="45"/>
        <v>25.677222513714266</v>
      </c>
      <c r="BI107" s="155">
        <f t="shared" si="46"/>
        <v>26.216444186502265</v>
      </c>
      <c r="BJ107" s="155">
        <f t="shared" si="47"/>
        <v>26.76698951441881</v>
      </c>
      <c r="BK107" s="155">
        <f t="shared" si="48"/>
        <v>27.3290962942216</v>
      </c>
      <c r="BL107" s="155">
        <f t="shared" si="49"/>
        <v>27.903007316400249</v>
      </c>
      <c r="BM107" s="155">
        <f t="shared" si="50"/>
        <v>28.488970470044656</v>
      </c>
      <c r="BN107" s="155">
        <f t="shared" si="51"/>
        <v>29.08723884991559</v>
      </c>
      <c r="BO107" s="155">
        <f t="shared" si="52"/>
        <v>29.69807086576381</v>
      </c>
      <c r="BP107" s="155">
        <f t="shared" si="53"/>
        <v>26.789296146516804</v>
      </c>
      <c r="BR107" s="206" t="s">
        <v>340</v>
      </c>
      <c r="BS107" s="155">
        <f t="shared" si="54"/>
        <v>197.41869588143979</v>
      </c>
      <c r="BT107" s="155">
        <f t="shared" si="55"/>
        <v>10</v>
      </c>
    </row>
    <row r="108" spans="1:72">
      <c r="A108" s="155" t="s">
        <v>265</v>
      </c>
      <c r="B108" s="155" t="s">
        <v>1345</v>
      </c>
      <c r="C108" s="155" t="s">
        <v>208</v>
      </c>
      <c r="D108" s="155">
        <v>1.2410000000000001</v>
      </c>
      <c r="E108" s="189">
        <v>38.409039999999997</v>
      </c>
      <c r="F108" s="67">
        <v>206.5</v>
      </c>
      <c r="G108" s="67">
        <v>0</v>
      </c>
      <c r="H108" s="67">
        <v>0</v>
      </c>
      <c r="I108" s="67">
        <v>0</v>
      </c>
      <c r="J108" s="67">
        <v>0</v>
      </c>
      <c r="K108" s="67">
        <v>0</v>
      </c>
      <c r="L108" s="67">
        <v>0</v>
      </c>
      <c r="M108" s="67">
        <v>0</v>
      </c>
      <c r="N108" s="67">
        <v>0</v>
      </c>
      <c r="O108" s="67">
        <v>0</v>
      </c>
      <c r="Q108" s="201" t="s">
        <v>265</v>
      </c>
      <c r="R108" s="201" t="s">
        <v>1345</v>
      </c>
      <c r="S108" s="201" t="s">
        <v>208</v>
      </c>
      <c r="U108" s="155"/>
      <c r="V108" s="155"/>
      <c r="W108" s="155"/>
      <c r="X108" s="155"/>
      <c r="Y108" s="155"/>
      <c r="Z108" s="155"/>
      <c r="AA108" s="155"/>
      <c r="AB108" s="155"/>
      <c r="AC108" s="155"/>
      <c r="AE108" s="76">
        <f t="shared" si="31"/>
        <v>0</v>
      </c>
      <c r="AF108" s="76">
        <f t="shared" si="32"/>
        <v>0</v>
      </c>
      <c r="AG108" s="76">
        <f t="shared" si="33"/>
        <v>0</v>
      </c>
      <c r="AH108" s="76">
        <f t="shared" si="34"/>
        <v>0</v>
      </c>
      <c r="AI108" s="76">
        <f t="shared" si="35"/>
        <v>0</v>
      </c>
      <c r="AJ108" s="76">
        <f t="shared" si="36"/>
        <v>0</v>
      </c>
      <c r="AK108" s="76">
        <f t="shared" si="37"/>
        <v>0</v>
      </c>
      <c r="AL108" s="76">
        <f t="shared" si="38"/>
        <v>0</v>
      </c>
      <c r="AM108" s="76">
        <f t="shared" si="39"/>
        <v>0</v>
      </c>
      <c r="AN108" s="76">
        <f t="shared" si="40"/>
        <v>0</v>
      </c>
      <c r="AP108" s="201" t="s">
        <v>265</v>
      </c>
      <c r="AQ108" s="201" t="s">
        <v>208</v>
      </c>
      <c r="AR108" s="155" cm="1">
        <f t="array" ref="AR108">_xlfn.IFS($AQ108=$AP$1,$AQ$1*AE108,$AQ108=$AP$2,$AQ$2*AE108,$AQ108=$AP$3,$AQ$3*AE108,$AQ108=$AP$4,$AQ$4*AE108)</f>
        <v>0</v>
      </c>
      <c r="AS108" s="155" cm="1">
        <f t="array" ref="AS108">_xlfn.IFS($AQ108=$AP$1,$AQ$1*AF108,$AQ108=$AP$2,$AQ$2*AF108,$AQ108=$AP$3,$AQ$3*AF108,$AQ108=$AP$4,$AQ$4*AF108)</f>
        <v>0</v>
      </c>
      <c r="AT108" s="155" cm="1">
        <f t="array" ref="AT108">_xlfn.IFS($AQ108=$AP$1,$AQ$1*AG108,$AQ108=$AP$2,$AQ$2*AG108,$AQ108=$AP$3,$AQ$3*AG108,$AQ108=$AP$4,$AQ$4*AG108)</f>
        <v>0</v>
      </c>
      <c r="AU108" s="155" cm="1">
        <f t="array" ref="AU108">_xlfn.IFS($AQ108=$AP$1,$AQ$1*AH108,$AQ108=$AP$2,$AQ$2*AH108,$AQ108=$AP$3,$AQ$3*AH108,$AQ108=$AP$4,$AQ$4*AH108)</f>
        <v>0</v>
      </c>
      <c r="AV108" s="155" cm="1">
        <f t="array" ref="AV108">_xlfn.IFS($AQ108=$AP$1,$AQ$1*AI108,$AQ108=$AP$2,$AQ$2*AI108,$AQ108=$AP$3,$AQ$3*AI108,$AQ108=$AP$4,$AQ$4*AI108)</f>
        <v>0</v>
      </c>
      <c r="AW108" s="155" cm="1">
        <f t="array" ref="AW108">_xlfn.IFS($AQ108=$AP$1,$AQ$1*AJ108,$AQ108=$AP$2,$AQ$2*AJ108,$AQ108=$AP$3,$AQ$3*AJ108,$AQ108=$AP$4,$AQ$4*AJ108)</f>
        <v>0</v>
      </c>
      <c r="AX108" s="155" cm="1">
        <f t="array" ref="AX108">_xlfn.IFS($AQ108=$AP$1,$AQ$1*AK108,$AQ108=$AP$2,$AQ$2*AK108,$AQ108=$AP$3,$AQ$3*AK108,$AQ108=$AP$4,$AQ$4*AK108)</f>
        <v>0</v>
      </c>
      <c r="AY108" s="155" cm="1">
        <f t="array" ref="AY108">_xlfn.IFS($AQ108=$AP$1,$AQ$1*AL108,$AQ108=$AP$2,$AQ$2*AL108,$AQ108=$AP$3,$AQ$3*AL108,$AQ108=$AP$4,$AQ$4*AL108)</f>
        <v>0</v>
      </c>
      <c r="AZ108" s="155" cm="1">
        <f t="array" ref="AZ108">_xlfn.IFS($AQ108=$AP$1,$AQ$1*AM108,$AQ108=$AP$2,$AQ$2*AM108,$AQ108=$AP$3,$AQ$3*AM108,$AQ108=$AP$4,$AQ$4*AM108)</f>
        <v>0</v>
      </c>
      <c r="BA108" s="155" cm="1">
        <f t="array" ref="BA108">_xlfn.IFS($AQ108=$AP$1,$AQ$1*AN108,$AQ108=$AP$2,$AQ$2*AN108,$AQ108=$AP$3,$AQ$3*AN108,$AQ108=$AP$4,$AQ$4*AN108)</f>
        <v>0</v>
      </c>
      <c r="BB108" s="155">
        <f>Table2[[#This Row],[FINAL Project System Capacity (MW)]]</f>
        <v>1.2410000000000001</v>
      </c>
      <c r="BC108" s="155" t="str">
        <f>Table2[[#This Row],[FN Parent  '#]]</f>
        <v>Individual Project</v>
      </c>
      <c r="BD108" s="155"/>
      <c r="BF108" s="155" t="str">
        <f t="shared" si="43"/>
        <v/>
      </c>
      <c r="BG108" s="155" t="str">
        <f t="shared" si="44"/>
        <v/>
      </c>
      <c r="BH108" s="155" t="str">
        <f t="shared" si="45"/>
        <v/>
      </c>
      <c r="BI108" s="155" t="str">
        <f t="shared" si="46"/>
        <v/>
      </c>
      <c r="BJ108" s="155" t="str">
        <f t="shared" si="47"/>
        <v/>
      </c>
      <c r="BK108" s="155" t="str">
        <f t="shared" si="48"/>
        <v/>
      </c>
      <c r="BL108" s="155" t="str">
        <f t="shared" si="49"/>
        <v/>
      </c>
      <c r="BM108" s="155" t="str">
        <f t="shared" si="50"/>
        <v/>
      </c>
      <c r="BN108" s="155" t="str">
        <f t="shared" si="51"/>
        <v/>
      </c>
      <c r="BO108" s="155" t="str">
        <f t="shared" si="52"/>
        <v/>
      </c>
      <c r="BP108" s="155">
        <f t="shared" si="53"/>
        <v>0</v>
      </c>
      <c r="BR108" s="206" t="s">
        <v>341</v>
      </c>
      <c r="BS108" s="155">
        <f t="shared" si="54"/>
        <v>567.07375108614133</v>
      </c>
      <c r="BT108" s="155">
        <f t="shared" si="55"/>
        <v>9</v>
      </c>
    </row>
    <row r="109" spans="1:72">
      <c r="A109" s="155" t="s">
        <v>267</v>
      </c>
      <c r="B109" s="155" t="s">
        <v>1226</v>
      </c>
      <c r="C109" s="155" t="s">
        <v>208</v>
      </c>
      <c r="D109" s="155">
        <v>7.2</v>
      </c>
      <c r="E109" s="189">
        <v>144.65820000000002</v>
      </c>
      <c r="F109" s="67">
        <v>411.38833</v>
      </c>
      <c r="G109" s="67">
        <v>369.28735999999998</v>
      </c>
      <c r="H109" s="67">
        <v>25.976279999999999</v>
      </c>
      <c r="I109" s="67">
        <v>12.41985</v>
      </c>
      <c r="J109" s="67">
        <v>0</v>
      </c>
      <c r="K109" s="67">
        <v>0</v>
      </c>
      <c r="L109" s="67">
        <v>0</v>
      </c>
      <c r="M109" s="67">
        <v>0</v>
      </c>
      <c r="N109" s="67">
        <v>0</v>
      </c>
      <c r="O109" s="67">
        <v>0</v>
      </c>
      <c r="Q109" s="202" t="s">
        <v>267</v>
      </c>
      <c r="R109" s="202" t="s">
        <v>1226</v>
      </c>
      <c r="S109" s="202" t="s">
        <v>208</v>
      </c>
      <c r="T109" s="76">
        <f>SUM($E109:F111)</f>
        <v>2816.3815300000001</v>
      </c>
      <c r="U109" s="76">
        <f>SUM($E109:G111)</f>
        <v>6236.0755900000004</v>
      </c>
      <c r="V109" s="76">
        <f>SUM($E109:H111)</f>
        <v>8998.8373999999985</v>
      </c>
      <c r="W109" s="76">
        <f>SUM($E109:I111)</f>
        <v>10463.350799999998</v>
      </c>
      <c r="X109" s="76">
        <f>SUM($E109:J111)</f>
        <v>10652.725850000001</v>
      </c>
      <c r="Y109" s="76">
        <f>SUM($E109:K111)</f>
        <v>10652.725850000001</v>
      </c>
      <c r="Z109" s="76">
        <f>SUM($E109:L111)</f>
        <v>10652.725850000001</v>
      </c>
      <c r="AA109" s="76">
        <f>SUM($E109:M111)</f>
        <v>10652.725850000001</v>
      </c>
      <c r="AB109" s="76">
        <f>SUM($E109:N111)</f>
        <v>10652.725850000001</v>
      </c>
      <c r="AC109" s="76">
        <f>SUM($E109:O111)</f>
        <v>10652.725850000001</v>
      </c>
      <c r="AE109" s="76">
        <f t="shared" si="31"/>
        <v>2816.3815300000001</v>
      </c>
      <c r="AF109" s="76">
        <f t="shared" si="32"/>
        <v>6367.0331773899998</v>
      </c>
      <c r="AG109" s="76">
        <f t="shared" si="33"/>
        <v>9380.7570580933952</v>
      </c>
      <c r="AH109" s="76">
        <f t="shared" si="34"/>
        <v>11136.481814600154</v>
      </c>
      <c r="AI109" s="76">
        <f t="shared" si="35"/>
        <v>11576.138625328258</v>
      </c>
      <c r="AJ109" s="76">
        <f t="shared" si="36"/>
        <v>11819.23753646015</v>
      </c>
      <c r="AK109" s="76">
        <f t="shared" si="37"/>
        <v>12067.441524725813</v>
      </c>
      <c r="AL109" s="76">
        <f t="shared" si="38"/>
        <v>12320.857796745053</v>
      </c>
      <c r="AM109" s="76">
        <f t="shared" si="39"/>
        <v>12579.595810476698</v>
      </c>
      <c r="AN109" s="76">
        <f t="shared" si="40"/>
        <v>12843.767322496706</v>
      </c>
      <c r="AP109" s="202" t="s">
        <v>267</v>
      </c>
      <c r="AQ109" s="202" t="s">
        <v>208</v>
      </c>
      <c r="AR109" s="155" cm="1">
        <f t="array" ref="AR109">_xlfn.IFS($AQ109=$AP$1,$AQ$1*AE109,$AQ109=$AP$2,$AQ$2*AE109,$AQ109=$AP$3,$AQ$3*AE109,$AQ109=$AP$4,$AQ$4*AE109)</f>
        <v>397.93402979589996</v>
      </c>
      <c r="AS109" s="155" cm="1">
        <f t="array" ref="AS109">_xlfn.IFS($AQ109=$AP$1,$AQ$1*AF109,$AQ109=$AP$2,$AQ$2*AF109,$AQ109=$AP$3,$AQ$3*AF109,$AQ109=$AP$4,$AQ$4*AF109)</f>
        <v>899.6150355108299</v>
      </c>
      <c r="AT109" s="155" cm="1">
        <f t="array" ref="AT109">_xlfn.IFS($AQ109=$AP$1,$AQ$1*AG109,$AQ109=$AP$2,$AQ$2*AG109,$AQ109=$AP$3,$AQ$3*AG109,$AQ109=$AP$4,$AQ$4*AG109)</f>
        <v>1325.4320903970122</v>
      </c>
      <c r="AU109" s="155" cm="1">
        <f t="array" ref="AU109">_xlfn.IFS($AQ109=$AP$1,$AQ$1*AH109,$AQ109=$AP$2,$AQ$2*AH109,$AQ109=$AP$3,$AQ$3*AH109,$AQ109=$AP$4,$AQ$4*AH109)</f>
        <v>1573.5031063893518</v>
      </c>
      <c r="AV109" s="155" cm="1">
        <f t="array" ref="AV109">_xlfn.IFS($AQ109=$AP$1,$AQ$1*AI109,$AQ109=$AP$2,$AQ$2*AI109,$AQ109=$AP$3,$AQ$3*AI109,$AQ109=$AP$4,$AQ$4*AI109)</f>
        <v>1635.6233853915535</v>
      </c>
      <c r="AW109" s="155" cm="1">
        <f t="array" ref="AW109">_xlfn.IFS($AQ109=$AP$1,$AQ$1*AJ109,$AQ109=$AP$2,$AQ$2*AJ109,$AQ109=$AP$3,$AQ$3*AJ109,$AQ109=$AP$4,$AQ$4*AJ109)</f>
        <v>1669.9714764847758</v>
      </c>
      <c r="AX109" s="155" cm="1">
        <f t="array" ref="AX109">_xlfn.IFS($AQ109=$AP$1,$AQ$1*AK109,$AQ109=$AP$2,$AQ$2*AK109,$AQ109=$AP$3,$AQ$3*AK109,$AQ109=$AP$4,$AQ$4*AK109)</f>
        <v>1705.0408774909561</v>
      </c>
      <c r="AY109" s="155" cm="1">
        <f t="array" ref="AY109">_xlfn.IFS($AQ109=$AP$1,$AQ$1*AL109,$AQ109=$AP$2,$AQ$2*AL109,$AQ109=$AP$3,$AQ$3*AL109,$AQ109=$AP$4,$AQ$4*AL109)</f>
        <v>1740.8467359182659</v>
      </c>
      <c r="AZ109" s="155" cm="1">
        <f t="array" ref="AZ109">_xlfn.IFS($AQ109=$AP$1,$AQ$1*AM109,$AQ109=$AP$2,$AQ$2*AM109,$AQ109=$AP$3,$AQ$3*AM109,$AQ109=$AP$4,$AQ$4*AM109)</f>
        <v>1777.4045173725494</v>
      </c>
      <c r="BA109" s="155" cm="1">
        <f t="array" ref="BA109">_xlfn.IFS($AQ109=$AP$1,$AQ$1*AN109,$AQ109=$AP$2,$AQ$2*AN109,$AQ109=$AP$3,$AQ$3*AN109,$AQ109=$AP$4,$AQ$4*AN109)</f>
        <v>1814.7300122373724</v>
      </c>
      <c r="BB109" s="155">
        <f>Table2[[#This Row],[FINAL Project System Capacity (MW)]]</f>
        <v>7.2</v>
      </c>
      <c r="BC109" s="155" t="str">
        <f>Table2[[#This Row],[FN Parent  '#]]</f>
        <v>FN011939</v>
      </c>
      <c r="BD109" s="155">
        <f t="shared" si="41"/>
        <v>7.2</v>
      </c>
      <c r="BE109" s="155">
        <f t="shared" si="42"/>
        <v>7.2</v>
      </c>
      <c r="BF109" s="155">
        <f t="shared" si="43"/>
        <v>55.268615249430546</v>
      </c>
      <c r="BG109" s="155">
        <f t="shared" si="44"/>
        <v>124.94653270983748</v>
      </c>
      <c r="BH109" s="155">
        <f t="shared" si="45"/>
        <v>184.08779033291836</v>
      </c>
      <c r="BI109" s="155">
        <f t="shared" si="46"/>
        <v>218.54209810963221</v>
      </c>
      <c r="BJ109" s="155">
        <f t="shared" si="47"/>
        <v>227.16991463771575</v>
      </c>
      <c r="BK109" s="155">
        <f t="shared" si="48"/>
        <v>231.94048284510774</v>
      </c>
      <c r="BL109" s="155">
        <f t="shared" si="49"/>
        <v>236.811232984855</v>
      </c>
      <c r="BM109" s="155">
        <f t="shared" si="50"/>
        <v>241.78426887753693</v>
      </c>
      <c r="BN109" s="155">
        <f t="shared" si="51"/>
        <v>246.86173852396519</v>
      </c>
      <c r="BO109" s="155">
        <f t="shared" si="52"/>
        <v>252.0458350329684</v>
      </c>
      <c r="BP109" s="155">
        <f t="shared" si="53"/>
        <v>191.67745579446606</v>
      </c>
      <c r="BR109" s="206" t="s">
        <v>342</v>
      </c>
      <c r="BS109" s="155">
        <f t="shared" si="54"/>
        <v>32.263697279133083</v>
      </c>
      <c r="BT109" s="155">
        <f t="shared" si="55"/>
        <v>35</v>
      </c>
    </row>
    <row r="110" spans="1:72">
      <c r="A110" s="155" t="s">
        <v>267</v>
      </c>
      <c r="B110" s="155" t="s">
        <v>1226</v>
      </c>
      <c r="C110" s="155" t="s">
        <v>208</v>
      </c>
      <c r="D110" s="155">
        <v>7.2</v>
      </c>
      <c r="E110" s="189">
        <v>241.57120000000003</v>
      </c>
      <c r="F110" s="67">
        <v>1433.3684599999999</v>
      </c>
      <c r="G110" s="67">
        <v>2321.09267</v>
      </c>
      <c r="H110" s="67">
        <v>2716.8456099999999</v>
      </c>
      <c r="I110" s="67">
        <v>1452.0935500000001</v>
      </c>
      <c r="J110" s="67">
        <v>189.37504999999999</v>
      </c>
      <c r="K110" s="67">
        <v>0</v>
      </c>
      <c r="L110" s="67">
        <v>0</v>
      </c>
      <c r="M110" s="67">
        <v>0</v>
      </c>
      <c r="N110" s="67">
        <v>0</v>
      </c>
      <c r="O110" s="67">
        <v>0</v>
      </c>
      <c r="Q110" s="201" t="s">
        <v>267</v>
      </c>
      <c r="R110" s="201" t="s">
        <v>1226</v>
      </c>
      <c r="S110" s="201" t="s">
        <v>208</v>
      </c>
      <c r="U110" s="155"/>
      <c r="V110" s="155"/>
      <c r="W110" s="155"/>
      <c r="X110" s="155"/>
      <c r="Y110" s="155"/>
      <c r="Z110" s="155"/>
      <c r="AA110" s="155"/>
      <c r="AB110" s="155"/>
      <c r="AC110" s="155"/>
      <c r="AE110" s="76">
        <f t="shared" si="31"/>
        <v>0</v>
      </c>
      <c r="AF110" s="76">
        <f t="shared" si="32"/>
        <v>0</v>
      </c>
      <c r="AG110" s="76">
        <f t="shared" si="33"/>
        <v>0</v>
      </c>
      <c r="AH110" s="76">
        <f t="shared" si="34"/>
        <v>0</v>
      </c>
      <c r="AI110" s="76">
        <f t="shared" si="35"/>
        <v>0</v>
      </c>
      <c r="AJ110" s="76">
        <f t="shared" si="36"/>
        <v>0</v>
      </c>
      <c r="AK110" s="76">
        <f t="shared" si="37"/>
        <v>0</v>
      </c>
      <c r="AL110" s="76">
        <f t="shared" si="38"/>
        <v>0</v>
      </c>
      <c r="AM110" s="76">
        <f t="shared" si="39"/>
        <v>0</v>
      </c>
      <c r="AN110" s="76">
        <f t="shared" si="40"/>
        <v>0</v>
      </c>
      <c r="AP110" s="201" t="s">
        <v>267</v>
      </c>
      <c r="AQ110" s="201" t="s">
        <v>208</v>
      </c>
      <c r="AR110" s="155" cm="1">
        <f t="array" ref="AR110">_xlfn.IFS($AQ110=$AP$1,$AQ$1*AE110,$AQ110=$AP$2,$AQ$2*AE110,$AQ110=$AP$3,$AQ$3*AE110,$AQ110=$AP$4,$AQ$4*AE110)</f>
        <v>0</v>
      </c>
      <c r="AS110" s="155" cm="1">
        <f t="array" ref="AS110">_xlfn.IFS($AQ110=$AP$1,$AQ$1*AF110,$AQ110=$AP$2,$AQ$2*AF110,$AQ110=$AP$3,$AQ$3*AF110,$AQ110=$AP$4,$AQ$4*AF110)</f>
        <v>0</v>
      </c>
      <c r="AT110" s="155" cm="1">
        <f t="array" ref="AT110">_xlfn.IFS($AQ110=$AP$1,$AQ$1*AG110,$AQ110=$AP$2,$AQ$2*AG110,$AQ110=$AP$3,$AQ$3*AG110,$AQ110=$AP$4,$AQ$4*AG110)</f>
        <v>0</v>
      </c>
      <c r="AU110" s="155" cm="1">
        <f t="array" ref="AU110">_xlfn.IFS($AQ110=$AP$1,$AQ$1*AH110,$AQ110=$AP$2,$AQ$2*AH110,$AQ110=$AP$3,$AQ$3*AH110,$AQ110=$AP$4,$AQ$4*AH110)</f>
        <v>0</v>
      </c>
      <c r="AV110" s="155" cm="1">
        <f t="array" ref="AV110">_xlfn.IFS($AQ110=$AP$1,$AQ$1*AI110,$AQ110=$AP$2,$AQ$2*AI110,$AQ110=$AP$3,$AQ$3*AI110,$AQ110=$AP$4,$AQ$4*AI110)</f>
        <v>0</v>
      </c>
      <c r="AW110" s="155" cm="1">
        <f t="array" ref="AW110">_xlfn.IFS($AQ110=$AP$1,$AQ$1*AJ110,$AQ110=$AP$2,$AQ$2*AJ110,$AQ110=$AP$3,$AQ$3*AJ110,$AQ110=$AP$4,$AQ$4*AJ110)</f>
        <v>0</v>
      </c>
      <c r="AX110" s="155" cm="1">
        <f t="array" ref="AX110">_xlfn.IFS($AQ110=$AP$1,$AQ$1*AK110,$AQ110=$AP$2,$AQ$2*AK110,$AQ110=$AP$3,$AQ$3*AK110,$AQ110=$AP$4,$AQ$4*AK110)</f>
        <v>0</v>
      </c>
      <c r="AY110" s="155" cm="1">
        <f t="array" ref="AY110">_xlfn.IFS($AQ110=$AP$1,$AQ$1*AL110,$AQ110=$AP$2,$AQ$2*AL110,$AQ110=$AP$3,$AQ$3*AL110,$AQ110=$AP$4,$AQ$4*AL110)</f>
        <v>0</v>
      </c>
      <c r="AZ110" s="155" cm="1">
        <f t="array" ref="AZ110">_xlfn.IFS($AQ110=$AP$1,$AQ$1*AM110,$AQ110=$AP$2,$AQ$2*AM110,$AQ110=$AP$3,$AQ$3*AM110,$AQ110=$AP$4,$AQ$4*AM110)</f>
        <v>0</v>
      </c>
      <c r="BA110" s="155" cm="1">
        <f t="array" ref="BA110">_xlfn.IFS($AQ110=$AP$1,$AQ$1*AN110,$AQ110=$AP$2,$AQ$2*AN110,$AQ110=$AP$3,$AQ$3*AN110,$AQ110=$AP$4,$AQ$4*AN110)</f>
        <v>0</v>
      </c>
      <c r="BB110" s="155"/>
      <c r="BC110" s="155" t="str">
        <f>Table2[[#This Row],[FN Parent  '#]]</f>
        <v>FN011939</v>
      </c>
      <c r="BD110" s="155">
        <f t="shared" si="41"/>
        <v>0</v>
      </c>
      <c r="BF110" s="155" t="str">
        <f t="shared" si="43"/>
        <v/>
      </c>
      <c r="BG110" s="155" t="str">
        <f t="shared" si="44"/>
        <v/>
      </c>
      <c r="BH110" s="155" t="str">
        <f t="shared" si="45"/>
        <v/>
      </c>
      <c r="BI110" s="155" t="str">
        <f t="shared" si="46"/>
        <v/>
      </c>
      <c r="BJ110" s="155" t="str">
        <f t="shared" si="47"/>
        <v/>
      </c>
      <c r="BK110" s="155" t="str">
        <f t="shared" si="48"/>
        <v/>
      </c>
      <c r="BL110" s="155" t="str">
        <f t="shared" si="49"/>
        <v/>
      </c>
      <c r="BM110" s="155" t="str">
        <f t="shared" si="50"/>
        <v/>
      </c>
      <c r="BN110" s="155" t="str">
        <f t="shared" si="51"/>
        <v/>
      </c>
      <c r="BO110" s="155" t="str">
        <f t="shared" si="52"/>
        <v/>
      </c>
      <c r="BP110" s="155">
        <f t="shared" si="53"/>
        <v>0</v>
      </c>
      <c r="BR110" s="206" t="s">
        <v>343</v>
      </c>
      <c r="BS110" s="155">
        <f t="shared" si="54"/>
        <v>175.72630541250089</v>
      </c>
      <c r="BT110" s="155">
        <f t="shared" si="55"/>
        <v>2.38</v>
      </c>
    </row>
    <row r="111" spans="1:72">
      <c r="A111" s="155" t="s">
        <v>267</v>
      </c>
      <c r="B111" s="155" t="s">
        <v>1226</v>
      </c>
      <c r="C111" s="155" t="s">
        <v>208</v>
      </c>
      <c r="D111" s="155">
        <v>7.2</v>
      </c>
      <c r="E111" s="189">
        <v>92.631839999999997</v>
      </c>
      <c r="F111" s="67">
        <v>492.76350000000002</v>
      </c>
      <c r="G111" s="67">
        <v>729.31403</v>
      </c>
      <c r="H111" s="67">
        <v>19.939920000000001</v>
      </c>
      <c r="I111" s="67">
        <v>0</v>
      </c>
      <c r="J111" s="67">
        <v>0</v>
      </c>
      <c r="K111" s="67">
        <v>0</v>
      </c>
      <c r="L111" s="67">
        <v>0</v>
      </c>
      <c r="M111" s="67">
        <v>0</v>
      </c>
      <c r="N111" s="67">
        <v>0</v>
      </c>
      <c r="O111" s="67">
        <v>0</v>
      </c>
      <c r="Q111" s="202" t="s">
        <v>267</v>
      </c>
      <c r="R111" s="202" t="s">
        <v>1226</v>
      </c>
      <c r="S111" s="202" t="s">
        <v>208</v>
      </c>
      <c r="U111" s="155"/>
      <c r="V111" s="155"/>
      <c r="W111" s="155"/>
      <c r="X111" s="155"/>
      <c r="Y111" s="155"/>
      <c r="Z111" s="155"/>
      <c r="AA111" s="155"/>
      <c r="AB111" s="155"/>
      <c r="AC111" s="155"/>
      <c r="AE111" s="76">
        <f t="shared" si="31"/>
        <v>0</v>
      </c>
      <c r="AF111" s="76">
        <f t="shared" si="32"/>
        <v>0</v>
      </c>
      <c r="AG111" s="76">
        <f t="shared" si="33"/>
        <v>0</v>
      </c>
      <c r="AH111" s="76">
        <f t="shared" si="34"/>
        <v>0</v>
      </c>
      <c r="AI111" s="76">
        <f t="shared" si="35"/>
        <v>0</v>
      </c>
      <c r="AJ111" s="76">
        <f t="shared" si="36"/>
        <v>0</v>
      </c>
      <c r="AK111" s="76">
        <f t="shared" si="37"/>
        <v>0</v>
      </c>
      <c r="AL111" s="76">
        <f t="shared" si="38"/>
        <v>0</v>
      </c>
      <c r="AM111" s="76">
        <f t="shared" si="39"/>
        <v>0</v>
      </c>
      <c r="AN111" s="76">
        <f t="shared" si="40"/>
        <v>0</v>
      </c>
      <c r="AP111" s="202" t="s">
        <v>267</v>
      </c>
      <c r="AQ111" s="202" t="s">
        <v>208</v>
      </c>
      <c r="AR111" s="155" cm="1">
        <f t="array" ref="AR111">_xlfn.IFS($AQ111=$AP$1,$AQ$1*AE111,$AQ111=$AP$2,$AQ$2*AE111,$AQ111=$AP$3,$AQ$3*AE111,$AQ111=$AP$4,$AQ$4*AE111)</f>
        <v>0</v>
      </c>
      <c r="AS111" s="155" cm="1">
        <f t="array" ref="AS111">_xlfn.IFS($AQ111=$AP$1,$AQ$1*AF111,$AQ111=$AP$2,$AQ$2*AF111,$AQ111=$AP$3,$AQ$3*AF111,$AQ111=$AP$4,$AQ$4*AF111)</f>
        <v>0</v>
      </c>
      <c r="AT111" s="155" cm="1">
        <f t="array" ref="AT111">_xlfn.IFS($AQ111=$AP$1,$AQ$1*AG111,$AQ111=$AP$2,$AQ$2*AG111,$AQ111=$AP$3,$AQ$3*AG111,$AQ111=$AP$4,$AQ$4*AG111)</f>
        <v>0</v>
      </c>
      <c r="AU111" s="155" cm="1">
        <f t="array" ref="AU111">_xlfn.IFS($AQ111=$AP$1,$AQ$1*AH111,$AQ111=$AP$2,$AQ$2*AH111,$AQ111=$AP$3,$AQ$3*AH111,$AQ111=$AP$4,$AQ$4*AH111)</f>
        <v>0</v>
      </c>
      <c r="AV111" s="155" cm="1">
        <f t="array" ref="AV111">_xlfn.IFS($AQ111=$AP$1,$AQ$1*AI111,$AQ111=$AP$2,$AQ$2*AI111,$AQ111=$AP$3,$AQ$3*AI111,$AQ111=$AP$4,$AQ$4*AI111)</f>
        <v>0</v>
      </c>
      <c r="AW111" s="155" cm="1">
        <f t="array" ref="AW111">_xlfn.IFS($AQ111=$AP$1,$AQ$1*AJ111,$AQ111=$AP$2,$AQ$2*AJ111,$AQ111=$AP$3,$AQ$3*AJ111,$AQ111=$AP$4,$AQ$4*AJ111)</f>
        <v>0</v>
      </c>
      <c r="AX111" s="155" cm="1">
        <f t="array" ref="AX111">_xlfn.IFS($AQ111=$AP$1,$AQ$1*AK111,$AQ111=$AP$2,$AQ$2*AK111,$AQ111=$AP$3,$AQ$3*AK111,$AQ111=$AP$4,$AQ$4*AK111)</f>
        <v>0</v>
      </c>
      <c r="AY111" s="155" cm="1">
        <f t="array" ref="AY111">_xlfn.IFS($AQ111=$AP$1,$AQ$1*AL111,$AQ111=$AP$2,$AQ$2*AL111,$AQ111=$AP$3,$AQ$3*AL111,$AQ111=$AP$4,$AQ$4*AL111)</f>
        <v>0</v>
      </c>
      <c r="AZ111" s="155" cm="1">
        <f t="array" ref="AZ111">_xlfn.IFS($AQ111=$AP$1,$AQ$1*AM111,$AQ111=$AP$2,$AQ$2*AM111,$AQ111=$AP$3,$AQ$3*AM111,$AQ111=$AP$4,$AQ$4*AM111)</f>
        <v>0</v>
      </c>
      <c r="BA111" s="155" cm="1">
        <f t="array" ref="BA111">_xlfn.IFS($AQ111=$AP$1,$AQ$1*AN111,$AQ111=$AP$2,$AQ$2*AN111,$AQ111=$AP$3,$AQ$3*AN111,$AQ111=$AP$4,$AQ$4*AN111)</f>
        <v>0</v>
      </c>
      <c r="BB111" s="155"/>
      <c r="BC111" s="155" t="str">
        <f>Table2[[#This Row],[FN Parent  '#]]</f>
        <v>FN011939</v>
      </c>
      <c r="BD111" s="155">
        <f t="shared" si="41"/>
        <v>0</v>
      </c>
      <c r="BF111" s="155" t="str">
        <f t="shared" si="43"/>
        <v/>
      </c>
      <c r="BG111" s="155" t="str">
        <f t="shared" si="44"/>
        <v/>
      </c>
      <c r="BH111" s="155" t="str">
        <f t="shared" si="45"/>
        <v/>
      </c>
      <c r="BI111" s="155" t="str">
        <f t="shared" si="46"/>
        <v/>
      </c>
      <c r="BJ111" s="155" t="str">
        <f t="shared" si="47"/>
        <v/>
      </c>
      <c r="BK111" s="155" t="str">
        <f t="shared" si="48"/>
        <v/>
      </c>
      <c r="BL111" s="155" t="str">
        <f t="shared" si="49"/>
        <v/>
      </c>
      <c r="BM111" s="155" t="str">
        <f t="shared" si="50"/>
        <v/>
      </c>
      <c r="BN111" s="155" t="str">
        <f t="shared" si="51"/>
        <v/>
      </c>
      <c r="BO111" s="155" t="str">
        <f t="shared" si="52"/>
        <v/>
      </c>
      <c r="BP111" s="155">
        <f t="shared" si="53"/>
        <v>0</v>
      </c>
      <c r="BR111" s="206" t="s">
        <v>345</v>
      </c>
      <c r="BS111" s="155">
        <f t="shared" si="54"/>
        <v>85.5921359916656</v>
      </c>
      <c r="BT111" s="155">
        <f t="shared" si="55"/>
        <v>23.4</v>
      </c>
    </row>
    <row r="112" spans="1:72">
      <c r="A112" s="155" t="s">
        <v>267</v>
      </c>
      <c r="B112" s="155" t="s">
        <v>1226</v>
      </c>
      <c r="C112" s="155" t="s">
        <v>207</v>
      </c>
      <c r="D112" s="155">
        <v>7.2</v>
      </c>
      <c r="E112" s="189">
        <v>9873.140159999999</v>
      </c>
      <c r="F112" s="67">
        <v>6407.1243099999983</v>
      </c>
      <c r="G112" s="67">
        <v>2741.8984099999998</v>
      </c>
      <c r="H112" s="67">
        <v>120</v>
      </c>
      <c r="I112" s="67">
        <v>0</v>
      </c>
      <c r="J112" s="67">
        <v>0</v>
      </c>
      <c r="K112" s="67">
        <v>0</v>
      </c>
      <c r="L112" s="67">
        <v>0</v>
      </c>
      <c r="M112" s="67">
        <v>0</v>
      </c>
      <c r="N112" s="67">
        <v>0</v>
      </c>
      <c r="O112" s="67">
        <v>0</v>
      </c>
      <c r="Q112" s="201" t="s">
        <v>267</v>
      </c>
      <c r="R112" s="201" t="s">
        <v>1226</v>
      </c>
      <c r="S112" s="201" t="s">
        <v>207</v>
      </c>
      <c r="T112" s="76">
        <f>SUM($E112:F112)</f>
        <v>16280.264469999998</v>
      </c>
      <c r="U112" s="76">
        <f>SUM($E112:G112)</f>
        <v>19022.162879999996</v>
      </c>
      <c r="V112" s="76">
        <f>SUM($E112:H112)</f>
        <v>19142.162879999996</v>
      </c>
      <c r="W112" s="76">
        <f>SUM($E112:I112)</f>
        <v>19142.162879999996</v>
      </c>
      <c r="X112" s="76">
        <f>SUM($E112:J112)</f>
        <v>19142.162879999996</v>
      </c>
      <c r="Y112" s="76">
        <f>SUM($E112:K112)</f>
        <v>19142.162879999996</v>
      </c>
      <c r="Z112" s="76">
        <f>SUM($E112:L112)</f>
        <v>19142.162879999996</v>
      </c>
      <c r="AA112" s="76">
        <f>SUM($E112:M112)</f>
        <v>19142.162879999996</v>
      </c>
      <c r="AB112" s="76">
        <f>SUM($E112:N112)</f>
        <v>19142.162879999996</v>
      </c>
      <c r="AC112" s="76">
        <f>SUM($E112:O112)</f>
        <v>19142.162879999996</v>
      </c>
      <c r="AE112" s="76">
        <f t="shared" si="31"/>
        <v>16280.264469999998</v>
      </c>
      <c r="AF112" s="76">
        <f t="shared" si="32"/>
        <v>19421.628300479995</v>
      </c>
      <c r="AG112" s="76">
        <f t="shared" si="33"/>
        <v>19954.57541479007</v>
      </c>
      <c r="AH112" s="76">
        <f t="shared" si="34"/>
        <v>20373.621498500663</v>
      </c>
      <c r="AI112" s="76">
        <f t="shared" si="35"/>
        <v>20801.467549969173</v>
      </c>
      <c r="AJ112" s="76">
        <f t="shared" si="36"/>
        <v>21238.298368518521</v>
      </c>
      <c r="AK112" s="76">
        <f t="shared" si="37"/>
        <v>21684.302634257408</v>
      </c>
      <c r="AL112" s="76">
        <f t="shared" si="38"/>
        <v>22139.672989576811</v>
      </c>
      <c r="AM112" s="76">
        <f t="shared" si="39"/>
        <v>22604.60612235792</v>
      </c>
      <c r="AN112" s="76">
        <f t="shared" si="40"/>
        <v>23079.302850927434</v>
      </c>
      <c r="AP112" s="201" t="s">
        <v>267</v>
      </c>
      <c r="AQ112" s="201" t="s">
        <v>207</v>
      </c>
      <c r="AR112" s="155" cm="1">
        <f t="array" ref="AR112">_xlfn.IFS($AQ112=$AP$1,$AQ$1*AE112,$AQ112=$AP$2,$AQ$2*AE112,$AQ112=$AP$3,$AQ$3*AE112,$AQ112=$AP$4,$AQ$4*AE112)</f>
        <v>1312.0605047517956</v>
      </c>
      <c r="AS112" s="155" cm="1">
        <f t="array" ref="AS112">_xlfn.IFS($AQ112=$AP$1,$AQ$1*AF112,$AQ112=$AP$2,$AQ$2*AF112,$AQ112=$AP$3,$AQ$3*AF112,$AQ112=$AP$4,$AQ$4*AF112)</f>
        <v>1565.22957461695</v>
      </c>
      <c r="AT112" s="155" cm="1">
        <f t="array" ref="AT112">_xlfn.IFS($AQ112=$AP$1,$AQ$1*AG112,$AQ112=$AP$2,$AQ$2*AG112,$AQ112=$AP$3,$AQ$3*AG112,$AQ112=$AP$4,$AQ$4*AG112)</f>
        <v>1608.180895284758</v>
      </c>
      <c r="AU112" s="155" cm="1">
        <f t="array" ref="AU112">_xlfn.IFS($AQ112=$AP$1,$AQ$1*AH112,$AQ112=$AP$2,$AQ$2*AH112,$AQ112=$AP$3,$AQ$3*AH112,$AQ112=$AP$4,$AQ$4*AH112)</f>
        <v>1641.9526940857379</v>
      </c>
      <c r="AV112" s="155" cm="1">
        <f t="array" ref="AV112">_xlfn.IFS($AQ112=$AP$1,$AQ$1*AI112,$AQ112=$AP$2,$AQ$2*AI112,$AQ112=$AP$3,$AQ$3*AI112,$AQ112=$AP$4,$AQ$4*AI112)</f>
        <v>1676.4337006615383</v>
      </c>
      <c r="AW112" s="155" cm="1">
        <f t="array" ref="AW112">_xlfn.IFS($AQ112=$AP$1,$AQ$1*AJ112,$AQ112=$AP$2,$AQ$2*AJ112,$AQ112=$AP$3,$AQ$3*AJ112,$AQ112=$AP$4,$AQ$4*AJ112)</f>
        <v>1711.63880837543</v>
      </c>
      <c r="AX112" s="155" cm="1">
        <f t="array" ref="AX112">_xlfn.IFS($AQ112=$AP$1,$AQ$1*AK112,$AQ112=$AP$2,$AQ$2*AK112,$AQ112=$AP$3,$AQ$3*AK112,$AQ112=$AP$4,$AQ$4*AK112)</f>
        <v>1747.583223351314</v>
      </c>
      <c r="AY112" s="155" cm="1">
        <f t="array" ref="AY112">_xlfn.IFS($AQ112=$AP$1,$AQ$1*AL112,$AQ112=$AP$2,$AQ$2*AL112,$AQ112=$AP$3,$AQ$3*AL112,$AQ112=$AP$4,$AQ$4*AL112)</f>
        <v>1784.2824710416915</v>
      </c>
      <c r="AZ112" s="155" cm="1">
        <f t="array" ref="AZ112">_xlfn.IFS($AQ112=$AP$1,$AQ$1*AM112,$AQ112=$AP$2,$AQ$2*AM112,$AQ112=$AP$3,$AQ$3*AM112,$AQ112=$AP$4,$AQ$4*AM112)</f>
        <v>1821.7524029335666</v>
      </c>
      <c r="BA112" s="155" cm="1">
        <f t="array" ref="BA112">_xlfn.IFS($AQ112=$AP$1,$AQ$1*AN112,$AQ112=$AP$2,$AQ$2*AN112,$AQ112=$AP$3,$AQ$3*AN112,$AQ112=$AP$4,$AQ$4*AN112)</f>
        <v>1860.0092033951712</v>
      </c>
      <c r="BB112" s="155">
        <f>Table2[[#This Row],[FINAL Project System Capacity (MW)]]</f>
        <v>7.2</v>
      </c>
      <c r="BC112" s="155" t="str">
        <f>Table2[[#This Row],[FN Parent  '#]]</f>
        <v>FN011939</v>
      </c>
      <c r="BD112" s="155">
        <f t="shared" si="41"/>
        <v>7.2</v>
      </c>
      <c r="BF112" s="155">
        <f t="shared" si="43"/>
        <v>182.23062565997162</v>
      </c>
      <c r="BG112" s="155">
        <f t="shared" si="44"/>
        <v>217.39299647457639</v>
      </c>
      <c r="BH112" s="155">
        <f t="shared" si="45"/>
        <v>223.35845767843861</v>
      </c>
      <c r="BI112" s="155">
        <f t="shared" si="46"/>
        <v>228.04898528968582</v>
      </c>
      <c r="BJ112" s="155">
        <f t="shared" si="47"/>
        <v>232.8380139807692</v>
      </c>
      <c r="BK112" s="155">
        <f t="shared" si="48"/>
        <v>237.72761227436527</v>
      </c>
      <c r="BL112" s="155">
        <f t="shared" si="49"/>
        <v>242.71989213212694</v>
      </c>
      <c r="BM112" s="155">
        <f t="shared" si="50"/>
        <v>247.81700986690157</v>
      </c>
      <c r="BN112" s="155">
        <f t="shared" si="51"/>
        <v>253.02116707410647</v>
      </c>
      <c r="BO112" s="155">
        <f t="shared" si="52"/>
        <v>258.33461158266266</v>
      </c>
      <c r="BP112" s="155">
        <f t="shared" si="53"/>
        <v>228.61996950457143</v>
      </c>
      <c r="BR112" s="206" t="s">
        <v>346</v>
      </c>
      <c r="BS112" s="155">
        <f t="shared" si="54"/>
        <v>15.675043686928136</v>
      </c>
      <c r="BT112" s="155">
        <f t="shared" si="55"/>
        <v>5</v>
      </c>
    </row>
    <row r="113" spans="1:72">
      <c r="A113" s="155" t="s">
        <v>268</v>
      </c>
      <c r="B113" s="155" t="s">
        <v>1345</v>
      </c>
      <c r="C113" s="155" t="s">
        <v>208</v>
      </c>
      <c r="D113" s="155">
        <v>2</v>
      </c>
      <c r="E113" s="189">
        <v>0</v>
      </c>
      <c r="F113" s="67">
        <v>0</v>
      </c>
      <c r="G113" s="67">
        <v>410</v>
      </c>
      <c r="H113" s="67">
        <v>1575</v>
      </c>
      <c r="I113" s="67">
        <v>6277</v>
      </c>
      <c r="J113" s="67">
        <v>401</v>
      </c>
      <c r="K113" s="67">
        <v>0</v>
      </c>
      <c r="L113" s="67">
        <v>0</v>
      </c>
      <c r="M113" s="67">
        <v>0</v>
      </c>
      <c r="N113" s="67">
        <v>0</v>
      </c>
      <c r="O113" s="67">
        <v>0</v>
      </c>
      <c r="Q113" s="202" t="s">
        <v>268</v>
      </c>
      <c r="R113" s="202" t="s">
        <v>1345</v>
      </c>
      <c r="S113" s="202" t="s">
        <v>208</v>
      </c>
      <c r="T113" s="76">
        <f>SUM($E113:F113)</f>
        <v>0</v>
      </c>
      <c r="U113" s="76">
        <f>SUM($E113:G113)</f>
        <v>410</v>
      </c>
      <c r="V113" s="76">
        <f>SUM($E113:H113)</f>
        <v>1985</v>
      </c>
      <c r="W113" s="76">
        <f>SUM($E113:I113)</f>
        <v>8262</v>
      </c>
      <c r="X113" s="76">
        <f>SUM($E113:J113)</f>
        <v>8663</v>
      </c>
      <c r="Y113" s="76">
        <f>SUM($E113:K113)</f>
        <v>8663</v>
      </c>
      <c r="Z113" s="76">
        <f>SUM($E113:L113)</f>
        <v>8663</v>
      </c>
      <c r="AA113" s="76">
        <f>SUM($E113:M113)</f>
        <v>8663</v>
      </c>
      <c r="AB113" s="76">
        <f>SUM($E113:N113)</f>
        <v>8663</v>
      </c>
      <c r="AC113" s="76">
        <f>SUM($E113:O113)</f>
        <v>8663</v>
      </c>
      <c r="AE113" s="76">
        <f t="shared" si="31"/>
        <v>0</v>
      </c>
      <c r="AF113" s="76">
        <f t="shared" si="32"/>
        <v>418.60999999999996</v>
      </c>
      <c r="AG113" s="76">
        <f t="shared" si="33"/>
        <v>2069.2453849999993</v>
      </c>
      <c r="AH113" s="76">
        <f t="shared" si="34"/>
        <v>8793.5131403819978</v>
      </c>
      <c r="AI113" s="76">
        <f t="shared" si="35"/>
        <v>9413.9368949608979</v>
      </c>
      <c r="AJ113" s="76">
        <f t="shared" si="36"/>
        <v>9611.6295697550759</v>
      </c>
      <c r="AK113" s="76">
        <f t="shared" si="37"/>
        <v>9813.4737907199324</v>
      </c>
      <c r="AL113" s="76">
        <f t="shared" si="38"/>
        <v>10019.55674032505</v>
      </c>
      <c r="AM113" s="76">
        <f t="shared" si="39"/>
        <v>10229.967431871873</v>
      </c>
      <c r="AN113" s="76">
        <f t="shared" si="40"/>
        <v>10444.796747941182</v>
      </c>
      <c r="AP113" s="202" t="s">
        <v>268</v>
      </c>
      <c r="AQ113" s="202" t="s">
        <v>208</v>
      </c>
      <c r="AR113" s="155" cm="1">
        <f t="array" ref="AR113">_xlfn.IFS($AQ113=$AP$1,$AQ$1*AE113,$AQ113=$AP$2,$AQ$2*AE113,$AQ113=$AP$3,$AQ$3*AE113,$AQ113=$AP$4,$AQ$4*AE113)</f>
        <v>0</v>
      </c>
      <c r="AS113" s="155" cm="1">
        <f t="array" ref="AS113">_xlfn.IFS($AQ113=$AP$1,$AQ$1*AF113,$AQ113=$AP$2,$AQ$2*AF113,$AQ113=$AP$3,$AQ$3*AF113,$AQ113=$AP$4,$AQ$4*AF113)</f>
        <v>59.146519190836209</v>
      </c>
      <c r="AT113" s="155" cm="1">
        <f t="array" ref="AT113">_xlfn.IFS($AQ113=$AP$1,$AQ$1*AG113,$AQ113=$AP$2,$AQ$2*AG113,$AQ113=$AP$3,$AQ$3*AG113,$AQ113=$AP$4,$AQ$4*AG113)</f>
        <v>292.36917864946304</v>
      </c>
      <c r="AU113" s="155" cm="1">
        <f t="array" ref="AU113">_xlfn.IFS($AQ113=$AP$1,$AQ$1*AH113,$AQ113=$AP$2,$AQ$2*AH113,$AQ113=$AP$3,$AQ$3*AH113,$AQ113=$AP$4,$AQ$4*AH113)</f>
        <v>1242.4588368946615</v>
      </c>
      <c r="AV113" s="155" cm="1">
        <f t="array" ref="AV113">_xlfn.IFS($AQ113=$AP$1,$AQ$1*AI113,$AQ113=$AP$2,$AQ$2*AI113,$AQ113=$AP$3,$AQ$3*AI113,$AQ113=$AP$4,$AQ$4*AI113)</f>
        <v>1330.1201577103411</v>
      </c>
      <c r="AW113" s="155" cm="1">
        <f t="array" ref="AW113">_xlfn.IFS($AQ113=$AP$1,$AQ$1*AJ113,$AQ113=$AP$2,$AQ$2*AJ113,$AQ113=$AP$3,$AQ$3*AJ113,$AQ113=$AP$4,$AQ$4*AJ113)</f>
        <v>1358.052681022258</v>
      </c>
      <c r="AX113" s="155" cm="1">
        <f t="array" ref="AX113">_xlfn.IFS($AQ113=$AP$1,$AQ$1*AK113,$AQ113=$AP$2,$AQ$2*AK113,$AQ113=$AP$3,$AQ$3*AK113,$AQ113=$AP$4,$AQ$4*AK113)</f>
        <v>1386.5717873237254</v>
      </c>
      <c r="AY113" s="155" cm="1">
        <f t="array" ref="AY113">_xlfn.IFS($AQ113=$AP$1,$AQ$1*AL113,$AQ113=$AP$2,$AQ$2*AL113,$AQ113=$AP$3,$AQ$3*AL113,$AQ113=$AP$4,$AQ$4*AL113)</f>
        <v>1415.6897948575236</v>
      </c>
      <c r="AZ113" s="155" cm="1">
        <f t="array" ref="AZ113">_xlfn.IFS($AQ113=$AP$1,$AQ$1*AM113,$AQ113=$AP$2,$AQ$2*AM113,$AQ113=$AP$3,$AQ$3*AM113,$AQ113=$AP$4,$AQ$4*AM113)</f>
        <v>1445.4192805495311</v>
      </c>
      <c r="BA113" s="155" cm="1">
        <f t="array" ref="BA113">_xlfn.IFS($AQ113=$AP$1,$AQ$1*AN113,$AQ113=$AP$2,$AQ$2*AN113,$AQ113=$AP$3,$AQ$3*AN113,$AQ113=$AP$4,$AQ$4*AN113)</f>
        <v>1475.7730854410711</v>
      </c>
      <c r="BB113" s="155">
        <f>Table2[[#This Row],[FINAL Project System Capacity (MW)]]</f>
        <v>2</v>
      </c>
      <c r="BC113" s="155" t="str">
        <f>Table2[[#This Row],[FN Parent  '#]]</f>
        <v>Individual Project</v>
      </c>
      <c r="BD113" s="155">
        <f t="shared" si="41"/>
        <v>2</v>
      </c>
      <c r="BE113" s="155">
        <f t="shared" si="42"/>
        <v>2</v>
      </c>
      <c r="BF113" s="155">
        <f t="shared" si="43"/>
        <v>0</v>
      </c>
      <c r="BG113" s="155">
        <f t="shared" si="44"/>
        <v>29.573259595418104</v>
      </c>
      <c r="BH113" s="155">
        <f t="shared" si="45"/>
        <v>146.18458932473152</v>
      </c>
      <c r="BI113" s="155">
        <f t="shared" si="46"/>
        <v>621.22941844733077</v>
      </c>
      <c r="BJ113" s="155">
        <f t="shared" si="47"/>
        <v>665.06007885517056</v>
      </c>
      <c r="BK113" s="155">
        <f t="shared" si="48"/>
        <v>679.02634051112898</v>
      </c>
      <c r="BL113" s="155">
        <f t="shared" si="49"/>
        <v>693.2858936618627</v>
      </c>
      <c r="BM113" s="155">
        <f t="shared" si="50"/>
        <v>707.84489742876178</v>
      </c>
      <c r="BN113" s="155">
        <f t="shared" si="51"/>
        <v>722.70964027476555</v>
      </c>
      <c r="BO113" s="155">
        <f t="shared" si="52"/>
        <v>737.88654272053554</v>
      </c>
      <c r="BP113" s="155">
        <f t="shared" si="53"/>
        <v>450.51098851140762</v>
      </c>
      <c r="BR113" s="206" t="s">
        <v>222</v>
      </c>
      <c r="BS113" s="155">
        <f t="shared" si="54"/>
        <v>163.13933323718084</v>
      </c>
      <c r="BT113" s="155">
        <f t="shared" si="55"/>
        <v>0.33</v>
      </c>
    </row>
    <row r="114" spans="1:72">
      <c r="A114" s="155" t="s">
        <v>273</v>
      </c>
      <c r="B114" s="155" t="s">
        <v>1250</v>
      </c>
      <c r="C114" s="155" t="s">
        <v>208</v>
      </c>
      <c r="D114" s="155">
        <v>40</v>
      </c>
      <c r="E114" s="189">
        <v>0</v>
      </c>
      <c r="F114" s="67">
        <v>0</v>
      </c>
      <c r="G114" s="67">
        <v>0</v>
      </c>
      <c r="H114" s="67">
        <v>0</v>
      </c>
      <c r="I114" s="67">
        <v>0</v>
      </c>
      <c r="J114" s="67">
        <v>0</v>
      </c>
      <c r="K114" s="67">
        <v>49.5</v>
      </c>
      <c r="L114" s="67">
        <v>1642.41</v>
      </c>
      <c r="M114" s="67">
        <v>6317.19</v>
      </c>
      <c r="N114" s="67">
        <v>7346.79</v>
      </c>
      <c r="O114" s="67">
        <v>0</v>
      </c>
      <c r="Q114" s="201" t="s">
        <v>273</v>
      </c>
      <c r="R114" s="201" t="s">
        <v>1250</v>
      </c>
      <c r="S114" s="201" t="s">
        <v>208</v>
      </c>
      <c r="T114" s="76">
        <f>SUM($E114:F114)</f>
        <v>0</v>
      </c>
      <c r="U114" s="76">
        <f>SUM($E114:G114)</f>
        <v>0</v>
      </c>
      <c r="V114" s="76">
        <f>SUM($E114:H114)</f>
        <v>0</v>
      </c>
      <c r="W114" s="76">
        <f>SUM($E114:I114)</f>
        <v>0</v>
      </c>
      <c r="X114" s="76">
        <f>SUM($E114:J114)</f>
        <v>0</v>
      </c>
      <c r="Y114" s="76">
        <f>SUM($E114:K114)</f>
        <v>49.5</v>
      </c>
      <c r="Z114" s="76">
        <f>SUM($E114:L114)</f>
        <v>1691.91</v>
      </c>
      <c r="AA114" s="76">
        <f>SUM($E114:M114)</f>
        <v>8009.0999999999995</v>
      </c>
      <c r="AB114" s="76">
        <f>SUM($E114:N114)</f>
        <v>15355.89</v>
      </c>
      <c r="AC114" s="76">
        <f>SUM($E114:O114)</f>
        <v>15355.89</v>
      </c>
      <c r="AE114" s="76">
        <f t="shared" si="31"/>
        <v>0</v>
      </c>
      <c r="AF114" s="76">
        <f t="shared" si="32"/>
        <v>0</v>
      </c>
      <c r="AG114" s="76">
        <f t="shared" si="33"/>
        <v>0</v>
      </c>
      <c r="AH114" s="76">
        <f t="shared" si="34"/>
        <v>0</v>
      </c>
      <c r="AI114" s="76">
        <f t="shared" si="35"/>
        <v>0</v>
      </c>
      <c r="AJ114" s="76">
        <f t="shared" si="36"/>
        <v>54.920427531210464</v>
      </c>
      <c r="AK114" s="76">
        <f t="shared" si="37"/>
        <v>1916.6009974901258</v>
      </c>
      <c r="AL114" s="76">
        <f t="shared" si="38"/>
        <v>9263.261213082922</v>
      </c>
      <c r="AM114" s="76">
        <f t="shared" si="39"/>
        <v>18133.47045912582</v>
      </c>
      <c r="AN114" s="76">
        <f t="shared" si="40"/>
        <v>18514.27333876746</v>
      </c>
      <c r="AP114" s="201" t="s">
        <v>273</v>
      </c>
      <c r="AQ114" s="201" t="s">
        <v>208</v>
      </c>
      <c r="AR114" s="155" cm="1">
        <f t="array" ref="AR114">_xlfn.IFS($AQ114=$AP$1,$AQ$1*AE114,$AQ114=$AP$2,$AQ$2*AE114,$AQ114=$AP$3,$AQ$3*AE114,$AQ114=$AP$4,$AQ$4*AE114)</f>
        <v>0</v>
      </c>
      <c r="AS114" s="155" cm="1">
        <f t="array" ref="AS114">_xlfn.IFS($AQ114=$AP$1,$AQ$1*AF114,$AQ114=$AP$2,$AQ$2*AF114,$AQ114=$AP$3,$AQ$3*AF114,$AQ114=$AP$4,$AQ$4*AF114)</f>
        <v>0</v>
      </c>
      <c r="AT114" s="155" cm="1">
        <f t="array" ref="AT114">_xlfn.IFS($AQ114=$AP$1,$AQ$1*AG114,$AQ114=$AP$2,$AQ$2*AG114,$AQ114=$AP$3,$AQ$3*AG114,$AQ114=$AP$4,$AQ$4*AG114)</f>
        <v>0</v>
      </c>
      <c r="AU114" s="155" cm="1">
        <f t="array" ref="AU114">_xlfn.IFS($AQ114=$AP$1,$AQ$1*AH114,$AQ114=$AP$2,$AQ$2*AH114,$AQ114=$AP$3,$AQ$3*AH114,$AQ114=$AP$4,$AQ$4*AH114)</f>
        <v>0</v>
      </c>
      <c r="AV114" s="155" cm="1">
        <f t="array" ref="AV114">_xlfn.IFS($AQ114=$AP$1,$AQ$1*AI114,$AQ114=$AP$2,$AQ$2*AI114,$AQ114=$AP$3,$AQ$3*AI114,$AQ114=$AP$4,$AQ$4*AI114)</f>
        <v>0</v>
      </c>
      <c r="AW114" s="155" cm="1">
        <f t="array" ref="AW114">_xlfn.IFS($AQ114=$AP$1,$AQ$1*AJ114,$AQ114=$AP$2,$AQ$2*AJ114,$AQ114=$AP$3,$AQ$3*AJ114,$AQ114=$AP$4,$AQ$4*AJ114)</f>
        <v>7.7598531352420377</v>
      </c>
      <c r="AX114" s="155" cm="1">
        <f t="array" ref="AX114">_xlfn.IFS($AQ114=$AP$1,$AQ$1*AK114,$AQ114=$AP$2,$AQ$2*AK114,$AQ114=$AP$3,$AQ$3*AK114,$AQ114=$AP$4,$AQ$4*AK114)</f>
        <v>270.80164754598684</v>
      </c>
      <c r="AY114" s="155" cm="1">
        <f t="array" ref="AY114">_xlfn.IFS($AQ114=$AP$1,$AQ$1*AL114,$AQ114=$AP$2,$AQ$2*AL114,$AQ114=$AP$3,$AQ$3*AL114,$AQ114=$AP$4,$AQ$4*AL114)</f>
        <v>1308.8307902566537</v>
      </c>
      <c r="AZ114" s="155" cm="1">
        <f t="array" ref="AZ114">_xlfn.IFS($AQ114=$AP$1,$AQ$1*AM114,$AQ114=$AP$2,$AQ$2*AM114,$AQ114=$AP$3,$AQ$3*AM114,$AQ114=$AP$4,$AQ$4*AM114)</f>
        <v>2562.1262237097703</v>
      </c>
      <c r="BA114" s="155" cm="1">
        <f t="array" ref="BA114">_xlfn.IFS($AQ114=$AP$1,$AQ$1*AN114,$AQ114=$AP$2,$AQ$2*AN114,$AQ114=$AP$3,$AQ$3*AN114,$AQ114=$AP$4,$AQ$4*AN114)</f>
        <v>2615.9308744076752</v>
      </c>
      <c r="BB114" s="155">
        <f>Table2[[#This Row],[FINAL Project System Capacity (MW)]]</f>
        <v>40</v>
      </c>
      <c r="BC114" s="155" t="str">
        <f>Table2[[#This Row],[FN Parent  '#]]</f>
        <v>FN011971</v>
      </c>
      <c r="BD114" s="155">
        <f t="shared" si="41"/>
        <v>40</v>
      </c>
      <c r="BE114" s="155">
        <f t="shared" si="42"/>
        <v>40</v>
      </c>
      <c r="BF114" s="155">
        <f t="shared" si="43"/>
        <v>0</v>
      </c>
      <c r="BG114" s="155">
        <f t="shared" si="44"/>
        <v>0</v>
      </c>
      <c r="BH114" s="155">
        <f t="shared" si="45"/>
        <v>0</v>
      </c>
      <c r="BI114" s="155">
        <f t="shared" si="46"/>
        <v>0</v>
      </c>
      <c r="BJ114" s="155">
        <f t="shared" si="47"/>
        <v>0</v>
      </c>
      <c r="BK114" s="155">
        <f t="shared" si="48"/>
        <v>0.19399632838105094</v>
      </c>
      <c r="BL114" s="155">
        <f t="shared" si="49"/>
        <v>6.770041188649671</v>
      </c>
      <c r="BM114" s="155">
        <f t="shared" si="50"/>
        <v>32.720769756416345</v>
      </c>
      <c r="BN114" s="155">
        <f t="shared" si="51"/>
        <v>64.053155592744261</v>
      </c>
      <c r="BO114" s="155">
        <f t="shared" si="52"/>
        <v>65.398271860191883</v>
      </c>
      <c r="BP114" s="155">
        <f t="shared" si="53"/>
        <v>13.089179503680214</v>
      </c>
      <c r="BR114" s="206" t="s">
        <v>350</v>
      </c>
      <c r="BS114" s="155">
        <f t="shared" si="54"/>
        <v>8.9639604091353569</v>
      </c>
      <c r="BT114" s="155">
        <f t="shared" si="55"/>
        <v>6</v>
      </c>
    </row>
    <row r="115" spans="1:72">
      <c r="A115" s="155" t="s">
        <v>270</v>
      </c>
      <c r="B115" s="155" t="s">
        <v>1345</v>
      </c>
      <c r="C115" s="155" t="s">
        <v>208</v>
      </c>
      <c r="D115" s="155">
        <v>5</v>
      </c>
      <c r="E115" s="189">
        <v>0</v>
      </c>
      <c r="F115" s="67">
        <v>0</v>
      </c>
      <c r="G115" s="67">
        <v>0</v>
      </c>
      <c r="H115" s="67">
        <v>0</v>
      </c>
      <c r="I115" s="67">
        <v>0</v>
      </c>
      <c r="J115" s="67">
        <v>0</v>
      </c>
      <c r="K115" s="67">
        <v>250</v>
      </c>
      <c r="L115" s="67">
        <v>1830</v>
      </c>
      <c r="M115" s="67">
        <v>1850</v>
      </c>
      <c r="N115" s="67">
        <v>1020</v>
      </c>
      <c r="O115" s="67">
        <v>0</v>
      </c>
      <c r="Q115" s="202" t="s">
        <v>270</v>
      </c>
      <c r="R115" s="202" t="s">
        <v>1345</v>
      </c>
      <c r="S115" s="202" t="s">
        <v>208</v>
      </c>
      <c r="T115" s="76">
        <f>SUM($E115:F116)</f>
        <v>0</v>
      </c>
      <c r="U115" s="76">
        <f>SUM($E115:G116)</f>
        <v>0</v>
      </c>
      <c r="V115" s="76">
        <f>SUM($E115:H116)</f>
        <v>0</v>
      </c>
      <c r="W115" s="76">
        <f>SUM($E115:I116)</f>
        <v>0</v>
      </c>
      <c r="X115" s="76">
        <f>SUM($E115:J116)</f>
        <v>0</v>
      </c>
      <c r="Y115" s="76">
        <f>SUM($E115:K116)</f>
        <v>250</v>
      </c>
      <c r="Z115" s="76">
        <f>SUM($E115:L116)</f>
        <v>2505.6999999999998</v>
      </c>
      <c r="AA115" s="76">
        <f>SUM($E115:M116)</f>
        <v>5989.2</v>
      </c>
      <c r="AB115" s="76">
        <f>SUM($E115:N116)</f>
        <v>8910</v>
      </c>
      <c r="AC115" s="76">
        <f>SUM($E115:O116)</f>
        <v>8910</v>
      </c>
      <c r="AE115" s="76">
        <f t="shared" si="31"/>
        <v>0</v>
      </c>
      <c r="AF115" s="76">
        <f t="shared" si="32"/>
        <v>0</v>
      </c>
      <c r="AG115" s="76">
        <f t="shared" si="33"/>
        <v>0</v>
      </c>
      <c r="AH115" s="76">
        <f t="shared" si="34"/>
        <v>0</v>
      </c>
      <c r="AI115" s="76">
        <f t="shared" si="35"/>
        <v>0</v>
      </c>
      <c r="AJ115" s="76">
        <f t="shared" si="36"/>
        <v>277.37589662227509</v>
      </c>
      <c r="AK115" s="76">
        <f t="shared" si="37"/>
        <v>2838.4648825357185</v>
      </c>
      <c r="AL115" s="76">
        <f t="shared" si="38"/>
        <v>6927.0609753151084</v>
      </c>
      <c r="AM115" s="76">
        <f t="shared" si="39"/>
        <v>10521.644905688376</v>
      </c>
      <c r="AN115" s="76">
        <f t="shared" si="40"/>
        <v>10742.59944870783</v>
      </c>
      <c r="AP115" s="202" t="s">
        <v>270</v>
      </c>
      <c r="AQ115" s="202" t="s">
        <v>208</v>
      </c>
      <c r="AR115" s="155" cm="1">
        <f t="array" ref="AR115">_xlfn.IFS($AQ115=$AP$1,$AQ$1*AE115,$AQ115=$AP$2,$AQ$2*AE115,$AQ115=$AP$3,$AQ$3*AE115,$AQ115=$AP$4,$AQ$4*AE115)</f>
        <v>0</v>
      </c>
      <c r="AS115" s="155" cm="1">
        <f t="array" ref="AS115">_xlfn.IFS($AQ115=$AP$1,$AQ$1*AF115,$AQ115=$AP$2,$AQ$2*AF115,$AQ115=$AP$3,$AQ$3*AF115,$AQ115=$AP$4,$AQ$4*AF115)</f>
        <v>0</v>
      </c>
      <c r="AT115" s="155" cm="1">
        <f t="array" ref="AT115">_xlfn.IFS($AQ115=$AP$1,$AQ$1*AG115,$AQ115=$AP$2,$AQ$2*AG115,$AQ115=$AP$3,$AQ$3*AG115,$AQ115=$AP$4,$AQ$4*AG115)</f>
        <v>0</v>
      </c>
      <c r="AU115" s="155" cm="1">
        <f t="array" ref="AU115">_xlfn.IFS($AQ115=$AP$1,$AQ$1*AH115,$AQ115=$AP$2,$AQ$2*AH115,$AQ115=$AP$3,$AQ$3*AH115,$AQ115=$AP$4,$AQ$4*AH115)</f>
        <v>0</v>
      </c>
      <c r="AV115" s="155" cm="1">
        <f t="array" ref="AV115">_xlfn.IFS($AQ115=$AP$1,$AQ$1*AI115,$AQ115=$AP$2,$AQ$2*AI115,$AQ115=$AP$3,$AQ$3*AI115,$AQ115=$AP$4,$AQ$4*AI115)</f>
        <v>0</v>
      </c>
      <c r="AW115" s="155" cm="1">
        <f t="array" ref="AW115">_xlfn.IFS($AQ115=$AP$1,$AQ$1*AJ115,$AQ115=$AP$2,$AQ$2*AJ115,$AQ115=$AP$3,$AQ$3*AJ115,$AQ115=$AP$4,$AQ$4*AJ115)</f>
        <v>39.191177450717362</v>
      </c>
      <c r="AX115" s="155" cm="1">
        <f t="array" ref="AX115">_xlfn.IFS($AQ115=$AP$1,$AQ$1*AK115,$AQ115=$AP$2,$AQ$2*AK115,$AQ115=$AP$3,$AQ$3*AK115,$AQ115=$AP$4,$AQ$4*AK115)</f>
        <v>401.05424535346395</v>
      </c>
      <c r="AY115" s="155" cm="1">
        <f t="array" ref="AY115">_xlfn.IFS($AQ115=$AP$1,$AQ$1*AL115,$AQ115=$AP$2,$AQ$2*AL115,$AQ115=$AP$3,$AQ$3*AL115,$AQ115=$AP$4,$AQ$4*AL115)</f>
        <v>978.74285113248061</v>
      </c>
      <c r="AZ115" s="155" cm="1">
        <f t="array" ref="AZ115">_xlfn.IFS($AQ115=$AP$1,$AQ$1*AM115,$AQ115=$AP$2,$AQ$2*AM115,$AQ115=$AP$3,$AQ$3*AM115,$AQ115=$AP$4,$AQ$4*AM115)</f>
        <v>1486.6311658428169</v>
      </c>
      <c r="BA115" s="155" cm="1">
        <f t="array" ref="BA115">_xlfn.IFS($AQ115=$AP$1,$AQ$1*AN115,$AQ115=$AP$2,$AQ$2*AN115,$AQ115=$AP$3,$AQ$3*AN115,$AQ115=$AP$4,$AQ$4*AN115)</f>
        <v>1517.8504203255159</v>
      </c>
      <c r="BB115" s="155">
        <f>Table2[[#This Row],[FINAL Project System Capacity (MW)]]</f>
        <v>5</v>
      </c>
      <c r="BC115" s="155" t="str">
        <f>Table2[[#This Row],[FN Parent  '#]]</f>
        <v>Individual Project</v>
      </c>
      <c r="BD115" s="155">
        <f>BB115+BB116</f>
        <v>10</v>
      </c>
      <c r="BE115" s="155">
        <f t="shared" si="42"/>
        <v>10</v>
      </c>
      <c r="BF115" s="155">
        <f t="shared" si="43"/>
        <v>0</v>
      </c>
      <c r="BG115" s="155">
        <f t="shared" si="44"/>
        <v>0</v>
      </c>
      <c r="BH115" s="155">
        <f t="shared" si="45"/>
        <v>0</v>
      </c>
      <c r="BI115" s="155">
        <f t="shared" si="46"/>
        <v>0</v>
      </c>
      <c r="BJ115" s="155">
        <f t="shared" si="47"/>
        <v>0</v>
      </c>
      <c r="BK115" s="155">
        <f t="shared" si="48"/>
        <v>3.9191177450717363</v>
      </c>
      <c r="BL115" s="155">
        <f t="shared" si="49"/>
        <v>40.105424535346394</v>
      </c>
      <c r="BM115" s="155">
        <f t="shared" si="50"/>
        <v>97.874285113248064</v>
      </c>
      <c r="BN115" s="155">
        <f t="shared" si="51"/>
        <v>148.66311658428168</v>
      </c>
      <c r="BO115" s="155">
        <f t="shared" si="52"/>
        <v>151.78504203255159</v>
      </c>
      <c r="BP115" s="155">
        <f t="shared" si="53"/>
        <v>34.7009190267664</v>
      </c>
      <c r="BR115" s="206" t="s">
        <v>352</v>
      </c>
      <c r="BS115" s="155">
        <f t="shared" si="54"/>
        <v>363.21227902428762</v>
      </c>
      <c r="BT115" s="155">
        <f t="shared" si="55"/>
        <v>2</v>
      </c>
    </row>
    <row r="116" spans="1:72">
      <c r="A116" s="155" t="s">
        <v>270</v>
      </c>
      <c r="B116" s="155" t="s">
        <v>1345</v>
      </c>
      <c r="C116" s="155" t="s">
        <v>208</v>
      </c>
      <c r="D116" s="155">
        <v>5</v>
      </c>
      <c r="E116" s="189">
        <v>0</v>
      </c>
      <c r="F116" s="67">
        <v>0</v>
      </c>
      <c r="G116" s="67">
        <v>0</v>
      </c>
      <c r="H116" s="67">
        <v>0</v>
      </c>
      <c r="I116" s="67">
        <v>0</v>
      </c>
      <c r="J116" s="67">
        <v>0</v>
      </c>
      <c r="K116" s="67">
        <v>0</v>
      </c>
      <c r="L116" s="67">
        <v>425.7</v>
      </c>
      <c r="M116" s="67">
        <v>1633.5</v>
      </c>
      <c r="N116" s="67">
        <v>1900.8</v>
      </c>
      <c r="O116" s="67">
        <v>0</v>
      </c>
      <c r="Q116" s="201" t="s">
        <v>270</v>
      </c>
      <c r="R116" s="201" t="s">
        <v>1345</v>
      </c>
      <c r="S116" s="201" t="s">
        <v>208</v>
      </c>
      <c r="U116" s="155"/>
      <c r="V116" s="155"/>
      <c r="W116" s="155"/>
      <c r="X116" s="155"/>
      <c r="Y116" s="155"/>
      <c r="Z116" s="155"/>
      <c r="AA116" s="155"/>
      <c r="AB116" s="155"/>
      <c r="AC116" s="155"/>
      <c r="AE116" s="76">
        <f t="shared" si="31"/>
        <v>0</v>
      </c>
      <c r="AF116" s="76">
        <f t="shared" si="32"/>
        <v>0</v>
      </c>
      <c r="AG116" s="76">
        <f t="shared" si="33"/>
        <v>0</v>
      </c>
      <c r="AH116" s="76">
        <f t="shared" si="34"/>
        <v>0</v>
      </c>
      <c r="AI116" s="76">
        <f t="shared" si="35"/>
        <v>0</v>
      </c>
      <c r="AJ116" s="76">
        <f t="shared" si="36"/>
        <v>0</v>
      </c>
      <c r="AK116" s="76">
        <f t="shared" si="37"/>
        <v>0</v>
      </c>
      <c r="AL116" s="76">
        <f t="shared" si="38"/>
        <v>0</v>
      </c>
      <c r="AM116" s="76">
        <f t="shared" si="39"/>
        <v>0</v>
      </c>
      <c r="AN116" s="76">
        <f t="shared" si="40"/>
        <v>0</v>
      </c>
      <c r="AP116" s="201" t="s">
        <v>270</v>
      </c>
      <c r="AQ116" s="201" t="s">
        <v>208</v>
      </c>
      <c r="AR116" s="155" cm="1">
        <f t="array" ref="AR116">_xlfn.IFS($AQ116=$AP$1,$AQ$1*AE116,$AQ116=$AP$2,$AQ$2*AE116,$AQ116=$AP$3,$AQ$3*AE116,$AQ116=$AP$4,$AQ$4*AE116)</f>
        <v>0</v>
      </c>
      <c r="AS116" s="155" cm="1">
        <f t="array" ref="AS116">_xlfn.IFS($AQ116=$AP$1,$AQ$1*AF116,$AQ116=$AP$2,$AQ$2*AF116,$AQ116=$AP$3,$AQ$3*AF116,$AQ116=$AP$4,$AQ$4*AF116)</f>
        <v>0</v>
      </c>
      <c r="AT116" s="155" cm="1">
        <f t="array" ref="AT116">_xlfn.IFS($AQ116=$AP$1,$AQ$1*AG116,$AQ116=$AP$2,$AQ$2*AG116,$AQ116=$AP$3,$AQ$3*AG116,$AQ116=$AP$4,$AQ$4*AG116)</f>
        <v>0</v>
      </c>
      <c r="AU116" s="155" cm="1">
        <f t="array" ref="AU116">_xlfn.IFS($AQ116=$AP$1,$AQ$1*AH116,$AQ116=$AP$2,$AQ$2*AH116,$AQ116=$AP$3,$AQ$3*AH116,$AQ116=$AP$4,$AQ$4*AH116)</f>
        <v>0</v>
      </c>
      <c r="AV116" s="155" cm="1">
        <f t="array" ref="AV116">_xlfn.IFS($AQ116=$AP$1,$AQ$1*AI116,$AQ116=$AP$2,$AQ$2*AI116,$AQ116=$AP$3,$AQ$3*AI116,$AQ116=$AP$4,$AQ$4*AI116)</f>
        <v>0</v>
      </c>
      <c r="AW116" s="155" cm="1">
        <f t="array" ref="AW116">_xlfn.IFS($AQ116=$AP$1,$AQ$1*AJ116,$AQ116=$AP$2,$AQ$2*AJ116,$AQ116=$AP$3,$AQ$3*AJ116,$AQ116=$AP$4,$AQ$4*AJ116)</f>
        <v>0</v>
      </c>
      <c r="AX116" s="155" cm="1">
        <f t="array" ref="AX116">_xlfn.IFS($AQ116=$AP$1,$AQ$1*AK116,$AQ116=$AP$2,$AQ$2*AK116,$AQ116=$AP$3,$AQ$3*AK116,$AQ116=$AP$4,$AQ$4*AK116)</f>
        <v>0</v>
      </c>
      <c r="AY116" s="155" cm="1">
        <f t="array" ref="AY116">_xlfn.IFS($AQ116=$AP$1,$AQ$1*AL116,$AQ116=$AP$2,$AQ$2*AL116,$AQ116=$AP$3,$AQ$3*AL116,$AQ116=$AP$4,$AQ$4*AL116)</f>
        <v>0</v>
      </c>
      <c r="AZ116" s="155" cm="1">
        <f t="array" ref="AZ116">_xlfn.IFS($AQ116=$AP$1,$AQ$1*AM116,$AQ116=$AP$2,$AQ$2*AM116,$AQ116=$AP$3,$AQ$3*AM116,$AQ116=$AP$4,$AQ$4*AM116)</f>
        <v>0</v>
      </c>
      <c r="BA116" s="155" cm="1">
        <f t="array" ref="BA116">_xlfn.IFS($AQ116=$AP$1,$AQ$1*AN116,$AQ116=$AP$2,$AQ$2*AN116,$AQ116=$AP$3,$AQ$3*AN116,$AQ116=$AP$4,$AQ$4*AN116)</f>
        <v>0</v>
      </c>
      <c r="BB116" s="155">
        <f>Table2[[#This Row],[FINAL Project System Capacity (MW)]]</f>
        <v>5</v>
      </c>
      <c r="BC116" s="155" t="str">
        <f>Table2[[#This Row],[FN Parent  '#]]</f>
        <v>Individual Project</v>
      </c>
      <c r="BD116" s="155"/>
      <c r="BE116" s="155">
        <f t="shared" si="42"/>
        <v>0</v>
      </c>
      <c r="BF116" s="155" t="str">
        <f t="shared" si="43"/>
        <v/>
      </c>
      <c r="BG116" s="155" t="str">
        <f t="shared" si="44"/>
        <v/>
      </c>
      <c r="BH116" s="155" t="str">
        <f t="shared" si="45"/>
        <v/>
      </c>
      <c r="BI116" s="155" t="str">
        <f t="shared" si="46"/>
        <v/>
      </c>
      <c r="BJ116" s="155" t="str">
        <f t="shared" si="47"/>
        <v/>
      </c>
      <c r="BK116" s="155" t="str">
        <f t="shared" si="48"/>
        <v/>
      </c>
      <c r="BL116" s="155" t="str">
        <f t="shared" si="49"/>
        <v/>
      </c>
      <c r="BM116" s="155" t="str">
        <f t="shared" si="50"/>
        <v/>
      </c>
      <c r="BN116" s="155" t="str">
        <f t="shared" si="51"/>
        <v/>
      </c>
      <c r="BO116" s="155" t="str">
        <f t="shared" si="52"/>
        <v/>
      </c>
      <c r="BP116" s="155">
        <f t="shared" si="53"/>
        <v>0</v>
      </c>
      <c r="BR116" s="206" t="s">
        <v>269</v>
      </c>
      <c r="BS116" s="155">
        <f t="shared" si="54"/>
        <v>17.031674189810328</v>
      </c>
      <c r="BT116" s="155">
        <f t="shared" si="55"/>
        <v>22.5</v>
      </c>
    </row>
    <row r="117" spans="1:72">
      <c r="A117" s="155" t="s">
        <v>271</v>
      </c>
      <c r="B117" s="155" t="s">
        <v>1345</v>
      </c>
      <c r="C117" s="155" t="s">
        <v>208</v>
      </c>
      <c r="D117" s="155">
        <v>22</v>
      </c>
      <c r="E117" s="189">
        <v>0</v>
      </c>
      <c r="F117" s="67">
        <v>120</v>
      </c>
      <c r="G117" s="67">
        <v>220</v>
      </c>
      <c r="H117" s="67">
        <v>1580</v>
      </c>
      <c r="I117" s="67">
        <v>7150</v>
      </c>
      <c r="J117" s="67">
        <v>3040</v>
      </c>
      <c r="K117" s="67">
        <v>500</v>
      </c>
      <c r="L117" s="67">
        <v>0</v>
      </c>
      <c r="M117" s="67">
        <v>0</v>
      </c>
      <c r="N117" s="67">
        <v>0</v>
      </c>
      <c r="O117" s="67">
        <v>0</v>
      </c>
      <c r="Q117" s="202" t="s">
        <v>271</v>
      </c>
      <c r="R117" s="202" t="s">
        <v>1345</v>
      </c>
      <c r="S117" s="202" t="s">
        <v>208</v>
      </c>
      <c r="T117" s="76">
        <f>SUM($E117:F117)</f>
        <v>120</v>
      </c>
      <c r="U117" s="76">
        <f>SUM($E117:G117)</f>
        <v>340</v>
      </c>
      <c r="V117" s="76">
        <f>SUM($E117:H117)</f>
        <v>1920</v>
      </c>
      <c r="W117" s="76">
        <f>SUM($E117:I117)</f>
        <v>9070</v>
      </c>
      <c r="X117" s="76">
        <f>SUM($E117:J117)</f>
        <v>12110</v>
      </c>
      <c r="Y117" s="76">
        <f>SUM($E117:K117)</f>
        <v>12610</v>
      </c>
      <c r="Z117" s="76">
        <f>SUM($E117:L117)</f>
        <v>12610</v>
      </c>
      <c r="AA117" s="76">
        <f>SUM($E117:M117)</f>
        <v>12610</v>
      </c>
      <c r="AB117" s="76">
        <f>SUM($E117:N117)</f>
        <v>12610</v>
      </c>
      <c r="AC117" s="76">
        <f>SUM($E117:O117)</f>
        <v>12610</v>
      </c>
      <c r="AE117" s="76">
        <f t="shared" si="31"/>
        <v>120</v>
      </c>
      <c r="AF117" s="76">
        <f t="shared" si="32"/>
        <v>347.14</v>
      </c>
      <c r="AG117" s="76">
        <f t="shared" si="33"/>
        <v>2001.4867199999994</v>
      </c>
      <c r="AH117" s="76">
        <f t="shared" si="34"/>
        <v>9653.4936072699966</v>
      </c>
      <c r="AI117" s="76">
        <f t="shared" si="35"/>
        <v>13159.734018004903</v>
      </c>
      <c r="AJ117" s="76">
        <f t="shared" si="36"/>
        <v>13990.840225627555</v>
      </c>
      <c r="AK117" s="76">
        <f t="shared" si="37"/>
        <v>14284.647870365732</v>
      </c>
      <c r="AL117" s="76">
        <f t="shared" si="38"/>
        <v>14584.625475643412</v>
      </c>
      <c r="AM117" s="76">
        <f t="shared" si="39"/>
        <v>14890.90261063192</v>
      </c>
      <c r="AN117" s="76">
        <f t="shared" si="40"/>
        <v>15203.611565455189</v>
      </c>
      <c r="AP117" s="202" t="s">
        <v>271</v>
      </c>
      <c r="AQ117" s="202" t="s">
        <v>208</v>
      </c>
      <c r="AR117" s="155" cm="1">
        <f t="array" ref="AR117">_xlfn.IFS($AQ117=$AP$1,$AQ$1*AE117,$AQ117=$AP$2,$AQ$2*AE117,$AQ117=$AP$3,$AQ$3*AE117,$AQ117=$AP$4,$AQ$4*AE117)</f>
        <v>16.955118852632154</v>
      </c>
      <c r="AS117" s="155" cm="1">
        <f t="array" ref="AS117">_xlfn.IFS($AQ117=$AP$1,$AQ$1*AF117,$AQ117=$AP$2,$AQ$2*AF117,$AQ117=$AP$3,$AQ$3*AF117,$AQ117=$AP$4,$AQ$4*AF117)</f>
        <v>49.048332987522713</v>
      </c>
      <c r="AT117" s="155" cm="1">
        <f t="array" ref="AT117">_xlfn.IFS($AQ117=$AP$1,$AQ$1*AG117,$AQ117=$AP$2,$AQ$2*AG117,$AQ117=$AP$3,$AQ$3*AG117,$AQ117=$AP$4,$AQ$4*AG117)</f>
        <v>282.79537682970738</v>
      </c>
      <c r="AU117" s="155" cm="1">
        <f t="array" ref="AU117">_xlfn.IFS($AQ117=$AP$1,$AQ$1*AH117,$AQ117=$AP$2,$AQ$2*AH117,$AQ117=$AP$3,$AQ$3*AH117,$AQ117=$AP$4,$AQ$4*AH117)</f>
        <v>1363.9677621198957</v>
      </c>
      <c r="AV117" s="155" cm="1">
        <f t="array" ref="AV117">_xlfn.IFS($AQ117=$AP$1,$AQ$1*AI117,$AQ117=$AP$2,$AQ$2*AI117,$AQ117=$AP$3,$AQ$3*AI117,$AQ117=$AP$4,$AQ$4*AI117)</f>
        <v>1859.3737862024968</v>
      </c>
      <c r="AW117" s="155" cm="1">
        <f t="array" ref="AW117">_xlfn.IFS($AQ117=$AP$1,$AQ$1*AJ117,$AQ117=$AP$2,$AQ$2*AJ117,$AQ117=$AP$3,$AQ$3*AJ117,$AQ117=$AP$4,$AQ$4*AJ117)</f>
        <v>1976.8029906141837</v>
      </c>
      <c r="AX117" s="155" cm="1">
        <f t="array" ref="AX117">_xlfn.IFS($AQ117=$AP$1,$AQ$1*AK117,$AQ117=$AP$2,$AQ$2*AK117,$AQ117=$AP$3,$AQ$3*AK117,$AQ117=$AP$4,$AQ$4*AK117)</f>
        <v>2018.3158534170814</v>
      </c>
      <c r="AY117" s="155" cm="1">
        <f t="array" ref="AY117">_xlfn.IFS($AQ117=$AP$1,$AQ$1*AL117,$AQ117=$AP$2,$AQ$2*AL117,$AQ117=$AP$3,$AQ$3*AL117,$AQ117=$AP$4,$AQ$4*AL117)</f>
        <v>2060.7004863388402</v>
      </c>
      <c r="AZ117" s="155" cm="1">
        <f t="array" ref="AZ117">_xlfn.IFS($AQ117=$AP$1,$AQ$1*AM117,$AQ117=$AP$2,$AQ$2*AM117,$AQ117=$AP$3,$AQ$3*AM117,$AQ117=$AP$4,$AQ$4*AM117)</f>
        <v>2103.9751965519554</v>
      </c>
      <c r="BA117" s="155" cm="1">
        <f t="array" ref="BA117">_xlfn.IFS($AQ117=$AP$1,$AQ$1*AN117,$AQ117=$AP$2,$AQ$2*AN117,$AQ117=$AP$3,$AQ$3*AN117,$AQ117=$AP$4,$AQ$4*AN117)</f>
        <v>2148.1586756795459</v>
      </c>
      <c r="BB117" s="155">
        <f>Table2[[#This Row],[FINAL Project System Capacity (MW)]]</f>
        <v>22</v>
      </c>
      <c r="BC117" s="155" t="str">
        <f>Table2[[#This Row],[FN Parent  '#]]</f>
        <v>Individual Project</v>
      </c>
      <c r="BD117" s="155">
        <f t="shared" si="41"/>
        <v>22</v>
      </c>
      <c r="BE117" s="155">
        <f t="shared" si="42"/>
        <v>22</v>
      </c>
      <c r="BF117" s="155">
        <f t="shared" si="43"/>
        <v>0.77068722057418881</v>
      </c>
      <c r="BG117" s="155">
        <f t="shared" si="44"/>
        <v>2.2294696812510324</v>
      </c>
      <c r="BH117" s="155">
        <f t="shared" si="45"/>
        <v>12.854335310441245</v>
      </c>
      <c r="BI117" s="155">
        <f t="shared" si="46"/>
        <v>61.998534641813443</v>
      </c>
      <c r="BJ117" s="155">
        <f t="shared" si="47"/>
        <v>84.516990281931669</v>
      </c>
      <c r="BK117" s="155">
        <f t="shared" si="48"/>
        <v>89.854681391553811</v>
      </c>
      <c r="BL117" s="155">
        <f t="shared" si="49"/>
        <v>91.741629700776429</v>
      </c>
      <c r="BM117" s="155">
        <f t="shared" si="50"/>
        <v>93.66820392449273</v>
      </c>
      <c r="BN117" s="155">
        <f t="shared" si="51"/>
        <v>95.635236206907067</v>
      </c>
      <c r="BO117" s="155">
        <f t="shared" si="52"/>
        <v>97.643576167252093</v>
      </c>
      <c r="BP117" s="155">
        <f t="shared" si="53"/>
        <v>56.209740855048068</v>
      </c>
      <c r="BR117" s="206" t="s">
        <v>354</v>
      </c>
      <c r="BS117" s="155">
        <f t="shared" si="54"/>
        <v>11.385954745447535</v>
      </c>
      <c r="BT117" s="155">
        <f t="shared" si="55"/>
        <v>57.6</v>
      </c>
    </row>
    <row r="118" spans="1:72">
      <c r="A118" s="155" t="s">
        <v>271</v>
      </c>
      <c r="B118" s="155" t="s">
        <v>1345</v>
      </c>
      <c r="C118" s="155" t="s">
        <v>207</v>
      </c>
      <c r="D118" s="155">
        <v>25</v>
      </c>
      <c r="E118" s="189">
        <v>0</v>
      </c>
      <c r="F118" s="67">
        <v>2300</v>
      </c>
      <c r="G118" s="67">
        <v>850</v>
      </c>
      <c r="H118" s="67">
        <v>5100</v>
      </c>
      <c r="I118" s="67">
        <v>7100</v>
      </c>
      <c r="J118" s="67">
        <v>5850</v>
      </c>
      <c r="K118" s="67">
        <v>1000</v>
      </c>
      <c r="L118" s="67">
        <v>0</v>
      </c>
      <c r="M118" s="67">
        <v>0</v>
      </c>
      <c r="N118" s="67">
        <v>0</v>
      </c>
      <c r="O118" s="67">
        <v>0</v>
      </c>
      <c r="Q118" s="201" t="s">
        <v>271</v>
      </c>
      <c r="R118" s="201" t="s">
        <v>1345</v>
      </c>
      <c r="S118" s="201" t="s">
        <v>207</v>
      </c>
      <c r="T118" s="76">
        <f>SUM($E118:F118)</f>
        <v>2300</v>
      </c>
      <c r="U118" s="76">
        <f>SUM($E118:G118)</f>
        <v>3150</v>
      </c>
      <c r="V118" s="76">
        <f>SUM($E118:H118)</f>
        <v>8250</v>
      </c>
      <c r="W118" s="76">
        <f>SUM($E118:I118)</f>
        <v>15350</v>
      </c>
      <c r="X118" s="76">
        <f>SUM($E118:J118)</f>
        <v>21200</v>
      </c>
      <c r="Y118" s="76">
        <f>SUM($E118:K118)</f>
        <v>22200</v>
      </c>
      <c r="Z118" s="76">
        <f>SUM($E118:L118)</f>
        <v>22200</v>
      </c>
      <c r="AA118" s="76">
        <f>SUM($E118:M118)</f>
        <v>22200</v>
      </c>
      <c r="AB118" s="76">
        <f>SUM($E118:N118)</f>
        <v>22200</v>
      </c>
      <c r="AC118" s="76">
        <f>SUM($E118:O118)</f>
        <v>22200</v>
      </c>
      <c r="AE118" s="76">
        <f t="shared" si="31"/>
        <v>2300</v>
      </c>
      <c r="AF118" s="76">
        <f t="shared" si="32"/>
        <v>3216.1499999999996</v>
      </c>
      <c r="AG118" s="76">
        <f t="shared" si="33"/>
        <v>8600.1382499999982</v>
      </c>
      <c r="AH118" s="76">
        <f t="shared" si="34"/>
        <v>16337.500206349994</v>
      </c>
      <c r="AI118" s="76">
        <f t="shared" si="35"/>
        <v>23037.684655797188</v>
      </c>
      <c r="AJ118" s="76">
        <f t="shared" si="36"/>
        <v>24630.979620058028</v>
      </c>
      <c r="AK118" s="76">
        <f t="shared" si="37"/>
        <v>25148.230192079245</v>
      </c>
      <c r="AL118" s="76">
        <f t="shared" si="38"/>
        <v>25676.343026112903</v>
      </c>
      <c r="AM118" s="76">
        <f t="shared" si="39"/>
        <v>26215.546229661271</v>
      </c>
      <c r="AN118" s="76">
        <f t="shared" si="40"/>
        <v>26766.072700484154</v>
      </c>
      <c r="AP118" s="201" t="s">
        <v>271</v>
      </c>
      <c r="AQ118" s="201" t="s">
        <v>207</v>
      </c>
      <c r="AR118" s="155" cm="1">
        <f t="array" ref="AR118">_xlfn.IFS($AQ118=$AP$1,$AQ$1*AE118,$AQ118=$AP$2,$AQ$2*AE118,$AQ118=$AP$3,$AQ$3*AE118,$AQ118=$AP$4,$AQ$4*AE118)</f>
        <v>185.36180210646975</v>
      </c>
      <c r="AS118" s="155" cm="1">
        <f t="array" ref="AS118">_xlfn.IFS($AQ118=$AP$1,$AQ$1*AF118,$AQ118=$AP$2,$AQ$2*AF118,$AQ118=$AP$3,$AQ$3*AF118,$AQ118=$AP$4,$AQ$4*AF118)</f>
        <v>259.19624341074893</v>
      </c>
      <c r="AT118" s="155" cm="1">
        <f t="array" ref="AT118">_xlfn.IFS($AQ118=$AP$1,$AQ$1*AG118,$AQ118=$AP$2,$AQ$2*AG118,$AQ118=$AP$3,$AQ$3*AG118,$AQ118=$AP$4,$AQ$4*AG118)</f>
        <v>693.10309755860033</v>
      </c>
      <c r="AU118" s="155" cm="1">
        <f t="array" ref="AU118">_xlfn.IFS($AQ118=$AP$1,$AQ$1*AH118,$AQ118=$AP$2,$AQ$2*AH118,$AQ118=$AP$3,$AQ$3*AH118,$AQ118=$AP$4,$AQ$4*AH118)</f>
        <v>1316.6732522451548</v>
      </c>
      <c r="AV118" s="155" cm="1">
        <f t="array" ref="AV118">_xlfn.IFS($AQ118=$AP$1,$AQ$1*AI118,$AQ118=$AP$2,$AQ$2*AI118,$AQ118=$AP$3,$AQ$3*AI118,$AQ118=$AP$4,$AQ$4*AI118)</f>
        <v>1856.6551061561447</v>
      </c>
      <c r="AW118" s="155" cm="1">
        <f t="array" ref="AW118">_xlfn.IFS($AQ118=$AP$1,$AQ$1*AJ118,$AQ118=$AP$2,$AQ$2*AJ118,$AQ118=$AP$3,$AQ$3*AJ118,$AQ118=$AP$4,$AQ$4*AJ118)</f>
        <v>1985.0620739224719</v>
      </c>
      <c r="AX118" s="155" cm="1">
        <f t="array" ref="AX118">_xlfn.IFS($AQ118=$AP$1,$AQ$1*AK118,$AQ118=$AP$2,$AQ$2*AK118,$AQ118=$AP$3,$AQ$3*AK118,$AQ118=$AP$4,$AQ$4*AK118)</f>
        <v>2026.7483774748437</v>
      </c>
      <c r="AY118" s="155" cm="1">
        <f t="array" ref="AY118">_xlfn.IFS($AQ118=$AP$1,$AQ$1*AL118,$AQ118=$AP$2,$AQ$2*AL118,$AQ118=$AP$3,$AQ$3*AL118,$AQ118=$AP$4,$AQ$4*AL118)</f>
        <v>2069.3100934018148</v>
      </c>
      <c r="AZ118" s="155" cm="1">
        <f t="array" ref="AZ118">_xlfn.IFS($AQ118=$AP$1,$AQ$1*AM118,$AQ118=$AP$2,$AQ$2*AM118,$AQ118=$AP$3,$AQ$3*AM118,$AQ118=$AP$4,$AQ$4*AM118)</f>
        <v>2112.7656053632527</v>
      </c>
      <c r="BA118" s="155" cm="1">
        <f t="array" ref="BA118">_xlfn.IFS($AQ118=$AP$1,$AQ$1*AN118,$AQ118=$AP$2,$AQ$2*AN118,$AQ118=$AP$3,$AQ$3*AN118,$AQ118=$AP$4,$AQ$4*AN118)</f>
        <v>2157.133683075881</v>
      </c>
      <c r="BB118" s="155">
        <f>Table2[[#This Row],[FINAL Project System Capacity (MW)]]</f>
        <v>25</v>
      </c>
      <c r="BC118" s="155" t="str">
        <f>Table2[[#This Row],[FN Parent  '#]]</f>
        <v>Individual Project</v>
      </c>
      <c r="BD118" s="155">
        <f t="shared" si="41"/>
        <v>25</v>
      </c>
      <c r="BE118" s="155">
        <f t="shared" si="42"/>
        <v>25</v>
      </c>
      <c r="BF118" s="155">
        <f t="shared" si="43"/>
        <v>7.4144720842587901</v>
      </c>
      <c r="BG118" s="155">
        <f t="shared" si="44"/>
        <v>10.367849736429957</v>
      </c>
      <c r="BH118" s="155">
        <f t="shared" si="45"/>
        <v>27.724123902344012</v>
      </c>
      <c r="BI118" s="155">
        <f t="shared" si="46"/>
        <v>52.666930089806193</v>
      </c>
      <c r="BJ118" s="155">
        <f t="shared" si="47"/>
        <v>74.266204246245792</v>
      </c>
      <c r="BK118" s="155">
        <f t="shared" si="48"/>
        <v>79.402482956898879</v>
      </c>
      <c r="BL118" s="155">
        <f t="shared" si="49"/>
        <v>81.069935098993753</v>
      </c>
      <c r="BM118" s="155">
        <f t="shared" si="50"/>
        <v>82.77240373607259</v>
      </c>
      <c r="BN118" s="155">
        <f t="shared" si="51"/>
        <v>84.510624214530111</v>
      </c>
      <c r="BO118" s="155">
        <f t="shared" si="52"/>
        <v>86.285347323035239</v>
      </c>
      <c r="BP118" s="155">
        <f t="shared" si="53"/>
        <v>53.228415507851373</v>
      </c>
      <c r="BR118" s="206" t="s">
        <v>355</v>
      </c>
      <c r="BS118" s="155">
        <f t="shared" si="54"/>
        <v>38.712961833215509</v>
      </c>
      <c r="BT118" s="155">
        <f t="shared" si="55"/>
        <v>48.2</v>
      </c>
    </row>
    <row r="119" spans="1:72">
      <c r="A119" s="155" t="s">
        <v>272</v>
      </c>
      <c r="B119" s="155" t="s">
        <v>1345</v>
      </c>
      <c r="C119" s="155" t="s">
        <v>207</v>
      </c>
      <c r="D119" s="155">
        <v>15.6</v>
      </c>
      <c r="E119" s="189">
        <v>5.5566800000000001</v>
      </c>
      <c r="F119" s="67">
        <v>69.999589999999998</v>
      </c>
      <c r="G119" s="67">
        <v>179.99979999999999</v>
      </c>
      <c r="H119" s="67">
        <v>479.99952000000002</v>
      </c>
      <c r="I119" s="67">
        <v>2320</v>
      </c>
      <c r="J119" s="67">
        <v>7250</v>
      </c>
      <c r="K119" s="67">
        <v>360</v>
      </c>
      <c r="L119" s="67">
        <v>0</v>
      </c>
      <c r="M119" s="67">
        <v>0</v>
      </c>
      <c r="N119" s="67">
        <v>0</v>
      </c>
      <c r="O119" s="67">
        <v>0</v>
      </c>
      <c r="Q119" s="202" t="s">
        <v>272</v>
      </c>
      <c r="R119" s="202" t="s">
        <v>1345</v>
      </c>
      <c r="S119" s="202" t="s">
        <v>207</v>
      </c>
      <c r="T119" s="76">
        <f>SUM($E119:F119)</f>
        <v>75.556269999999998</v>
      </c>
      <c r="U119" s="76">
        <f>SUM($E119:G119)</f>
        <v>255.55606999999998</v>
      </c>
      <c r="V119" s="76">
        <f>SUM($E119:H119)</f>
        <v>735.55558999999994</v>
      </c>
      <c r="W119" s="76">
        <f>SUM($E119:I119)</f>
        <v>3055.5555899999999</v>
      </c>
      <c r="X119" s="76">
        <f>SUM($E119:J119)</f>
        <v>10305.55559</v>
      </c>
      <c r="Y119" s="76">
        <f>SUM($E119:K119)</f>
        <v>10665.55559</v>
      </c>
      <c r="Z119" s="76">
        <f>SUM($E119:L119)</f>
        <v>10665.55559</v>
      </c>
      <c r="AA119" s="76">
        <f>SUM($E119:M119)</f>
        <v>10665.55559</v>
      </c>
      <c r="AB119" s="76">
        <f>SUM($E119:N119)</f>
        <v>10665.55559</v>
      </c>
      <c r="AC119" s="76">
        <f>SUM($E119:O119)</f>
        <v>10665.55559</v>
      </c>
      <c r="AE119" s="76">
        <f t="shared" si="31"/>
        <v>75.556269999999998</v>
      </c>
      <c r="AF119" s="76">
        <f t="shared" si="32"/>
        <v>260.92274746999993</v>
      </c>
      <c r="AG119" s="76">
        <f t="shared" si="33"/>
        <v>766.77330479518969</v>
      </c>
      <c r="AH119" s="76">
        <f t="shared" si="34"/>
        <v>3252.1263897158879</v>
      </c>
      <c r="AI119" s="76">
        <f t="shared" si="35"/>
        <v>11198.874522887167</v>
      </c>
      <c r="AJ119" s="76">
        <f t="shared" si="36"/>
        <v>11833.472179003873</v>
      </c>
      <c r="AK119" s="76">
        <f t="shared" si="37"/>
        <v>12081.975094762953</v>
      </c>
      <c r="AL119" s="76">
        <f t="shared" si="38"/>
        <v>12335.696571752973</v>
      </c>
      <c r="AM119" s="76">
        <f t="shared" si="39"/>
        <v>12594.746199759784</v>
      </c>
      <c r="AN119" s="76">
        <f t="shared" si="40"/>
        <v>12859.235869954737</v>
      </c>
      <c r="AP119" s="202" t="s">
        <v>272</v>
      </c>
      <c r="AQ119" s="202" t="s">
        <v>207</v>
      </c>
      <c r="AR119" s="155" cm="1">
        <f t="array" ref="AR119">_xlfn.IFS($AQ119=$AP$1,$AQ$1*AE119,$AQ119=$AP$2,$AQ$2*AE119,$AQ119=$AP$3,$AQ$3*AE119,$AQ119=$AP$4,$AQ$4*AE119)</f>
        <v>6.0892375511491288</v>
      </c>
      <c r="AS119" s="155" cm="1">
        <f t="array" ref="AS119">_xlfn.IFS($AQ119=$AP$1,$AQ$1*AF119,$AQ119=$AP$2,$AQ$2*AF119,$AQ119=$AP$3,$AQ$3*AF119,$AQ119=$AP$4,$AQ$4*AF119)</f>
        <v>21.028308992004568</v>
      </c>
      <c r="AT119" s="155" cm="1">
        <f t="array" ref="AT119">_xlfn.IFS($AQ119=$AP$1,$AQ$1*AG119,$AQ119=$AP$2,$AQ$2*AG119,$AQ119=$AP$3,$AQ$3*AG119,$AQ119=$AP$4,$AQ$4*AG119)</f>
        <v>61.795861558247722</v>
      </c>
      <c r="AU119" s="155" cm="1">
        <f t="array" ref="AU119">_xlfn.IFS($AQ119=$AP$1,$AQ$1*AH119,$AQ119=$AP$2,$AQ$2*AH119,$AQ119=$AP$3,$AQ$3*AH119,$AQ119=$AP$4,$AQ$4*AH119)</f>
        <v>262.09565577206274</v>
      </c>
      <c r="AV119" s="155" cm="1">
        <f t="array" ref="AV119">_xlfn.IFS($AQ119=$AP$1,$AQ$1*AI119,$AQ119=$AP$2,$AQ$2*AI119,$AQ119=$AP$3,$AQ$3*AI119,$AQ119=$AP$4,$AQ$4*AI119)</f>
        <v>902.54067962025943</v>
      </c>
      <c r="AW119" s="155" cm="1">
        <f t="array" ref="AW119">_xlfn.IFS($AQ119=$AP$1,$AQ$1*AJ119,$AQ119=$AP$2,$AQ$2*AJ119,$AQ119=$AP$3,$AQ$3*AJ119,$AQ119=$AP$4,$AQ$4*AJ119)</f>
        <v>953.6842296856222</v>
      </c>
      <c r="AX119" s="155" cm="1">
        <f t="array" ref="AX119">_xlfn.IFS($AQ119=$AP$1,$AQ$1*AK119,$AQ119=$AP$2,$AQ$2*AK119,$AQ119=$AP$3,$AQ$3*AK119,$AQ119=$AP$4,$AQ$4*AK119)</f>
        <v>973.71159850902018</v>
      </c>
      <c r="AY119" s="155" cm="1">
        <f t="array" ref="AY119">_xlfn.IFS($AQ119=$AP$1,$AQ$1*AL119,$AQ119=$AP$2,$AQ$2*AL119,$AQ119=$AP$3,$AQ$3*AL119,$AQ119=$AP$4,$AQ$4*AL119)</f>
        <v>994.15954207770949</v>
      </c>
      <c r="AZ119" s="155" cm="1">
        <f t="array" ref="AZ119">_xlfn.IFS($AQ119=$AP$1,$AQ$1*AM119,$AQ119=$AP$2,$AQ$2*AM119,$AQ119=$AP$3,$AQ$3*AM119,$AQ119=$AP$4,$AQ$4*AM119)</f>
        <v>1015.0368924613413</v>
      </c>
      <c r="BA119" s="155" cm="1">
        <f t="array" ref="BA119">_xlfn.IFS($AQ119=$AP$1,$AQ$1*AN119,$AQ119=$AP$2,$AQ$2*AN119,$AQ119=$AP$3,$AQ$3*AN119,$AQ119=$AP$4,$AQ$4*AN119)</f>
        <v>1036.3526672030291</v>
      </c>
      <c r="BB119" s="155">
        <f>Table2[[#This Row],[FINAL Project System Capacity (MW)]]</f>
        <v>15.6</v>
      </c>
      <c r="BC119" s="155" t="str">
        <f>Table2[[#This Row],[FN Parent  '#]]</f>
        <v>Individual Project</v>
      </c>
      <c r="BD119" s="155">
        <f t="shared" si="41"/>
        <v>15.6</v>
      </c>
      <c r="BE119" s="155">
        <f t="shared" si="42"/>
        <v>15.6</v>
      </c>
      <c r="BF119" s="155">
        <f t="shared" si="43"/>
        <v>0.39033574045827751</v>
      </c>
      <c r="BG119" s="155">
        <f t="shared" si="44"/>
        <v>1.3479685251284981</v>
      </c>
      <c r="BH119" s="155">
        <f t="shared" si="45"/>
        <v>3.9612731768107516</v>
      </c>
      <c r="BI119" s="155">
        <f t="shared" si="46"/>
        <v>16.801003575132228</v>
      </c>
      <c r="BJ119" s="155">
        <f t="shared" si="47"/>
        <v>57.855171770529452</v>
      </c>
      <c r="BK119" s="155">
        <f t="shared" si="48"/>
        <v>61.133604467027062</v>
      </c>
      <c r="BL119" s="155">
        <f t="shared" si="49"/>
        <v>62.417410160834628</v>
      </c>
      <c r="BM119" s="155">
        <f t="shared" si="50"/>
        <v>63.728175774212147</v>
      </c>
      <c r="BN119" s="155">
        <f t="shared" si="51"/>
        <v>65.066467465470595</v>
      </c>
      <c r="BO119" s="155">
        <f t="shared" si="52"/>
        <v>66.432863282245464</v>
      </c>
      <c r="BP119" s="155">
        <f t="shared" si="53"/>
        <v>34.931746285954496</v>
      </c>
      <c r="BR119" s="206" t="s">
        <v>356</v>
      </c>
      <c r="BS119" s="155">
        <f t="shared" si="54"/>
        <v>38.801749394052543</v>
      </c>
      <c r="BT119" s="155">
        <f t="shared" si="55"/>
        <v>15</v>
      </c>
    </row>
    <row r="120" spans="1:72">
      <c r="A120" s="155" t="s">
        <v>274</v>
      </c>
      <c r="B120" s="155" t="s">
        <v>995</v>
      </c>
      <c r="C120" s="155" t="s">
        <v>208</v>
      </c>
      <c r="D120" s="155">
        <v>11</v>
      </c>
      <c r="E120" s="189">
        <v>153.16564</v>
      </c>
      <c r="F120" s="67">
        <v>1916.9320600000001</v>
      </c>
      <c r="G120" s="67">
        <v>0</v>
      </c>
      <c r="H120" s="67">
        <v>0.78051000000000004</v>
      </c>
      <c r="I120" s="67">
        <v>0</v>
      </c>
      <c r="J120" s="67">
        <v>0</v>
      </c>
      <c r="K120" s="67">
        <v>0</v>
      </c>
      <c r="L120" s="67">
        <v>0</v>
      </c>
      <c r="M120" s="67">
        <v>0</v>
      </c>
      <c r="N120" s="67">
        <v>0</v>
      </c>
      <c r="O120" s="67">
        <v>0</v>
      </c>
      <c r="Q120" s="201" t="s">
        <v>274</v>
      </c>
      <c r="R120" s="201" t="s">
        <v>995</v>
      </c>
      <c r="S120" s="201" t="s">
        <v>208</v>
      </c>
      <c r="T120" s="76">
        <f>SUM($E120:F122)</f>
        <v>4331.2903700000006</v>
      </c>
      <c r="U120" s="76">
        <f>SUM($E120:G122)</f>
        <v>5186.6541100000004</v>
      </c>
      <c r="V120" s="76">
        <f>SUM($E120:H122)</f>
        <v>5188.4343399999998</v>
      </c>
      <c r="W120" s="76">
        <f>SUM($E120:I122)</f>
        <v>5188.4343399999998</v>
      </c>
      <c r="X120" s="76">
        <f>SUM($E120:J122)</f>
        <v>5188.4343399999998</v>
      </c>
      <c r="Y120" s="76">
        <f>SUM($E120:K122)</f>
        <v>5188.4343399999998</v>
      </c>
      <c r="Z120" s="76">
        <f>SUM($E120:L122)</f>
        <v>5188.4343399999998</v>
      </c>
      <c r="AA120" s="76">
        <f>SUM($E120:M122)</f>
        <v>5188.4343399999998</v>
      </c>
      <c r="AB120" s="76">
        <f>SUM($E120:N122)</f>
        <v>5188.4343399999998</v>
      </c>
      <c r="AC120" s="76">
        <f>SUM($E120:O122)</f>
        <v>5188.4343399999998</v>
      </c>
      <c r="AE120" s="76">
        <f t="shared" si="31"/>
        <v>4331.2903700000006</v>
      </c>
      <c r="AF120" s="76">
        <f t="shared" si="32"/>
        <v>5295.5738463099997</v>
      </c>
      <c r="AG120" s="76">
        <f t="shared" si="33"/>
        <v>5408.6366818239385</v>
      </c>
      <c r="AH120" s="76">
        <f t="shared" si="34"/>
        <v>5522.2180521422406</v>
      </c>
      <c r="AI120" s="76">
        <f t="shared" si="35"/>
        <v>5638.1846312372272</v>
      </c>
      <c r="AJ120" s="76">
        <f t="shared" si="36"/>
        <v>5756.5865084932075</v>
      </c>
      <c r="AK120" s="76">
        <f t="shared" si="37"/>
        <v>5877.4748251715646</v>
      </c>
      <c r="AL120" s="76">
        <f t="shared" si="38"/>
        <v>6000.9017965001667</v>
      </c>
      <c r="AM120" s="76">
        <f t="shared" si="39"/>
        <v>6126.9207342266691</v>
      </c>
      <c r="AN120" s="76">
        <f t="shared" si="40"/>
        <v>6255.5860696454283</v>
      </c>
      <c r="AP120" s="201" t="s">
        <v>274</v>
      </c>
      <c r="AQ120" s="201" t="s">
        <v>208</v>
      </c>
      <c r="AR120" s="155" cm="1">
        <f t="array" ref="AR120">_xlfn.IFS($AQ120=$AP$1,$AQ$1*AE120,$AQ120=$AP$2,$AQ$2*AE120,$AQ120=$AP$3,$AQ$3*AE120,$AQ120=$AP$4,$AQ$4*AE120)</f>
        <v>611.97952507175921</v>
      </c>
      <c r="AS120" s="155" cm="1">
        <f t="array" ref="AS120">_xlfn.IFS($AQ120=$AP$1,$AQ$1*AF120,$AQ120=$AP$2,$AQ$2*AF120,$AQ120=$AP$3,$AQ$3*AF120,$AQ120=$AP$4,$AQ$4*AF120)</f>
        <v>748.22569964230365</v>
      </c>
      <c r="AT120" s="155" cm="1">
        <f t="array" ref="AT120">_xlfn.IFS($AQ120=$AP$1,$AQ$1*AG120,$AQ120=$AP$2,$AQ$2*AG120,$AQ120=$AP$3,$AQ$3*AG120,$AQ120=$AP$4,$AQ$4*AG120)</f>
        <v>764.20064809192399</v>
      </c>
      <c r="AU120" s="155" cm="1">
        <f t="array" ref="AU120">_xlfn.IFS($AQ120=$AP$1,$AQ$1*AH120,$AQ120=$AP$2,$AQ$2*AH120,$AQ120=$AP$3,$AQ$3*AH120,$AQ120=$AP$4,$AQ$4*AH120)</f>
        <v>780.24886170185425</v>
      </c>
      <c r="AV120" s="155" cm="1">
        <f t="array" ref="AV120">_xlfn.IFS($AQ120=$AP$1,$AQ$1*AI120,$AQ120=$AP$2,$AQ$2*AI120,$AQ120=$AP$3,$AQ$3*AI120,$AQ120=$AP$4,$AQ$4*AI120)</f>
        <v>796.63408779759311</v>
      </c>
      <c r="AW120" s="155" cm="1">
        <f t="array" ref="AW120">_xlfn.IFS($AQ120=$AP$1,$AQ$1*AJ120,$AQ120=$AP$2,$AQ$2*AJ120,$AQ120=$AP$3,$AQ$3*AJ120,$AQ120=$AP$4,$AQ$4*AJ120)</f>
        <v>813.36340364134242</v>
      </c>
      <c r="AX120" s="155" cm="1">
        <f t="array" ref="AX120">_xlfn.IFS($AQ120=$AP$1,$AQ$1*AK120,$AQ120=$AP$2,$AQ$2*AK120,$AQ120=$AP$3,$AQ$3*AK120,$AQ120=$AP$4,$AQ$4*AK120)</f>
        <v>830.44403511781059</v>
      </c>
      <c r="AY120" s="155" cm="1">
        <f t="array" ref="AY120">_xlfn.IFS($AQ120=$AP$1,$AQ$1*AL120,$AQ120=$AP$2,$AQ$2*AL120,$AQ120=$AP$3,$AQ$3*AL120,$AQ120=$AP$4,$AQ$4*AL120)</f>
        <v>847.88335985528443</v>
      </c>
      <c r="AZ120" s="155" cm="1">
        <f t="array" ref="AZ120">_xlfn.IFS($AQ120=$AP$1,$AQ$1*AM120,$AQ120=$AP$2,$AQ$2*AM120,$AQ120=$AP$3,$AQ$3*AM120,$AQ120=$AP$4,$AQ$4*AM120)</f>
        <v>865.68891041224526</v>
      </c>
      <c r="BA120" s="155" cm="1">
        <f t="array" ref="BA120">_xlfn.IFS($AQ120=$AP$1,$AQ$1*AN120,$AQ120=$AP$2,$AQ$2*AN120,$AQ120=$AP$3,$AQ$3*AN120,$AQ120=$AP$4,$AQ$4*AN120)</f>
        <v>883.86837753090231</v>
      </c>
      <c r="BB120" s="155">
        <f>Table2[[#This Row],[FINAL Project System Capacity (MW)]]</f>
        <v>11</v>
      </c>
      <c r="BC120" s="155" t="str">
        <f>Table2[[#This Row],[FN Parent  '#]]</f>
        <v>FN005814</v>
      </c>
      <c r="BD120" s="155">
        <f t="shared" si="41"/>
        <v>11</v>
      </c>
      <c r="BE120" s="155">
        <f t="shared" si="42"/>
        <v>11</v>
      </c>
      <c r="BF120" s="155">
        <f t="shared" si="43"/>
        <v>55.634502279250839</v>
      </c>
      <c r="BG120" s="155">
        <f t="shared" si="44"/>
        <v>68.020518149300329</v>
      </c>
      <c r="BH120" s="155">
        <f t="shared" si="45"/>
        <v>69.472786190174915</v>
      </c>
      <c r="BI120" s="155">
        <f t="shared" si="46"/>
        <v>70.93171470016857</v>
      </c>
      <c r="BJ120" s="155">
        <f t="shared" si="47"/>
        <v>72.421280708872104</v>
      </c>
      <c r="BK120" s="155">
        <f t="shared" si="48"/>
        <v>73.942127603758408</v>
      </c>
      <c r="BL120" s="155">
        <f t="shared" si="49"/>
        <v>75.49491228343733</v>
      </c>
      <c r="BM120" s="155">
        <f t="shared" si="50"/>
        <v>77.080305441389498</v>
      </c>
      <c r="BN120" s="155">
        <f t="shared" si="51"/>
        <v>78.698991855658662</v>
      </c>
      <c r="BO120" s="155">
        <f t="shared" si="52"/>
        <v>80.351670684627479</v>
      </c>
      <c r="BP120" s="155">
        <f t="shared" si="53"/>
        <v>71.020758207129646</v>
      </c>
      <c r="BR120" s="206" t="s">
        <v>357</v>
      </c>
      <c r="BS120" s="155">
        <f t="shared" si="54"/>
        <v>30.485683136539279</v>
      </c>
      <c r="BT120" s="155">
        <f t="shared" si="55"/>
        <v>14</v>
      </c>
    </row>
    <row r="121" spans="1:72">
      <c r="A121" s="155" t="s">
        <v>274</v>
      </c>
      <c r="B121" s="155" t="s">
        <v>995</v>
      </c>
      <c r="C121" s="155" t="s">
        <v>208</v>
      </c>
      <c r="D121" s="155">
        <v>11</v>
      </c>
      <c r="E121" s="189">
        <v>87.954520000000002</v>
      </c>
      <c r="F121" s="67">
        <v>994.56412999999998</v>
      </c>
      <c r="G121" s="67">
        <v>497.52501999999998</v>
      </c>
      <c r="H121" s="67">
        <v>0</v>
      </c>
      <c r="I121" s="67">
        <v>0</v>
      </c>
      <c r="J121" s="67">
        <v>0</v>
      </c>
      <c r="K121" s="67">
        <v>0</v>
      </c>
      <c r="L121" s="67">
        <v>0</v>
      </c>
      <c r="M121" s="67">
        <v>0</v>
      </c>
      <c r="N121" s="67">
        <v>0</v>
      </c>
      <c r="O121" s="67">
        <v>0</v>
      </c>
      <c r="Q121" s="202" t="s">
        <v>274</v>
      </c>
      <c r="R121" s="202" t="s">
        <v>995</v>
      </c>
      <c r="S121" s="202" t="s">
        <v>208</v>
      </c>
      <c r="U121" s="155"/>
      <c r="V121" s="155"/>
      <c r="W121" s="155"/>
      <c r="X121" s="155"/>
      <c r="Y121" s="155"/>
      <c r="Z121" s="155"/>
      <c r="AA121" s="155"/>
      <c r="AB121" s="155"/>
      <c r="AC121" s="155"/>
      <c r="AE121" s="76">
        <f t="shared" si="31"/>
        <v>0</v>
      </c>
      <c r="AF121" s="76">
        <f t="shared" si="32"/>
        <v>0</v>
      </c>
      <c r="AG121" s="76">
        <f t="shared" si="33"/>
        <v>0</v>
      </c>
      <c r="AH121" s="76">
        <f t="shared" si="34"/>
        <v>0</v>
      </c>
      <c r="AI121" s="76">
        <f t="shared" si="35"/>
        <v>0</v>
      </c>
      <c r="AJ121" s="76">
        <f t="shared" si="36"/>
        <v>0</v>
      </c>
      <c r="AK121" s="76">
        <f t="shared" si="37"/>
        <v>0</v>
      </c>
      <c r="AL121" s="76">
        <f t="shared" si="38"/>
        <v>0</v>
      </c>
      <c r="AM121" s="76">
        <f t="shared" si="39"/>
        <v>0</v>
      </c>
      <c r="AN121" s="76">
        <f t="shared" si="40"/>
        <v>0</v>
      </c>
      <c r="AP121" s="202" t="s">
        <v>274</v>
      </c>
      <c r="AQ121" s="202" t="s">
        <v>208</v>
      </c>
      <c r="AR121" s="155" cm="1">
        <f t="array" ref="AR121">_xlfn.IFS($AQ121=$AP$1,$AQ$1*AE121,$AQ121=$AP$2,$AQ$2*AE121,$AQ121=$AP$3,$AQ$3*AE121,$AQ121=$AP$4,$AQ$4*AE121)</f>
        <v>0</v>
      </c>
      <c r="AS121" s="155" cm="1">
        <f t="array" ref="AS121">_xlfn.IFS($AQ121=$AP$1,$AQ$1*AF121,$AQ121=$AP$2,$AQ$2*AF121,$AQ121=$AP$3,$AQ$3*AF121,$AQ121=$AP$4,$AQ$4*AF121)</f>
        <v>0</v>
      </c>
      <c r="AT121" s="155" cm="1">
        <f t="array" ref="AT121">_xlfn.IFS($AQ121=$AP$1,$AQ$1*AG121,$AQ121=$AP$2,$AQ$2*AG121,$AQ121=$AP$3,$AQ$3*AG121,$AQ121=$AP$4,$AQ$4*AG121)</f>
        <v>0</v>
      </c>
      <c r="AU121" s="155" cm="1">
        <f t="array" ref="AU121">_xlfn.IFS($AQ121=$AP$1,$AQ$1*AH121,$AQ121=$AP$2,$AQ$2*AH121,$AQ121=$AP$3,$AQ$3*AH121,$AQ121=$AP$4,$AQ$4*AH121)</f>
        <v>0</v>
      </c>
      <c r="AV121" s="155" cm="1">
        <f t="array" ref="AV121">_xlfn.IFS($AQ121=$AP$1,$AQ$1*AI121,$AQ121=$AP$2,$AQ$2*AI121,$AQ121=$AP$3,$AQ$3*AI121,$AQ121=$AP$4,$AQ$4*AI121)</f>
        <v>0</v>
      </c>
      <c r="AW121" s="155" cm="1">
        <f t="array" ref="AW121">_xlfn.IFS($AQ121=$AP$1,$AQ$1*AJ121,$AQ121=$AP$2,$AQ$2*AJ121,$AQ121=$AP$3,$AQ$3*AJ121,$AQ121=$AP$4,$AQ$4*AJ121)</f>
        <v>0</v>
      </c>
      <c r="AX121" s="155" cm="1">
        <f t="array" ref="AX121">_xlfn.IFS($AQ121=$AP$1,$AQ$1*AK121,$AQ121=$AP$2,$AQ$2*AK121,$AQ121=$AP$3,$AQ$3*AK121,$AQ121=$AP$4,$AQ$4*AK121)</f>
        <v>0</v>
      </c>
      <c r="AY121" s="155" cm="1">
        <f t="array" ref="AY121">_xlfn.IFS($AQ121=$AP$1,$AQ$1*AL121,$AQ121=$AP$2,$AQ$2*AL121,$AQ121=$AP$3,$AQ$3*AL121,$AQ121=$AP$4,$AQ$4*AL121)</f>
        <v>0</v>
      </c>
      <c r="AZ121" s="155" cm="1">
        <f t="array" ref="AZ121">_xlfn.IFS($AQ121=$AP$1,$AQ$1*AM121,$AQ121=$AP$2,$AQ$2*AM121,$AQ121=$AP$3,$AQ$3*AM121,$AQ121=$AP$4,$AQ$4*AM121)</f>
        <v>0</v>
      </c>
      <c r="BA121" s="155" cm="1">
        <f t="array" ref="BA121">_xlfn.IFS($AQ121=$AP$1,$AQ$1*AN121,$AQ121=$AP$2,$AQ$2*AN121,$AQ121=$AP$3,$AQ$3*AN121,$AQ121=$AP$4,$AQ$4*AN121)</f>
        <v>0</v>
      </c>
      <c r="BB121" s="155"/>
      <c r="BC121" s="155" t="str">
        <f>Table2[[#This Row],[FN Parent  '#]]</f>
        <v>FN005814</v>
      </c>
      <c r="BD121" s="155">
        <f t="shared" si="41"/>
        <v>0</v>
      </c>
      <c r="BF121" s="155" t="str">
        <f t="shared" si="43"/>
        <v/>
      </c>
      <c r="BG121" s="155" t="str">
        <f t="shared" si="44"/>
        <v/>
      </c>
      <c r="BH121" s="155" t="str">
        <f t="shared" si="45"/>
        <v/>
      </c>
      <c r="BI121" s="155" t="str">
        <f t="shared" si="46"/>
        <v/>
      </c>
      <c r="BJ121" s="155" t="str">
        <f t="shared" si="47"/>
        <v/>
      </c>
      <c r="BK121" s="155" t="str">
        <f t="shared" si="48"/>
        <v/>
      </c>
      <c r="BL121" s="155" t="str">
        <f t="shared" si="49"/>
        <v/>
      </c>
      <c r="BM121" s="155" t="str">
        <f t="shared" si="50"/>
        <v/>
      </c>
      <c r="BN121" s="155" t="str">
        <f t="shared" si="51"/>
        <v/>
      </c>
      <c r="BO121" s="155" t="str">
        <f t="shared" si="52"/>
        <v/>
      </c>
      <c r="BP121" s="155">
        <f t="shared" si="53"/>
        <v>0</v>
      </c>
      <c r="BR121" s="206" t="s">
        <v>358</v>
      </c>
      <c r="BS121" s="155">
        <f t="shared" si="54"/>
        <v>324.31263863424823</v>
      </c>
      <c r="BT121" s="155">
        <f t="shared" si="55"/>
        <v>0.5</v>
      </c>
    </row>
    <row r="122" spans="1:72">
      <c r="A122" s="155" t="s">
        <v>274</v>
      </c>
      <c r="B122" s="155" t="s">
        <v>995</v>
      </c>
      <c r="C122" s="155" t="s">
        <v>208</v>
      </c>
      <c r="D122" s="155">
        <v>11</v>
      </c>
      <c r="E122" s="189">
        <v>161.74779999999998</v>
      </c>
      <c r="F122" s="67">
        <v>1016.9262199999999</v>
      </c>
      <c r="G122" s="67">
        <v>357.83872000000002</v>
      </c>
      <c r="H122" s="67">
        <v>0.99972000000000005</v>
      </c>
      <c r="I122" s="67">
        <v>0</v>
      </c>
      <c r="J122" s="67">
        <v>0</v>
      </c>
      <c r="K122" s="67">
        <v>0</v>
      </c>
      <c r="L122" s="67">
        <v>0</v>
      </c>
      <c r="M122" s="67">
        <v>0</v>
      </c>
      <c r="N122" s="67">
        <v>0</v>
      </c>
      <c r="O122" s="67">
        <v>0</v>
      </c>
      <c r="Q122" s="201" t="s">
        <v>274</v>
      </c>
      <c r="R122" s="201" t="s">
        <v>995</v>
      </c>
      <c r="S122" s="201" t="s">
        <v>208</v>
      </c>
      <c r="U122" s="155"/>
      <c r="V122" s="155"/>
      <c r="W122" s="155"/>
      <c r="X122" s="155"/>
      <c r="Y122" s="155"/>
      <c r="Z122" s="155"/>
      <c r="AA122" s="155"/>
      <c r="AB122" s="155"/>
      <c r="AC122" s="155"/>
      <c r="AE122" s="76">
        <f t="shared" si="31"/>
        <v>0</v>
      </c>
      <c r="AF122" s="76">
        <f t="shared" si="32"/>
        <v>0</v>
      </c>
      <c r="AG122" s="76">
        <f t="shared" si="33"/>
        <v>0</v>
      </c>
      <c r="AH122" s="76">
        <f t="shared" si="34"/>
        <v>0</v>
      </c>
      <c r="AI122" s="76">
        <f t="shared" si="35"/>
        <v>0</v>
      </c>
      <c r="AJ122" s="76">
        <f t="shared" si="36"/>
        <v>0</v>
      </c>
      <c r="AK122" s="76">
        <f t="shared" si="37"/>
        <v>0</v>
      </c>
      <c r="AL122" s="76">
        <f t="shared" si="38"/>
        <v>0</v>
      </c>
      <c r="AM122" s="76">
        <f t="shared" si="39"/>
        <v>0</v>
      </c>
      <c r="AN122" s="76">
        <f t="shared" si="40"/>
        <v>0</v>
      </c>
      <c r="AP122" s="201" t="s">
        <v>274</v>
      </c>
      <c r="AQ122" s="201" t="s">
        <v>208</v>
      </c>
      <c r="AR122" s="155" cm="1">
        <f t="array" ref="AR122">_xlfn.IFS($AQ122=$AP$1,$AQ$1*AE122,$AQ122=$AP$2,$AQ$2*AE122,$AQ122=$AP$3,$AQ$3*AE122,$AQ122=$AP$4,$AQ$4*AE122)</f>
        <v>0</v>
      </c>
      <c r="AS122" s="155" cm="1">
        <f t="array" ref="AS122">_xlfn.IFS($AQ122=$AP$1,$AQ$1*AF122,$AQ122=$AP$2,$AQ$2*AF122,$AQ122=$AP$3,$AQ$3*AF122,$AQ122=$AP$4,$AQ$4*AF122)</f>
        <v>0</v>
      </c>
      <c r="AT122" s="155" cm="1">
        <f t="array" ref="AT122">_xlfn.IFS($AQ122=$AP$1,$AQ$1*AG122,$AQ122=$AP$2,$AQ$2*AG122,$AQ122=$AP$3,$AQ$3*AG122,$AQ122=$AP$4,$AQ$4*AG122)</f>
        <v>0</v>
      </c>
      <c r="AU122" s="155" cm="1">
        <f t="array" ref="AU122">_xlfn.IFS($AQ122=$AP$1,$AQ$1*AH122,$AQ122=$AP$2,$AQ$2*AH122,$AQ122=$AP$3,$AQ$3*AH122,$AQ122=$AP$4,$AQ$4*AH122)</f>
        <v>0</v>
      </c>
      <c r="AV122" s="155" cm="1">
        <f t="array" ref="AV122">_xlfn.IFS($AQ122=$AP$1,$AQ$1*AI122,$AQ122=$AP$2,$AQ$2*AI122,$AQ122=$AP$3,$AQ$3*AI122,$AQ122=$AP$4,$AQ$4*AI122)</f>
        <v>0</v>
      </c>
      <c r="AW122" s="155" cm="1">
        <f t="array" ref="AW122">_xlfn.IFS($AQ122=$AP$1,$AQ$1*AJ122,$AQ122=$AP$2,$AQ$2*AJ122,$AQ122=$AP$3,$AQ$3*AJ122,$AQ122=$AP$4,$AQ$4*AJ122)</f>
        <v>0</v>
      </c>
      <c r="AX122" s="155" cm="1">
        <f t="array" ref="AX122">_xlfn.IFS($AQ122=$AP$1,$AQ$1*AK122,$AQ122=$AP$2,$AQ$2*AK122,$AQ122=$AP$3,$AQ$3*AK122,$AQ122=$AP$4,$AQ$4*AK122)</f>
        <v>0</v>
      </c>
      <c r="AY122" s="155" cm="1">
        <f t="array" ref="AY122">_xlfn.IFS($AQ122=$AP$1,$AQ$1*AL122,$AQ122=$AP$2,$AQ$2*AL122,$AQ122=$AP$3,$AQ$3*AL122,$AQ122=$AP$4,$AQ$4*AL122)</f>
        <v>0</v>
      </c>
      <c r="AZ122" s="155" cm="1">
        <f t="array" ref="AZ122">_xlfn.IFS($AQ122=$AP$1,$AQ$1*AM122,$AQ122=$AP$2,$AQ$2*AM122,$AQ122=$AP$3,$AQ$3*AM122,$AQ122=$AP$4,$AQ$4*AM122)</f>
        <v>0</v>
      </c>
      <c r="BA122" s="155" cm="1">
        <f t="array" ref="BA122">_xlfn.IFS($AQ122=$AP$1,$AQ$1*AN122,$AQ122=$AP$2,$AQ$2*AN122,$AQ122=$AP$3,$AQ$3*AN122,$AQ122=$AP$4,$AQ$4*AN122)</f>
        <v>0</v>
      </c>
      <c r="BB122" s="155"/>
      <c r="BC122" s="155" t="str">
        <f>Table2[[#This Row],[FN Parent  '#]]</f>
        <v>FN005814</v>
      </c>
      <c r="BD122" s="155">
        <f t="shared" si="41"/>
        <v>0</v>
      </c>
      <c r="BF122" s="155" t="str">
        <f t="shared" si="43"/>
        <v/>
      </c>
      <c r="BG122" s="155" t="str">
        <f t="shared" si="44"/>
        <v/>
      </c>
      <c r="BH122" s="155" t="str">
        <f t="shared" si="45"/>
        <v/>
      </c>
      <c r="BI122" s="155" t="str">
        <f t="shared" si="46"/>
        <v/>
      </c>
      <c r="BJ122" s="155" t="str">
        <f t="shared" si="47"/>
        <v/>
      </c>
      <c r="BK122" s="155" t="str">
        <f t="shared" si="48"/>
        <v/>
      </c>
      <c r="BL122" s="155" t="str">
        <f t="shared" si="49"/>
        <v/>
      </c>
      <c r="BM122" s="155" t="str">
        <f t="shared" si="50"/>
        <v/>
      </c>
      <c r="BN122" s="155" t="str">
        <f t="shared" si="51"/>
        <v/>
      </c>
      <c r="BO122" s="155" t="str">
        <f t="shared" si="52"/>
        <v/>
      </c>
      <c r="BP122" s="155">
        <f t="shared" si="53"/>
        <v>0</v>
      </c>
      <c r="BR122" s="206" t="s">
        <v>360</v>
      </c>
      <c r="BS122" s="155">
        <f t="shared" si="54"/>
        <v>131.88955046234568</v>
      </c>
      <c r="BT122" s="155">
        <f t="shared" si="55"/>
        <v>4.0999999999999996</v>
      </c>
    </row>
    <row r="123" spans="1:72">
      <c r="A123" s="155" t="s">
        <v>274</v>
      </c>
      <c r="B123" s="155" t="s">
        <v>995</v>
      </c>
      <c r="C123" s="155" t="s">
        <v>207</v>
      </c>
      <c r="D123" s="155">
        <v>11</v>
      </c>
      <c r="E123" s="189">
        <v>12241.98468</v>
      </c>
      <c r="F123" s="67">
        <v>1427</v>
      </c>
      <c r="G123" s="67">
        <v>8813.2442499999997</v>
      </c>
      <c r="H123" s="67">
        <v>3569.9339199999999</v>
      </c>
      <c r="I123" s="67">
        <v>6.0948599999999997</v>
      </c>
      <c r="J123" s="67">
        <v>0</v>
      </c>
      <c r="K123" s="67">
        <v>0</v>
      </c>
      <c r="L123" s="67">
        <v>0</v>
      </c>
      <c r="M123" s="67">
        <v>0</v>
      </c>
      <c r="N123" s="67">
        <v>0</v>
      </c>
      <c r="O123" s="67">
        <v>0</v>
      </c>
      <c r="Q123" s="202" t="s">
        <v>274</v>
      </c>
      <c r="R123" s="202" t="s">
        <v>995</v>
      </c>
      <c r="S123" s="202" t="s">
        <v>207</v>
      </c>
      <c r="T123" s="76">
        <f>SUM($E123:F123)</f>
        <v>13668.98468</v>
      </c>
      <c r="U123" s="76">
        <f>SUM($E123:G123)</f>
        <v>22482.228929999997</v>
      </c>
      <c r="V123" s="76">
        <f>SUM($E123:H123)</f>
        <v>26052.162849999997</v>
      </c>
      <c r="W123" s="76">
        <f>SUM($E123:I123)</f>
        <v>26058.257709999998</v>
      </c>
      <c r="X123" s="76">
        <f>SUM($E123:J123)</f>
        <v>26058.257709999998</v>
      </c>
      <c r="Y123" s="76">
        <f>SUM($E123:K123)</f>
        <v>26058.257709999998</v>
      </c>
      <c r="Z123" s="76">
        <f>SUM($E123:L123)</f>
        <v>26058.257709999998</v>
      </c>
      <c r="AA123" s="76">
        <f>SUM($E123:M123)</f>
        <v>26058.257709999998</v>
      </c>
      <c r="AB123" s="76">
        <f>SUM($E123:N123)</f>
        <v>26058.257709999998</v>
      </c>
      <c r="AC123" s="76">
        <f>SUM($E123:O123)</f>
        <v>26058.257709999998</v>
      </c>
      <c r="AE123" s="76">
        <f t="shared" si="31"/>
        <v>13668.98468</v>
      </c>
      <c r="AF123" s="76">
        <f t="shared" si="32"/>
        <v>22954.355737529997</v>
      </c>
      <c r="AG123" s="76">
        <f t="shared" si="33"/>
        <v>27157.842693516839</v>
      </c>
      <c r="AH123" s="76">
        <f t="shared" si="34"/>
        <v>27734.644346204972</v>
      </c>
      <c r="AI123" s="76">
        <f t="shared" si="35"/>
        <v>28317.071877475271</v>
      </c>
      <c r="AJ123" s="76">
        <f t="shared" si="36"/>
        <v>28911.730386902247</v>
      </c>
      <c r="AK123" s="76">
        <f t="shared" si="37"/>
        <v>29518.876725027192</v>
      </c>
      <c r="AL123" s="76">
        <f t="shared" si="38"/>
        <v>30138.773136252759</v>
      </c>
      <c r="AM123" s="76">
        <f t="shared" si="39"/>
        <v>30771.687372114062</v>
      </c>
      <c r="AN123" s="76">
        <f t="shared" si="40"/>
        <v>31417.892806928452</v>
      </c>
      <c r="AP123" s="202" t="s">
        <v>274</v>
      </c>
      <c r="AQ123" s="202" t="s">
        <v>207</v>
      </c>
      <c r="AR123" s="155" cm="1">
        <f t="array" ref="AR123">_xlfn.IFS($AQ123=$AP$1,$AQ$1*AE123,$AQ123=$AP$2,$AQ$2*AE123,$AQ123=$AP$3,$AQ$3*AE123,$AQ123=$AP$4,$AQ$4*AE123)</f>
        <v>1101.6120144567508</v>
      </c>
      <c r="AS123" s="155" cm="1">
        <f t="array" ref="AS123">_xlfn.IFS($AQ123=$AP$1,$AQ$1*AF123,$AQ123=$AP$2,$AQ$2*AF123,$AQ123=$AP$3,$AQ$3*AF123,$AQ123=$AP$4,$AQ$4*AF123)</f>
        <v>1849.9394546528451</v>
      </c>
      <c r="AT123" s="155" cm="1">
        <f t="array" ref="AT123">_xlfn.IFS($AQ123=$AP$1,$AQ$1*AG123,$AQ123=$AP$2,$AQ$2*AG123,$AQ123=$AP$3,$AQ$3*AG123,$AQ123=$AP$4,$AQ$4*AG123)</f>
        <v>2188.707244780132</v>
      </c>
      <c r="AU123" s="155" cm="1">
        <f t="array" ref="AU123">_xlfn.IFS($AQ123=$AP$1,$AQ$1*AH123,$AQ123=$AP$2,$AQ$2*AH123,$AQ123=$AP$3,$AQ$3*AH123,$AQ123=$AP$4,$AQ$4*AH123)</f>
        <v>2235.1928942585068</v>
      </c>
      <c r="AV123" s="155" cm="1">
        <f t="array" ref="AV123">_xlfn.IFS($AQ123=$AP$1,$AQ$1*AI123,$AQ123=$AP$2,$AQ$2*AI123,$AQ123=$AP$3,$AQ$3*AI123,$AQ123=$AP$4,$AQ$4*AI123)</f>
        <v>2282.1319450379351</v>
      </c>
      <c r="AW123" s="155" cm="1">
        <f t="array" ref="AW123">_xlfn.IFS($AQ123=$AP$1,$AQ$1*AJ123,$AQ123=$AP$2,$AQ$2*AJ123,$AQ123=$AP$3,$AQ$3*AJ123,$AQ123=$AP$4,$AQ$4*AJ123)</f>
        <v>2330.0567158837316</v>
      </c>
      <c r="AX123" s="155" cm="1">
        <f t="array" ref="AX123">_xlfn.IFS($AQ123=$AP$1,$AQ$1*AK123,$AQ123=$AP$2,$AQ$2*AK123,$AQ123=$AP$3,$AQ$3*AK123,$AQ123=$AP$4,$AQ$4*AK123)</f>
        <v>2378.9879069172894</v>
      </c>
      <c r="AY123" s="155" cm="1">
        <f t="array" ref="AY123">_xlfn.IFS($AQ123=$AP$1,$AQ$1*AL123,$AQ123=$AP$2,$AQ$2*AL123,$AQ123=$AP$3,$AQ$3*AL123,$AQ123=$AP$4,$AQ$4*AL123)</f>
        <v>2428.9466529625524</v>
      </c>
      <c r="AZ123" s="155" cm="1">
        <f t="array" ref="AZ123">_xlfn.IFS($AQ123=$AP$1,$AQ$1*AM123,$AQ123=$AP$2,$AQ$2*AM123,$AQ123=$AP$3,$AQ$3*AM123,$AQ123=$AP$4,$AQ$4*AM123)</f>
        <v>2479.9545326747657</v>
      </c>
      <c r="BA123" s="155" cm="1">
        <f t="array" ref="BA123">_xlfn.IFS($AQ123=$AP$1,$AQ$1*AN123,$AQ123=$AP$2,$AQ$2*AN123,$AQ123=$AP$3,$AQ$3*AN123,$AQ123=$AP$4,$AQ$4*AN123)</f>
        <v>2532.0335778609351</v>
      </c>
      <c r="BB123" s="155">
        <f>Table2[[#This Row],[FINAL Project System Capacity (MW)]]</f>
        <v>11</v>
      </c>
      <c r="BC123" s="155" t="str">
        <f>Table2[[#This Row],[FN Parent  '#]]</f>
        <v>FN005814</v>
      </c>
      <c r="BD123" s="155">
        <f t="shared" si="41"/>
        <v>11</v>
      </c>
      <c r="BF123" s="155">
        <f t="shared" si="43"/>
        <v>100.14654676879553</v>
      </c>
      <c r="BG123" s="155">
        <f t="shared" si="44"/>
        <v>168.17631405934955</v>
      </c>
      <c r="BH123" s="155">
        <f t="shared" si="45"/>
        <v>198.9733858891029</v>
      </c>
      <c r="BI123" s="155">
        <f t="shared" si="46"/>
        <v>203.19935402350063</v>
      </c>
      <c r="BJ123" s="155">
        <f t="shared" si="47"/>
        <v>207.46654045799411</v>
      </c>
      <c r="BK123" s="155">
        <f t="shared" si="48"/>
        <v>211.82333780761198</v>
      </c>
      <c r="BL123" s="155">
        <f t="shared" si="49"/>
        <v>216.27162790157175</v>
      </c>
      <c r="BM123" s="155">
        <f t="shared" si="50"/>
        <v>220.81333208750476</v>
      </c>
      <c r="BN123" s="155">
        <f t="shared" si="51"/>
        <v>225.45041206134235</v>
      </c>
      <c r="BO123" s="155">
        <f t="shared" si="52"/>
        <v>230.18487071463048</v>
      </c>
      <c r="BP123" s="155">
        <f t="shared" si="53"/>
        <v>192.29899856894596</v>
      </c>
      <c r="BR123" s="206" t="s">
        <v>361</v>
      </c>
      <c r="BS123" s="155">
        <f t="shared" si="54"/>
        <v>136.42495101870483</v>
      </c>
      <c r="BT123" s="155">
        <f t="shared" si="55"/>
        <v>3.44</v>
      </c>
    </row>
    <row r="124" spans="1:72">
      <c r="A124" s="196" t="s">
        <v>281</v>
      </c>
      <c r="B124" s="155"/>
      <c r="C124" s="155"/>
      <c r="D124" s="155"/>
      <c r="E124" s="189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Q124" s="196"/>
      <c r="R124" s="201"/>
      <c r="S124" s="201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P124" s="196"/>
      <c r="AQ124" s="201"/>
      <c r="AR124" s="155"/>
      <c r="AS124" s="155"/>
      <c r="AT124" s="155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F124" s="155"/>
      <c r="BG124" s="155"/>
      <c r="BH124" s="155"/>
      <c r="BI124" s="155"/>
      <c r="BJ124" s="155"/>
      <c r="BK124" s="155"/>
      <c r="BL124" s="155"/>
      <c r="BM124" s="155"/>
      <c r="BN124" s="155"/>
      <c r="BO124" s="155"/>
      <c r="BP124" s="155"/>
      <c r="BR124" s="206" t="s">
        <v>362</v>
      </c>
      <c r="BS124" s="155">
        <f t="shared" si="54"/>
        <v>36.818292271989172</v>
      </c>
      <c r="BT124" s="155">
        <f t="shared" si="55"/>
        <v>12</v>
      </c>
    </row>
    <row r="125" spans="1:72">
      <c r="A125" s="196" t="s">
        <v>281</v>
      </c>
      <c r="B125" s="155"/>
      <c r="C125" s="155"/>
      <c r="D125" s="155"/>
      <c r="E125" s="189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Q125" s="196"/>
      <c r="R125" s="202"/>
      <c r="S125" s="202"/>
      <c r="U125" s="155"/>
      <c r="V125" s="155"/>
      <c r="W125" s="155"/>
      <c r="X125" s="155"/>
      <c r="Y125" s="155"/>
      <c r="Z125" s="155"/>
      <c r="AA125" s="155"/>
      <c r="AB125" s="155"/>
      <c r="AC125" s="155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P125" s="196"/>
      <c r="AQ125" s="202"/>
      <c r="AR125" s="155"/>
      <c r="AS125" s="155"/>
      <c r="AT125" s="155"/>
      <c r="AU125" s="155"/>
      <c r="AV125" s="155"/>
      <c r="AW125" s="155"/>
      <c r="AX125" s="155"/>
      <c r="AY125" s="155"/>
      <c r="AZ125" s="155"/>
      <c r="BA125" s="155"/>
      <c r="BB125" s="155"/>
      <c r="BC125" s="155"/>
      <c r="BD125" s="155"/>
      <c r="BF125" s="155"/>
      <c r="BG125" s="155"/>
      <c r="BH125" s="155"/>
      <c r="BI125" s="155"/>
      <c r="BJ125" s="155"/>
      <c r="BK125" s="155"/>
      <c r="BL125" s="155"/>
      <c r="BM125" s="155"/>
      <c r="BN125" s="155"/>
      <c r="BO125" s="155"/>
      <c r="BP125" s="155"/>
      <c r="BR125" s="206" t="s">
        <v>363</v>
      </c>
      <c r="BS125" s="155">
        <f t="shared" si="54"/>
        <v>177.03366961226897</v>
      </c>
      <c r="BT125" s="155">
        <f t="shared" si="55"/>
        <v>3</v>
      </c>
    </row>
    <row r="126" spans="1:72">
      <c r="A126" s="155" t="s">
        <v>275</v>
      </c>
      <c r="B126" s="155" t="s">
        <v>981</v>
      </c>
      <c r="C126" s="155" t="s">
        <v>208</v>
      </c>
      <c r="D126" s="155">
        <v>41.5</v>
      </c>
      <c r="E126" s="189">
        <v>245.30828</v>
      </c>
      <c r="F126" s="67">
        <v>78.511439999999993</v>
      </c>
      <c r="G126" s="67">
        <v>2903.53773</v>
      </c>
      <c r="H126" s="67">
        <v>2792.8310900000001</v>
      </c>
      <c r="I126" s="67">
        <v>2968.61906</v>
      </c>
      <c r="J126" s="67">
        <v>956.12687000000005</v>
      </c>
      <c r="K126" s="67">
        <v>222.71655999999999</v>
      </c>
      <c r="L126" s="67">
        <v>0</v>
      </c>
      <c r="M126" s="67">
        <v>0</v>
      </c>
      <c r="N126" s="67">
        <v>0</v>
      </c>
      <c r="O126" s="67">
        <v>0</v>
      </c>
      <c r="Q126" s="201" t="s">
        <v>275</v>
      </c>
      <c r="R126" s="201" t="s">
        <v>981</v>
      </c>
      <c r="S126" s="201" t="s">
        <v>208</v>
      </c>
      <c r="T126" s="76">
        <f>SUM($E126:F128)</f>
        <v>2834.0669199999998</v>
      </c>
      <c r="U126" s="76">
        <f>SUM($E126:G128)</f>
        <v>9576.3198400000001</v>
      </c>
      <c r="V126" s="76">
        <f>SUM($E126:H128)</f>
        <v>14428.24496</v>
      </c>
      <c r="W126" s="76">
        <f>SUM($E126:I128)</f>
        <v>20389.852679999996</v>
      </c>
      <c r="X126" s="76">
        <f>SUM($E126:J128)</f>
        <v>23188.143790000002</v>
      </c>
      <c r="Y126" s="76">
        <f>SUM($E126:K128)</f>
        <v>23410.860350000003</v>
      </c>
      <c r="Z126" s="76">
        <f>SUM($E126:L128)</f>
        <v>23410.860350000003</v>
      </c>
      <c r="AA126" s="76">
        <f>SUM($E126:M128)</f>
        <v>23410.860350000003</v>
      </c>
      <c r="AB126" s="76">
        <f>SUM($E126:N128)</f>
        <v>23410.860350000003</v>
      </c>
      <c r="AC126" s="76">
        <f>SUM($E126:O128)</f>
        <v>23410.860350000003</v>
      </c>
      <c r="AE126" s="76">
        <f t="shared" si="31"/>
        <v>2834.0669199999998</v>
      </c>
      <c r="AF126" s="76">
        <f t="shared" si="32"/>
        <v>9777.42255664</v>
      </c>
      <c r="AG126" s="76">
        <f t="shared" si="33"/>
        <v>15040.594104347356</v>
      </c>
      <c r="AH126" s="76">
        <f t="shared" si="34"/>
        <v>21701.578004361298</v>
      </c>
      <c r="AI126" s="76">
        <f t="shared" si="35"/>
        <v>25198.167188080279</v>
      </c>
      <c r="AJ126" s="76">
        <f t="shared" si="36"/>
        <v>25974.433521120478</v>
      </c>
      <c r="AK126" s="76">
        <f t="shared" si="37"/>
        <v>26519.896625064004</v>
      </c>
      <c r="AL126" s="76">
        <f t="shared" si="38"/>
        <v>27076.814454190346</v>
      </c>
      <c r="AM126" s="76">
        <f t="shared" si="39"/>
        <v>27645.427557728337</v>
      </c>
      <c r="AN126" s="76">
        <f t="shared" si="40"/>
        <v>28225.981536440628</v>
      </c>
      <c r="AP126" s="201" t="s">
        <v>275</v>
      </c>
      <c r="AQ126" s="201" t="s">
        <v>208</v>
      </c>
      <c r="AR126" s="155" cm="1">
        <f t="array" ref="AR126">_xlfn.IFS($AQ126=$AP$1,$AQ$1*AE126,$AQ126=$AP$2,$AQ$2*AE126,$AQ126=$AP$3,$AQ$3*AE126,$AQ126=$AP$4,$AQ$4*AE126)</f>
        <v>400.43284554094282</v>
      </c>
      <c r="AS126" s="155" cm="1">
        <f t="array" ref="AS126">_xlfn.IFS($AQ126=$AP$1,$AQ$1*AF126,$AQ126=$AP$2,$AQ$2*AF126,$AQ126=$AP$3,$AQ$3*AF126,$AQ126=$AP$4,$AQ$4*AF126)</f>
        <v>1381.4780126686478</v>
      </c>
      <c r="AT126" s="155" cm="1">
        <f t="array" ref="AT126">_xlfn.IFS($AQ126=$AP$1,$AQ$1*AG126,$AQ126=$AP$2,$AQ$2*AG126,$AQ126=$AP$3,$AQ$3*AG126,$AQ126=$AP$4,$AQ$4*AG126)</f>
        <v>2125.1255054450658</v>
      </c>
      <c r="AU126" s="155" cm="1">
        <f t="array" ref="AU126">_xlfn.IFS($AQ126=$AP$1,$AQ$1*AH126,$AQ126=$AP$2,$AQ$2*AH126,$AQ126=$AP$3,$AQ$3*AH126,$AQ126=$AP$4,$AQ$4*AH126)</f>
        <v>3066.273619613446</v>
      </c>
      <c r="AV126" s="155" cm="1">
        <f t="array" ref="AV126">_xlfn.IFS($AQ126=$AP$1,$AQ$1*AI126,$AQ126=$AP$2,$AQ$2*AI126,$AQ126=$AP$3,$AQ$3*AI126,$AQ126=$AP$4,$AQ$4*AI126)</f>
        <v>3560.3159961866409</v>
      </c>
      <c r="AW126" s="155" cm="1">
        <f t="array" ref="AW126">_xlfn.IFS($AQ126=$AP$1,$AQ$1*AJ126,$AQ126=$AP$2,$AQ$2*AJ126,$AQ126=$AP$3,$AQ$3*AJ126,$AQ126=$AP$4,$AQ$4*AJ126)</f>
        <v>3669.9967290032532</v>
      </c>
      <c r="AX126" s="155" cm="1">
        <f t="array" ref="AX126">_xlfn.IFS($AQ126=$AP$1,$AQ$1*AK126,$AQ126=$AP$2,$AQ$2*AK126,$AQ126=$AP$3,$AQ$3*AK126,$AQ126=$AP$4,$AQ$4*AK126)</f>
        <v>3747.0666603123209</v>
      </c>
      <c r="AY126" s="155" cm="1">
        <f t="array" ref="AY126">_xlfn.IFS($AQ126=$AP$1,$AQ$1*AL126,$AQ126=$AP$2,$AQ$2*AL126,$AQ126=$AP$3,$AQ$3*AL126,$AQ126=$AP$4,$AQ$4*AL126)</f>
        <v>3825.7550601788794</v>
      </c>
      <c r="AZ126" s="155" cm="1">
        <f t="array" ref="AZ126">_xlfn.IFS($AQ126=$AP$1,$AQ$1*AM126,$AQ126=$AP$2,$AQ$2*AM126,$AQ126=$AP$3,$AQ$3*AM126,$AQ126=$AP$4,$AQ$4*AM126)</f>
        <v>3906.0959164426349</v>
      </c>
      <c r="BA126" s="155" cm="1">
        <f t="array" ref="BA126">_xlfn.IFS($AQ126=$AP$1,$AQ$1*AN126,$AQ126=$AP$2,$AQ$2*AN126,$AQ126=$AP$3,$AQ$3*AN126,$AQ126=$AP$4,$AQ$4*AN126)</f>
        <v>3988.1239306879297</v>
      </c>
      <c r="BB126" s="155">
        <f>Table2[[#This Row],[FINAL Project System Capacity (MW)]]</f>
        <v>41.5</v>
      </c>
      <c r="BC126" s="155" t="str">
        <f>Table2[[#This Row],[FN Parent  '#]]</f>
        <v>FN005770</v>
      </c>
      <c r="BD126" s="155">
        <f t="shared" si="41"/>
        <v>41.5</v>
      </c>
      <c r="BE126" s="155">
        <f t="shared" si="42"/>
        <v>41.5</v>
      </c>
      <c r="BF126" s="155">
        <f t="shared" si="43"/>
        <v>9.6489842299022364</v>
      </c>
      <c r="BG126" s="155">
        <f t="shared" si="44"/>
        <v>33.288626811292716</v>
      </c>
      <c r="BH126" s="155">
        <f t="shared" si="45"/>
        <v>51.207843504700378</v>
      </c>
      <c r="BI126" s="155">
        <f t="shared" si="46"/>
        <v>73.886111315986653</v>
      </c>
      <c r="BJ126" s="155">
        <f t="shared" si="47"/>
        <v>85.790746896063638</v>
      </c>
      <c r="BK126" s="155">
        <f t="shared" si="48"/>
        <v>88.433656120560315</v>
      </c>
      <c r="BL126" s="155">
        <f t="shared" si="49"/>
        <v>90.290762899092073</v>
      </c>
      <c r="BM126" s="155">
        <f t="shared" si="50"/>
        <v>92.186868919972994</v>
      </c>
      <c r="BN126" s="155">
        <f t="shared" si="51"/>
        <v>94.122793167292414</v>
      </c>
      <c r="BO126" s="155">
        <f t="shared" si="52"/>
        <v>96.099371823805541</v>
      </c>
      <c r="BP126" s="155">
        <f t="shared" si="53"/>
        <v>66.482776799696538</v>
      </c>
    </row>
    <row r="127" spans="1:72">
      <c r="A127" s="155" t="s">
        <v>275</v>
      </c>
      <c r="B127" s="155" t="s">
        <v>981</v>
      </c>
      <c r="C127" s="155" t="s">
        <v>208</v>
      </c>
      <c r="D127" s="155">
        <v>41.5</v>
      </c>
      <c r="E127" s="189">
        <v>96.616320000000002</v>
      </c>
      <c r="F127" s="67">
        <v>2175.8181199999999</v>
      </c>
      <c r="G127" s="67">
        <v>3632.90247</v>
      </c>
      <c r="H127" s="67">
        <v>1176.03755</v>
      </c>
      <c r="I127" s="67">
        <v>0</v>
      </c>
      <c r="J127" s="67">
        <v>0</v>
      </c>
      <c r="K127" s="67">
        <v>0</v>
      </c>
      <c r="L127" s="67">
        <v>0</v>
      </c>
      <c r="M127" s="67">
        <v>0</v>
      </c>
      <c r="N127" s="67">
        <v>0</v>
      </c>
      <c r="O127" s="67">
        <v>0</v>
      </c>
      <c r="Q127" s="202" t="s">
        <v>275</v>
      </c>
      <c r="R127" s="202" t="s">
        <v>981</v>
      </c>
      <c r="S127" s="202" t="s">
        <v>208</v>
      </c>
      <c r="U127" s="155"/>
      <c r="V127" s="155"/>
      <c r="W127" s="155"/>
      <c r="X127" s="155"/>
      <c r="Y127" s="155"/>
      <c r="Z127" s="155"/>
      <c r="AA127" s="155"/>
      <c r="AB127" s="155"/>
      <c r="AC127" s="155"/>
      <c r="AE127" s="76">
        <f t="shared" si="31"/>
        <v>0</v>
      </c>
      <c r="AF127" s="76">
        <f t="shared" si="32"/>
        <v>0</v>
      </c>
      <c r="AG127" s="76">
        <f t="shared" si="33"/>
        <v>0</v>
      </c>
      <c r="AH127" s="76">
        <f t="shared" si="34"/>
        <v>0</v>
      </c>
      <c r="AI127" s="76">
        <f t="shared" si="35"/>
        <v>0</v>
      </c>
      <c r="AJ127" s="76">
        <f t="shared" si="36"/>
        <v>0</v>
      </c>
      <c r="AK127" s="76">
        <f t="shared" si="37"/>
        <v>0</v>
      </c>
      <c r="AL127" s="76">
        <f t="shared" si="38"/>
        <v>0</v>
      </c>
      <c r="AM127" s="76">
        <f t="shared" si="39"/>
        <v>0</v>
      </c>
      <c r="AN127" s="76">
        <f t="shared" si="40"/>
        <v>0</v>
      </c>
      <c r="AP127" s="202" t="s">
        <v>275</v>
      </c>
      <c r="AQ127" s="202" t="s">
        <v>208</v>
      </c>
      <c r="AR127" s="155" cm="1">
        <f t="array" ref="AR127">_xlfn.IFS($AQ127=$AP$1,$AQ$1*AE127,$AQ127=$AP$2,$AQ$2*AE127,$AQ127=$AP$3,$AQ$3*AE127,$AQ127=$AP$4,$AQ$4*AE127)</f>
        <v>0</v>
      </c>
      <c r="AS127" s="155" cm="1">
        <f t="array" ref="AS127">_xlfn.IFS($AQ127=$AP$1,$AQ$1*AF127,$AQ127=$AP$2,$AQ$2*AF127,$AQ127=$AP$3,$AQ$3*AF127,$AQ127=$AP$4,$AQ$4*AF127)</f>
        <v>0</v>
      </c>
      <c r="AT127" s="155" cm="1">
        <f t="array" ref="AT127">_xlfn.IFS($AQ127=$AP$1,$AQ$1*AG127,$AQ127=$AP$2,$AQ$2*AG127,$AQ127=$AP$3,$AQ$3*AG127,$AQ127=$AP$4,$AQ$4*AG127)</f>
        <v>0</v>
      </c>
      <c r="AU127" s="155" cm="1">
        <f t="array" ref="AU127">_xlfn.IFS($AQ127=$AP$1,$AQ$1*AH127,$AQ127=$AP$2,$AQ$2*AH127,$AQ127=$AP$3,$AQ$3*AH127,$AQ127=$AP$4,$AQ$4*AH127)</f>
        <v>0</v>
      </c>
      <c r="AV127" s="155" cm="1">
        <f t="array" ref="AV127">_xlfn.IFS($AQ127=$AP$1,$AQ$1*AI127,$AQ127=$AP$2,$AQ$2*AI127,$AQ127=$AP$3,$AQ$3*AI127,$AQ127=$AP$4,$AQ$4*AI127)</f>
        <v>0</v>
      </c>
      <c r="AW127" s="155" cm="1">
        <f t="array" ref="AW127">_xlfn.IFS($AQ127=$AP$1,$AQ$1*AJ127,$AQ127=$AP$2,$AQ$2*AJ127,$AQ127=$AP$3,$AQ$3*AJ127,$AQ127=$AP$4,$AQ$4*AJ127)</f>
        <v>0</v>
      </c>
      <c r="AX127" s="155" cm="1">
        <f t="array" ref="AX127">_xlfn.IFS($AQ127=$AP$1,$AQ$1*AK127,$AQ127=$AP$2,$AQ$2*AK127,$AQ127=$AP$3,$AQ$3*AK127,$AQ127=$AP$4,$AQ$4*AK127)</f>
        <v>0</v>
      </c>
      <c r="AY127" s="155" cm="1">
        <f t="array" ref="AY127">_xlfn.IFS($AQ127=$AP$1,$AQ$1*AL127,$AQ127=$AP$2,$AQ$2*AL127,$AQ127=$AP$3,$AQ$3*AL127,$AQ127=$AP$4,$AQ$4*AL127)</f>
        <v>0</v>
      </c>
      <c r="AZ127" s="155" cm="1">
        <f t="array" ref="AZ127">_xlfn.IFS($AQ127=$AP$1,$AQ$1*AM127,$AQ127=$AP$2,$AQ$2*AM127,$AQ127=$AP$3,$AQ$3*AM127,$AQ127=$AP$4,$AQ$4*AM127)</f>
        <v>0</v>
      </c>
      <c r="BA127" s="155" cm="1">
        <f t="array" ref="BA127">_xlfn.IFS($AQ127=$AP$1,$AQ$1*AN127,$AQ127=$AP$2,$AQ$2*AN127,$AQ127=$AP$3,$AQ$3*AN127,$AQ127=$AP$4,$AQ$4*AN127)</f>
        <v>0</v>
      </c>
      <c r="BB127" s="155"/>
      <c r="BC127" s="155" t="str">
        <f>Table2[[#This Row],[FN Parent  '#]]</f>
        <v>FN005770</v>
      </c>
      <c r="BD127" s="155">
        <f t="shared" si="41"/>
        <v>0</v>
      </c>
      <c r="BF127" s="155" t="str">
        <f t="shared" si="43"/>
        <v/>
      </c>
      <c r="BG127" s="155" t="str">
        <f t="shared" si="44"/>
        <v/>
      </c>
      <c r="BH127" s="155" t="str">
        <f t="shared" si="45"/>
        <v/>
      </c>
      <c r="BI127" s="155" t="str">
        <f t="shared" si="46"/>
        <v/>
      </c>
      <c r="BJ127" s="155" t="str">
        <f t="shared" si="47"/>
        <v/>
      </c>
      <c r="BK127" s="155" t="str">
        <f t="shared" si="48"/>
        <v/>
      </c>
      <c r="BL127" s="155" t="str">
        <f t="shared" si="49"/>
        <v/>
      </c>
      <c r="BM127" s="155" t="str">
        <f t="shared" si="50"/>
        <v/>
      </c>
      <c r="BN127" s="155" t="str">
        <f t="shared" si="51"/>
        <v/>
      </c>
      <c r="BO127" s="155" t="str">
        <f t="shared" si="52"/>
        <v/>
      </c>
      <c r="BP127" s="155">
        <f t="shared" si="53"/>
        <v>0</v>
      </c>
    </row>
    <row r="128" spans="1:72">
      <c r="A128" s="155" t="s">
        <v>275</v>
      </c>
      <c r="B128" s="155" t="s">
        <v>981</v>
      </c>
      <c r="C128" s="155" t="s">
        <v>208</v>
      </c>
      <c r="D128" s="155">
        <v>41.5</v>
      </c>
      <c r="E128" s="189">
        <v>181.55676</v>
      </c>
      <c r="F128" s="67">
        <v>56.256</v>
      </c>
      <c r="G128" s="67">
        <v>205.81272000000001</v>
      </c>
      <c r="H128" s="67">
        <v>883.05647999999997</v>
      </c>
      <c r="I128" s="67">
        <v>2992.98866</v>
      </c>
      <c r="J128" s="67">
        <v>1842.1642400000001</v>
      </c>
      <c r="K128" s="67">
        <v>0</v>
      </c>
      <c r="L128" s="67">
        <v>0</v>
      </c>
      <c r="M128" s="67">
        <v>0</v>
      </c>
      <c r="N128" s="67">
        <v>0</v>
      </c>
      <c r="O128" s="67">
        <v>0</v>
      </c>
      <c r="Q128" s="201" t="s">
        <v>275</v>
      </c>
      <c r="R128" s="201" t="s">
        <v>981</v>
      </c>
      <c r="S128" s="201" t="s">
        <v>208</v>
      </c>
      <c r="U128" s="155"/>
      <c r="V128" s="155"/>
      <c r="W128" s="155"/>
      <c r="X128" s="155"/>
      <c r="Y128" s="155"/>
      <c r="Z128" s="155"/>
      <c r="AA128" s="155"/>
      <c r="AB128" s="155"/>
      <c r="AC128" s="155"/>
      <c r="AE128" s="76">
        <f t="shared" si="31"/>
        <v>0</v>
      </c>
      <c r="AF128" s="76">
        <f t="shared" si="32"/>
        <v>0</v>
      </c>
      <c r="AG128" s="76">
        <f t="shared" si="33"/>
        <v>0</v>
      </c>
      <c r="AH128" s="76">
        <f t="shared" si="34"/>
        <v>0</v>
      </c>
      <c r="AI128" s="76">
        <f t="shared" si="35"/>
        <v>0</v>
      </c>
      <c r="AJ128" s="76">
        <f t="shared" si="36"/>
        <v>0</v>
      </c>
      <c r="AK128" s="76">
        <f t="shared" si="37"/>
        <v>0</v>
      </c>
      <c r="AL128" s="76">
        <f t="shared" si="38"/>
        <v>0</v>
      </c>
      <c r="AM128" s="76">
        <f t="shared" si="39"/>
        <v>0</v>
      </c>
      <c r="AN128" s="76">
        <f t="shared" si="40"/>
        <v>0</v>
      </c>
      <c r="AP128" s="201" t="s">
        <v>275</v>
      </c>
      <c r="AQ128" s="201" t="s">
        <v>208</v>
      </c>
      <c r="AR128" s="155" cm="1">
        <f t="array" ref="AR128">_xlfn.IFS($AQ128=$AP$1,$AQ$1*AE128,$AQ128=$AP$2,$AQ$2*AE128,$AQ128=$AP$3,$AQ$3*AE128,$AQ128=$AP$4,$AQ$4*AE128)</f>
        <v>0</v>
      </c>
      <c r="AS128" s="155" cm="1">
        <f t="array" ref="AS128">_xlfn.IFS($AQ128=$AP$1,$AQ$1*AF128,$AQ128=$AP$2,$AQ$2*AF128,$AQ128=$AP$3,$AQ$3*AF128,$AQ128=$AP$4,$AQ$4*AF128)</f>
        <v>0</v>
      </c>
      <c r="AT128" s="155" cm="1">
        <f t="array" ref="AT128">_xlfn.IFS($AQ128=$AP$1,$AQ$1*AG128,$AQ128=$AP$2,$AQ$2*AG128,$AQ128=$AP$3,$AQ$3*AG128,$AQ128=$AP$4,$AQ$4*AG128)</f>
        <v>0</v>
      </c>
      <c r="AU128" s="155" cm="1">
        <f t="array" ref="AU128">_xlfn.IFS($AQ128=$AP$1,$AQ$1*AH128,$AQ128=$AP$2,$AQ$2*AH128,$AQ128=$AP$3,$AQ$3*AH128,$AQ128=$AP$4,$AQ$4*AH128)</f>
        <v>0</v>
      </c>
      <c r="AV128" s="155" cm="1">
        <f t="array" ref="AV128">_xlfn.IFS($AQ128=$AP$1,$AQ$1*AI128,$AQ128=$AP$2,$AQ$2*AI128,$AQ128=$AP$3,$AQ$3*AI128,$AQ128=$AP$4,$AQ$4*AI128)</f>
        <v>0</v>
      </c>
      <c r="AW128" s="155" cm="1">
        <f t="array" ref="AW128">_xlfn.IFS($AQ128=$AP$1,$AQ$1*AJ128,$AQ128=$AP$2,$AQ$2*AJ128,$AQ128=$AP$3,$AQ$3*AJ128,$AQ128=$AP$4,$AQ$4*AJ128)</f>
        <v>0</v>
      </c>
      <c r="AX128" s="155" cm="1">
        <f t="array" ref="AX128">_xlfn.IFS($AQ128=$AP$1,$AQ$1*AK128,$AQ128=$AP$2,$AQ$2*AK128,$AQ128=$AP$3,$AQ$3*AK128,$AQ128=$AP$4,$AQ$4*AK128)</f>
        <v>0</v>
      </c>
      <c r="AY128" s="155" cm="1">
        <f t="array" ref="AY128">_xlfn.IFS($AQ128=$AP$1,$AQ$1*AL128,$AQ128=$AP$2,$AQ$2*AL128,$AQ128=$AP$3,$AQ$3*AL128,$AQ128=$AP$4,$AQ$4*AL128)</f>
        <v>0</v>
      </c>
      <c r="AZ128" s="155" cm="1">
        <f t="array" ref="AZ128">_xlfn.IFS($AQ128=$AP$1,$AQ$1*AM128,$AQ128=$AP$2,$AQ$2*AM128,$AQ128=$AP$3,$AQ$3*AM128,$AQ128=$AP$4,$AQ$4*AM128)</f>
        <v>0</v>
      </c>
      <c r="BA128" s="155" cm="1">
        <f t="array" ref="BA128">_xlfn.IFS($AQ128=$AP$1,$AQ$1*AN128,$AQ128=$AP$2,$AQ$2*AN128,$AQ128=$AP$3,$AQ$3*AN128,$AQ128=$AP$4,$AQ$4*AN128)</f>
        <v>0</v>
      </c>
      <c r="BB128" s="155"/>
      <c r="BC128" s="155" t="str">
        <f>Table2[[#This Row],[FN Parent  '#]]</f>
        <v>FN005770</v>
      </c>
      <c r="BD128" s="155">
        <f t="shared" si="41"/>
        <v>0</v>
      </c>
      <c r="BF128" s="155" t="str">
        <f t="shared" si="43"/>
        <v/>
      </c>
      <c r="BG128" s="155" t="str">
        <f t="shared" si="44"/>
        <v/>
      </c>
      <c r="BH128" s="155" t="str">
        <f t="shared" si="45"/>
        <v/>
      </c>
      <c r="BI128" s="155" t="str">
        <f t="shared" si="46"/>
        <v/>
      </c>
      <c r="BJ128" s="155" t="str">
        <f t="shared" si="47"/>
        <v/>
      </c>
      <c r="BK128" s="155" t="str">
        <f t="shared" si="48"/>
        <v/>
      </c>
      <c r="BL128" s="155" t="str">
        <f t="shared" si="49"/>
        <v/>
      </c>
      <c r="BM128" s="155" t="str">
        <f t="shared" si="50"/>
        <v/>
      </c>
      <c r="BN128" s="155" t="str">
        <f t="shared" si="51"/>
        <v/>
      </c>
      <c r="BO128" s="155" t="str">
        <f t="shared" si="52"/>
        <v/>
      </c>
      <c r="BP128" s="155">
        <f t="shared" si="53"/>
        <v>0</v>
      </c>
    </row>
    <row r="129" spans="1:68">
      <c r="A129" s="155" t="s">
        <v>275</v>
      </c>
      <c r="B129" s="155" t="s">
        <v>981</v>
      </c>
      <c r="C129" s="155" t="s">
        <v>207</v>
      </c>
      <c r="D129" s="155">
        <v>41.5</v>
      </c>
      <c r="E129" s="189">
        <v>6299.0104799999999</v>
      </c>
      <c r="F129" s="67">
        <v>5431.9237400000002</v>
      </c>
      <c r="G129" s="67">
        <v>6446.3457900000003</v>
      </c>
      <c r="H129" s="67">
        <v>6862.6135299999996</v>
      </c>
      <c r="I129" s="67">
        <v>3802.4157999999998</v>
      </c>
      <c r="J129" s="67">
        <v>2441.1690699999999</v>
      </c>
      <c r="K129" s="67">
        <v>0</v>
      </c>
      <c r="L129" s="67">
        <v>0</v>
      </c>
      <c r="M129" s="67">
        <v>0</v>
      </c>
      <c r="N129" s="67">
        <v>0</v>
      </c>
      <c r="O129" s="67">
        <v>0</v>
      </c>
      <c r="Q129" s="202" t="s">
        <v>275</v>
      </c>
      <c r="R129" s="202" t="s">
        <v>981</v>
      </c>
      <c r="S129" s="202" t="s">
        <v>207</v>
      </c>
      <c r="T129" s="76">
        <f>SUM($E129:F130)</f>
        <v>17179.48978</v>
      </c>
      <c r="U129" s="76">
        <f>SUM($E129:G130)</f>
        <v>26352.1839</v>
      </c>
      <c r="V129" s="76">
        <f>SUM($E129:H130)</f>
        <v>34964.318090000001</v>
      </c>
      <c r="W129" s="76">
        <f>SUM($E129:I130)</f>
        <v>38766.733889999996</v>
      </c>
      <c r="X129" s="76">
        <f>SUM($E129:J130)</f>
        <v>41207.902959999999</v>
      </c>
      <c r="Y129" s="76">
        <f>SUM($E129:K130)</f>
        <v>41207.902959999999</v>
      </c>
      <c r="Z129" s="76">
        <f>SUM($E129:L130)</f>
        <v>41207.902959999999</v>
      </c>
      <c r="AA129" s="76">
        <f>SUM($E129:M130)</f>
        <v>41207.902959999999</v>
      </c>
      <c r="AB129" s="76">
        <f>SUM($E129:N130)</f>
        <v>41207.902959999999</v>
      </c>
      <c r="AC129" s="76">
        <f>SUM($E129:O130)</f>
        <v>41207.902959999999</v>
      </c>
      <c r="AE129" s="76">
        <f t="shared" si="31"/>
        <v>17179.48978</v>
      </c>
      <c r="AF129" s="76">
        <f t="shared" si="32"/>
        <v>26905.579761899997</v>
      </c>
      <c r="AG129" s="76">
        <f t="shared" si="33"/>
        <v>36448.238714057683</v>
      </c>
      <c r="AH129" s="76">
        <f t="shared" si="34"/>
        <v>41260.68553272901</v>
      </c>
      <c r="AI129" s="76">
        <f t="shared" si="35"/>
        <v>44779.937439583562</v>
      </c>
      <c r="AJ129" s="76">
        <f t="shared" si="36"/>
        <v>45720.31612581481</v>
      </c>
      <c r="AK129" s="76">
        <f t="shared" si="37"/>
        <v>46680.442764456922</v>
      </c>
      <c r="AL129" s="76">
        <f t="shared" si="38"/>
        <v>47660.732062510506</v>
      </c>
      <c r="AM129" s="76">
        <f t="shared" si="39"/>
        <v>48661.607435823222</v>
      </c>
      <c r="AN129" s="76">
        <f t="shared" si="40"/>
        <v>49683.501191975498</v>
      </c>
      <c r="AP129" s="202" t="s">
        <v>275</v>
      </c>
      <c r="AQ129" s="202" t="s">
        <v>207</v>
      </c>
      <c r="AR129" s="155" cm="1">
        <f t="array" ref="AR129">_xlfn.IFS($AQ129=$AP$1,$AQ$1*AE129,$AQ129=$AP$2,$AQ$2*AE129,$AQ129=$AP$3,$AQ$3*AE129,$AQ129=$AP$4,$AQ$4*AE129)</f>
        <v>1384.5309499523823</v>
      </c>
      <c r="AS129" s="155" cm="1">
        <f t="array" ref="AS129">_xlfn.IFS($AQ129=$AP$1,$AQ$1*AF129,$AQ129=$AP$2,$AQ$2*AF129,$AQ129=$AP$3,$AQ$3*AF129,$AQ129=$AP$4,$AQ$4*AF129)</f>
        <v>2168.3768484283237</v>
      </c>
      <c r="AT129" s="155" cm="1">
        <f t="array" ref="AT129">_xlfn.IFS($AQ129=$AP$1,$AQ$1*AG129,$AQ129=$AP$2,$AQ$2*AG129,$AQ129=$AP$3,$AQ$3*AG129,$AQ129=$AP$4,$AQ$4*AG129)</f>
        <v>2937.4396572367518</v>
      </c>
      <c r="AU129" s="155" cm="1">
        <f t="array" ref="AU129">_xlfn.IFS($AQ129=$AP$1,$AQ$1*AH129,$AQ129=$AP$2,$AQ$2*AH129,$AQ129=$AP$3,$AQ$3*AH129,$AQ129=$AP$4,$AQ$4*AH129)</f>
        <v>3325.284794128258</v>
      </c>
      <c r="AV129" s="155" cm="1">
        <f t="array" ref="AV129">_xlfn.IFS($AQ129=$AP$1,$AQ$1*AI129,$AQ129=$AP$2,$AQ$2*AI129,$AQ129=$AP$3,$AQ$3*AI129,$AQ129=$AP$4,$AQ$4*AI129)</f>
        <v>3608.9086530505147</v>
      </c>
      <c r="AW129" s="155" cm="1">
        <f t="array" ref="AW129">_xlfn.IFS($AQ129=$AP$1,$AQ$1*AJ129,$AQ129=$AP$2,$AQ$2*AJ129,$AQ129=$AP$3,$AQ$3*AJ129,$AQ129=$AP$4,$AQ$4*AJ129)</f>
        <v>3684.6957347645748</v>
      </c>
      <c r="AX129" s="155" cm="1">
        <f t="array" ref="AX129">_xlfn.IFS($AQ129=$AP$1,$AQ$1*AK129,$AQ129=$AP$2,$AQ$2*AK129,$AQ129=$AP$3,$AQ$3*AK129,$AQ129=$AP$4,$AQ$4*AK129)</f>
        <v>3762.074345194631</v>
      </c>
      <c r="AY129" s="155" cm="1">
        <f t="array" ref="AY129">_xlfn.IFS($AQ129=$AP$1,$AQ$1*AL129,$AQ129=$AP$2,$AQ$2*AL129,$AQ129=$AP$3,$AQ$3*AL129,$AQ129=$AP$4,$AQ$4*AL129)</f>
        <v>3841.0779064437174</v>
      </c>
      <c r="AZ129" s="155" cm="1">
        <f t="array" ref="AZ129">_xlfn.IFS($AQ129=$AP$1,$AQ$1*AM129,$AQ129=$AP$2,$AQ$2*AM129,$AQ129=$AP$3,$AQ$3*AM129,$AQ129=$AP$4,$AQ$4*AM129)</f>
        <v>3921.740542479035</v>
      </c>
      <c r="BA129" s="155" cm="1">
        <f t="array" ref="BA129">_xlfn.IFS($AQ129=$AP$1,$AQ$1*AN129,$AQ129=$AP$2,$AQ$2*AN129,$AQ129=$AP$3,$AQ$3*AN129,$AQ129=$AP$4,$AQ$4*AN129)</f>
        <v>4004.0970938710939</v>
      </c>
      <c r="BB129" s="155">
        <f>Table2[[#This Row],[FINAL Project System Capacity (MW)]]</f>
        <v>41.5</v>
      </c>
      <c r="BC129" s="155" t="str">
        <f>Table2[[#This Row],[FN Parent  '#]]</f>
        <v>FN005770</v>
      </c>
      <c r="BD129" s="155">
        <f t="shared" si="41"/>
        <v>41.5</v>
      </c>
      <c r="BF129" s="155">
        <f t="shared" si="43"/>
        <v>33.362191565117648</v>
      </c>
      <c r="BG129" s="155">
        <f t="shared" si="44"/>
        <v>52.250044540441536</v>
      </c>
      <c r="BH129" s="155">
        <f t="shared" si="45"/>
        <v>70.781678487632576</v>
      </c>
      <c r="BI129" s="155">
        <f t="shared" si="46"/>
        <v>80.127344436825496</v>
      </c>
      <c r="BJ129" s="155">
        <f t="shared" si="47"/>
        <v>86.961654290373843</v>
      </c>
      <c r="BK129" s="155">
        <f t="shared" si="48"/>
        <v>88.787849030471676</v>
      </c>
      <c r="BL129" s="155">
        <f t="shared" si="49"/>
        <v>90.652393860111587</v>
      </c>
      <c r="BM129" s="155">
        <f t="shared" si="50"/>
        <v>92.556094131173907</v>
      </c>
      <c r="BN129" s="155">
        <f t="shared" si="51"/>
        <v>94.49977210792855</v>
      </c>
      <c r="BO129" s="155">
        <f t="shared" si="52"/>
        <v>96.484267322195038</v>
      </c>
      <c r="BP129" s="155">
        <f t="shared" si="53"/>
        <v>75.191972983470265</v>
      </c>
    </row>
    <row r="130" spans="1:68">
      <c r="A130" s="155" t="s">
        <v>275</v>
      </c>
      <c r="B130" s="155" t="s">
        <v>981</v>
      </c>
      <c r="C130" s="155" t="s">
        <v>207</v>
      </c>
      <c r="D130" s="155">
        <v>41.5</v>
      </c>
      <c r="E130" s="189">
        <v>4074.51208</v>
      </c>
      <c r="F130" s="67">
        <v>1374.04348</v>
      </c>
      <c r="G130" s="67">
        <v>2726.3483299999998</v>
      </c>
      <c r="H130" s="67">
        <v>1749.5206599999999</v>
      </c>
      <c r="I130" s="67">
        <v>0</v>
      </c>
      <c r="J130" s="67">
        <v>0</v>
      </c>
      <c r="K130" s="67">
        <v>0</v>
      </c>
      <c r="L130" s="67">
        <v>0</v>
      </c>
      <c r="M130" s="67">
        <v>0</v>
      </c>
      <c r="N130" s="67">
        <v>0</v>
      </c>
      <c r="O130" s="67">
        <v>0</v>
      </c>
      <c r="Q130" s="201" t="s">
        <v>275</v>
      </c>
      <c r="R130" s="201" t="s">
        <v>981</v>
      </c>
      <c r="S130" s="201" t="s">
        <v>207</v>
      </c>
      <c r="U130" s="155"/>
      <c r="V130" s="155"/>
      <c r="W130" s="155"/>
      <c r="X130" s="155"/>
      <c r="Y130" s="155"/>
      <c r="Z130" s="155"/>
      <c r="AA130" s="155"/>
      <c r="AB130" s="155"/>
      <c r="AC130" s="155"/>
      <c r="AE130" s="76">
        <f t="shared" si="31"/>
        <v>0</v>
      </c>
      <c r="AF130" s="76">
        <f t="shared" si="32"/>
        <v>0</v>
      </c>
      <c r="AG130" s="76">
        <f t="shared" si="33"/>
        <v>0</v>
      </c>
      <c r="AH130" s="76">
        <f t="shared" si="34"/>
        <v>0</v>
      </c>
      <c r="AI130" s="76">
        <f t="shared" si="35"/>
        <v>0</v>
      </c>
      <c r="AJ130" s="76">
        <f t="shared" si="36"/>
        <v>0</v>
      </c>
      <c r="AK130" s="76">
        <f t="shared" si="37"/>
        <v>0</v>
      </c>
      <c r="AL130" s="76">
        <f t="shared" si="38"/>
        <v>0</v>
      </c>
      <c r="AM130" s="76">
        <f t="shared" si="39"/>
        <v>0</v>
      </c>
      <c r="AN130" s="76">
        <f t="shared" si="40"/>
        <v>0</v>
      </c>
      <c r="AP130" s="201" t="s">
        <v>275</v>
      </c>
      <c r="AQ130" s="201" t="s">
        <v>207</v>
      </c>
      <c r="AR130" s="155" cm="1">
        <f t="array" ref="AR130">_xlfn.IFS($AQ130=$AP$1,$AQ$1*AE130,$AQ130=$AP$2,$AQ$2*AE130,$AQ130=$AP$3,$AQ$3*AE130,$AQ130=$AP$4,$AQ$4*AE130)</f>
        <v>0</v>
      </c>
      <c r="AS130" s="155" cm="1">
        <f t="array" ref="AS130">_xlfn.IFS($AQ130=$AP$1,$AQ$1*AF130,$AQ130=$AP$2,$AQ$2*AF130,$AQ130=$AP$3,$AQ$3*AF130,$AQ130=$AP$4,$AQ$4*AF130)</f>
        <v>0</v>
      </c>
      <c r="AT130" s="155" cm="1">
        <f t="array" ref="AT130">_xlfn.IFS($AQ130=$AP$1,$AQ$1*AG130,$AQ130=$AP$2,$AQ$2*AG130,$AQ130=$AP$3,$AQ$3*AG130,$AQ130=$AP$4,$AQ$4*AG130)</f>
        <v>0</v>
      </c>
      <c r="AU130" s="155" cm="1">
        <f t="array" ref="AU130">_xlfn.IFS($AQ130=$AP$1,$AQ$1*AH130,$AQ130=$AP$2,$AQ$2*AH130,$AQ130=$AP$3,$AQ$3*AH130,$AQ130=$AP$4,$AQ$4*AH130)</f>
        <v>0</v>
      </c>
      <c r="AV130" s="155" cm="1">
        <f t="array" ref="AV130">_xlfn.IFS($AQ130=$AP$1,$AQ$1*AI130,$AQ130=$AP$2,$AQ$2*AI130,$AQ130=$AP$3,$AQ$3*AI130,$AQ130=$AP$4,$AQ$4*AI130)</f>
        <v>0</v>
      </c>
      <c r="AW130" s="155" cm="1">
        <f t="array" ref="AW130">_xlfn.IFS($AQ130=$AP$1,$AQ$1*AJ130,$AQ130=$AP$2,$AQ$2*AJ130,$AQ130=$AP$3,$AQ$3*AJ130,$AQ130=$AP$4,$AQ$4*AJ130)</f>
        <v>0</v>
      </c>
      <c r="AX130" s="155" cm="1">
        <f t="array" ref="AX130">_xlfn.IFS($AQ130=$AP$1,$AQ$1*AK130,$AQ130=$AP$2,$AQ$2*AK130,$AQ130=$AP$3,$AQ$3*AK130,$AQ130=$AP$4,$AQ$4*AK130)</f>
        <v>0</v>
      </c>
      <c r="AY130" s="155" cm="1">
        <f t="array" ref="AY130">_xlfn.IFS($AQ130=$AP$1,$AQ$1*AL130,$AQ130=$AP$2,$AQ$2*AL130,$AQ130=$AP$3,$AQ$3*AL130,$AQ130=$AP$4,$AQ$4*AL130)</f>
        <v>0</v>
      </c>
      <c r="AZ130" s="155" cm="1">
        <f t="array" ref="AZ130">_xlfn.IFS($AQ130=$AP$1,$AQ$1*AM130,$AQ130=$AP$2,$AQ$2*AM130,$AQ130=$AP$3,$AQ$3*AM130,$AQ130=$AP$4,$AQ$4*AM130)</f>
        <v>0</v>
      </c>
      <c r="BA130" s="155" cm="1">
        <f t="array" ref="BA130">_xlfn.IFS($AQ130=$AP$1,$AQ$1*AN130,$AQ130=$AP$2,$AQ$2*AN130,$AQ130=$AP$3,$AQ$3*AN130,$AQ130=$AP$4,$AQ$4*AN130)</f>
        <v>0</v>
      </c>
      <c r="BB130" s="155"/>
      <c r="BC130" s="155" t="str">
        <f>Table2[[#This Row],[FN Parent  '#]]</f>
        <v>FN005770</v>
      </c>
      <c r="BD130" s="155">
        <f t="shared" si="41"/>
        <v>0</v>
      </c>
      <c r="BF130" s="155" t="str">
        <f t="shared" si="43"/>
        <v/>
      </c>
      <c r="BG130" s="155" t="str">
        <f t="shared" si="44"/>
        <v/>
      </c>
      <c r="BH130" s="155" t="str">
        <f t="shared" si="45"/>
        <v/>
      </c>
      <c r="BI130" s="155" t="str">
        <f t="shared" si="46"/>
        <v/>
      </c>
      <c r="BJ130" s="155" t="str">
        <f t="shared" si="47"/>
        <v/>
      </c>
      <c r="BK130" s="155" t="str">
        <f t="shared" si="48"/>
        <v/>
      </c>
      <c r="BL130" s="155" t="str">
        <f t="shared" si="49"/>
        <v/>
      </c>
      <c r="BM130" s="155" t="str">
        <f t="shared" si="50"/>
        <v/>
      </c>
      <c r="BN130" s="155" t="str">
        <f t="shared" si="51"/>
        <v/>
      </c>
      <c r="BO130" s="155" t="str">
        <f t="shared" si="52"/>
        <v/>
      </c>
      <c r="BP130" s="155">
        <f t="shared" si="53"/>
        <v>0</v>
      </c>
    </row>
    <row r="131" spans="1:68">
      <c r="A131" s="155" t="s">
        <v>276</v>
      </c>
      <c r="B131" s="155" t="s">
        <v>1345</v>
      </c>
      <c r="C131" s="155" t="s">
        <v>208</v>
      </c>
      <c r="D131" s="155">
        <v>10</v>
      </c>
      <c r="E131" s="189">
        <v>158.74160000000001</v>
      </c>
      <c r="F131" s="67">
        <v>0</v>
      </c>
      <c r="G131" s="67">
        <v>0</v>
      </c>
      <c r="H131" s="67">
        <v>24</v>
      </c>
      <c r="I131" s="67">
        <v>1900</v>
      </c>
      <c r="J131" s="67">
        <v>0</v>
      </c>
      <c r="K131" s="67">
        <v>0</v>
      </c>
      <c r="L131" s="67">
        <v>0</v>
      </c>
      <c r="M131" s="67">
        <v>0</v>
      </c>
      <c r="N131" s="67">
        <v>0</v>
      </c>
      <c r="O131" s="67">
        <v>0</v>
      </c>
      <c r="Q131" s="202" t="s">
        <v>276</v>
      </c>
      <c r="R131" s="202" t="s">
        <v>1345</v>
      </c>
      <c r="S131" s="202" t="s">
        <v>208</v>
      </c>
      <c r="T131" s="76">
        <f>SUM($E131:F131)</f>
        <v>158.74160000000001</v>
      </c>
      <c r="U131" s="76">
        <f>SUM($E131:G131)</f>
        <v>158.74160000000001</v>
      </c>
      <c r="V131" s="76">
        <f>SUM($E131:H131)</f>
        <v>182.74160000000001</v>
      </c>
      <c r="W131" s="76">
        <f>SUM($E131:I131)</f>
        <v>2082.7415999999998</v>
      </c>
      <c r="X131" s="76">
        <f>SUM($E131:J131)</f>
        <v>2082.7415999999998</v>
      </c>
      <c r="Y131" s="76">
        <f>SUM($E131:K131)</f>
        <v>2082.7415999999998</v>
      </c>
      <c r="Z131" s="76">
        <f>SUM($E131:L131)</f>
        <v>2082.7415999999998</v>
      </c>
      <c r="AA131" s="76">
        <f>SUM($E131:M131)</f>
        <v>2082.7415999999998</v>
      </c>
      <c r="AB131" s="76">
        <f>SUM($E131:N131)</f>
        <v>2082.7415999999998</v>
      </c>
      <c r="AC131" s="76">
        <f>SUM($E131:O131)</f>
        <v>2082.7415999999998</v>
      </c>
      <c r="AE131" s="76">
        <f t="shared" si="31"/>
        <v>158.74160000000001</v>
      </c>
      <c r="AF131" s="76">
        <f t="shared" si="32"/>
        <v>162.0751736</v>
      </c>
      <c r="AG131" s="76">
        <f t="shared" si="33"/>
        <v>190.49733624559997</v>
      </c>
      <c r="AH131" s="76">
        <f t="shared" si="34"/>
        <v>2216.7290762067569</v>
      </c>
      <c r="AI131" s="76">
        <f t="shared" si="35"/>
        <v>2263.2803868070982</v>
      </c>
      <c r="AJ131" s="76">
        <f t="shared" si="36"/>
        <v>2310.8092749300467</v>
      </c>
      <c r="AK131" s="76">
        <f t="shared" si="37"/>
        <v>2359.3362697035777</v>
      </c>
      <c r="AL131" s="76">
        <f t="shared" si="38"/>
        <v>2408.8823313673524</v>
      </c>
      <c r="AM131" s="76">
        <f t="shared" si="39"/>
        <v>2459.4688603260665</v>
      </c>
      <c r="AN131" s="76">
        <f t="shared" si="40"/>
        <v>2511.1177063929135</v>
      </c>
      <c r="AP131" s="202" t="s">
        <v>276</v>
      </c>
      <c r="AQ131" s="202" t="s">
        <v>208</v>
      </c>
      <c r="AR131" s="155" cm="1">
        <f t="array" ref="AR131">_xlfn.IFS($AQ131=$AP$1,$AQ$1*AE131,$AQ131=$AP$2,$AQ$2*AE131,$AQ131=$AP$3,$AQ$3*AE131,$AQ131=$AP$4,$AQ$4*AE131)</f>
        <v>22.429022457141603</v>
      </c>
      <c r="AS131" s="155" cm="1">
        <f t="array" ref="AS131">_xlfn.IFS($AQ131=$AP$1,$AQ$1*AF131,$AQ131=$AP$2,$AQ$2*AF131,$AQ131=$AP$3,$AQ$3*AF131,$AQ131=$AP$4,$AQ$4*AF131)</f>
        <v>22.900031928741576</v>
      </c>
      <c r="AT131" s="155" cm="1">
        <f t="array" ref="AT131">_xlfn.IFS($AQ131=$AP$1,$AQ$1*AG131,$AQ131=$AP$2,$AQ$2*AG131,$AQ131=$AP$3,$AQ$3*AG131,$AQ131=$AP$4,$AQ$4*AG131)</f>
        <v>26.915874809616486</v>
      </c>
      <c r="AU131" s="155" cm="1">
        <f t="array" ref="AU131">_xlfn.IFS($AQ131=$AP$1,$AQ$1*AH131,$AQ131=$AP$2,$AQ$2*AH131,$AQ131=$AP$3,$AQ$3*AH131,$AQ131=$AP$4,$AQ$4*AH131)</f>
        <v>313.20754125975867</v>
      </c>
      <c r="AV131" s="155" cm="1">
        <f t="array" ref="AV131">_xlfn.IFS($AQ131=$AP$1,$AQ$1*AI131,$AQ131=$AP$2,$AQ$2*AI131,$AQ131=$AP$3,$AQ$3*AI131,$AQ131=$AP$4,$AQ$4*AI131)</f>
        <v>319.78489962621353</v>
      </c>
      <c r="AW131" s="155" cm="1">
        <f t="array" ref="AW131">_xlfn.IFS($AQ131=$AP$1,$AQ$1*AJ131,$AQ131=$AP$2,$AQ$2*AJ131,$AQ131=$AP$3,$AQ$3*AJ131,$AQ131=$AP$4,$AQ$4*AJ131)</f>
        <v>326.50038251836395</v>
      </c>
      <c r="AX131" s="155" cm="1">
        <f t="array" ref="AX131">_xlfn.IFS($AQ131=$AP$1,$AQ$1*AK131,$AQ131=$AP$2,$AQ$2*AK131,$AQ131=$AP$3,$AQ$3*AK131,$AQ131=$AP$4,$AQ$4*AK131)</f>
        <v>333.35689055124959</v>
      </c>
      <c r="AY131" s="155" cm="1">
        <f t="array" ref="AY131">_xlfn.IFS($AQ131=$AP$1,$AQ$1*AL131,$AQ131=$AP$2,$AQ$2*AL131,$AQ131=$AP$3,$AQ$3*AL131,$AQ131=$AP$4,$AQ$4*AL131)</f>
        <v>340.35738525282579</v>
      </c>
      <c r="AZ131" s="155" cm="1">
        <f t="array" ref="AZ131">_xlfn.IFS($AQ131=$AP$1,$AQ$1*AM131,$AQ131=$AP$2,$AQ$2*AM131,$AQ131=$AP$3,$AQ$3*AM131,$AQ131=$AP$4,$AQ$4*AM131)</f>
        <v>347.50489034313506</v>
      </c>
      <c r="BA131" s="155" cm="1">
        <f t="array" ref="BA131">_xlfn.IFS($AQ131=$AP$1,$AQ$1*AN131,$AQ131=$AP$2,$AQ$2*AN131,$AQ131=$AP$3,$AQ$3*AN131,$AQ131=$AP$4,$AQ$4*AN131)</f>
        <v>354.80249304034083</v>
      </c>
      <c r="BB131" s="155">
        <f>Table2[[#This Row],[FINAL Project System Capacity (MW)]]</f>
        <v>10</v>
      </c>
      <c r="BC131" s="155" t="str">
        <f>Table2[[#This Row],[FN Parent  '#]]</f>
        <v>Individual Project</v>
      </c>
      <c r="BD131" s="155">
        <f t="shared" si="41"/>
        <v>10</v>
      </c>
      <c r="BE131" s="155">
        <f t="shared" si="42"/>
        <v>10</v>
      </c>
      <c r="BF131" s="155">
        <f t="shared" si="43"/>
        <v>2.2429022457141601</v>
      </c>
      <c r="BG131" s="155">
        <f t="shared" si="44"/>
        <v>2.2900031928741575</v>
      </c>
      <c r="BH131" s="155">
        <f t="shared" si="45"/>
        <v>2.6915874809616485</v>
      </c>
      <c r="BI131" s="155">
        <f t="shared" si="46"/>
        <v>31.320754125975867</v>
      </c>
      <c r="BJ131" s="155">
        <f t="shared" si="47"/>
        <v>31.978489962621353</v>
      </c>
      <c r="BK131" s="155">
        <f t="shared" si="48"/>
        <v>32.650038251836392</v>
      </c>
      <c r="BL131" s="155">
        <f t="shared" si="49"/>
        <v>33.335689055124959</v>
      </c>
      <c r="BM131" s="155">
        <f t="shared" si="50"/>
        <v>34.035738525282582</v>
      </c>
      <c r="BN131" s="155">
        <f t="shared" si="51"/>
        <v>34.750489034313503</v>
      </c>
      <c r="BO131" s="155">
        <f t="shared" si="52"/>
        <v>35.480249304034082</v>
      </c>
      <c r="BP131" s="155">
        <f t="shared" si="53"/>
        <v>21.721144438779685</v>
      </c>
    </row>
    <row r="132" spans="1:68">
      <c r="A132" s="155" t="s">
        <v>277</v>
      </c>
      <c r="B132" s="155" t="s">
        <v>1345</v>
      </c>
      <c r="C132" s="155" t="s">
        <v>208</v>
      </c>
      <c r="D132" s="155">
        <v>2</v>
      </c>
      <c r="E132" s="189">
        <v>0</v>
      </c>
      <c r="F132" s="67">
        <v>0</v>
      </c>
      <c r="G132" s="67">
        <v>15</v>
      </c>
      <c r="H132" s="67">
        <v>338.46152000000001</v>
      </c>
      <c r="I132" s="67">
        <v>0</v>
      </c>
      <c r="J132" s="67">
        <v>0</v>
      </c>
      <c r="K132" s="67">
        <v>0</v>
      </c>
      <c r="L132" s="67">
        <v>0</v>
      </c>
      <c r="M132" s="67">
        <v>0</v>
      </c>
      <c r="N132" s="67">
        <v>0</v>
      </c>
      <c r="O132" s="67">
        <v>0</v>
      </c>
      <c r="Q132" s="201" t="s">
        <v>277</v>
      </c>
      <c r="R132" s="201" t="s">
        <v>1345</v>
      </c>
      <c r="S132" s="201" t="s">
        <v>208</v>
      </c>
      <c r="T132" s="76">
        <f>SUM($E132:F132)</f>
        <v>0</v>
      </c>
      <c r="U132" s="76">
        <f>SUM($E132:G132)</f>
        <v>15</v>
      </c>
      <c r="V132" s="76">
        <f>SUM($E132:H132)</f>
        <v>353.46152000000001</v>
      </c>
      <c r="W132" s="76">
        <f>SUM($E132:I132)</f>
        <v>353.46152000000001</v>
      </c>
      <c r="X132" s="76">
        <f>SUM($E132:J132)</f>
        <v>353.46152000000001</v>
      </c>
      <c r="Y132" s="76">
        <f>SUM($E132:K132)</f>
        <v>353.46152000000001</v>
      </c>
      <c r="Z132" s="76">
        <f>SUM($E132:L132)</f>
        <v>353.46152000000001</v>
      </c>
      <c r="AA132" s="76">
        <f>SUM($E132:M132)</f>
        <v>353.46152000000001</v>
      </c>
      <c r="AB132" s="76">
        <f>SUM($E132:N132)</f>
        <v>353.46152000000001</v>
      </c>
      <c r="AC132" s="76">
        <f>SUM($E132:O132)</f>
        <v>353.46152000000001</v>
      </c>
      <c r="AE132" s="76">
        <f t="shared" si="31"/>
        <v>0</v>
      </c>
      <c r="AF132" s="76">
        <f t="shared" si="32"/>
        <v>15.314999999999998</v>
      </c>
      <c r="AG132" s="76">
        <f t="shared" si="33"/>
        <v>368.46278037031993</v>
      </c>
      <c r="AH132" s="76">
        <f t="shared" si="34"/>
        <v>376.20049875809661</v>
      </c>
      <c r="AI132" s="76">
        <f t="shared" si="35"/>
        <v>384.10070923201658</v>
      </c>
      <c r="AJ132" s="76">
        <f t="shared" si="36"/>
        <v>392.16682412588887</v>
      </c>
      <c r="AK132" s="76">
        <f t="shared" si="37"/>
        <v>400.4023274325325</v>
      </c>
      <c r="AL132" s="76">
        <f t="shared" si="38"/>
        <v>408.81077630861563</v>
      </c>
      <c r="AM132" s="76">
        <f t="shared" si="39"/>
        <v>417.39580261109649</v>
      </c>
      <c r="AN132" s="76">
        <f t="shared" si="40"/>
        <v>426.16111446592947</v>
      </c>
      <c r="AP132" s="201" t="s">
        <v>277</v>
      </c>
      <c r="AQ132" s="201" t="s">
        <v>208</v>
      </c>
      <c r="AR132" s="155" cm="1">
        <f t="array" ref="AR132">_xlfn.IFS($AQ132=$AP$1,$AQ$1*AE132,$AQ132=$AP$2,$AQ$2*AE132,$AQ132=$AP$3,$AQ$3*AE132,$AQ132=$AP$4,$AQ$4*AE132)</f>
        <v>0</v>
      </c>
      <c r="AS132" s="155" cm="1">
        <f t="array" ref="AS132">_xlfn.IFS($AQ132=$AP$1,$AQ$1*AF132,$AQ132=$AP$2,$AQ$2*AF132,$AQ132=$AP$3,$AQ$3*AF132,$AQ132=$AP$4,$AQ$4*AF132)</f>
        <v>2.1638970435671783</v>
      </c>
      <c r="AT132" s="155" cm="1">
        <f t="array" ref="AT132">_xlfn.IFS($AQ132=$AP$1,$AQ$1*AG132,$AQ132=$AP$2,$AQ$2*AG132,$AQ132=$AP$3,$AQ$3*AG132,$AQ132=$AP$4,$AQ$4*AG132)</f>
        <v>52.061085282917269</v>
      </c>
      <c r="AU132" s="155" cm="1">
        <f t="array" ref="AU132">_xlfn.IFS($AQ132=$AP$1,$AQ$1*AH132,$AQ132=$AP$2,$AQ$2*AH132,$AQ132=$AP$3,$AQ$3*AH132,$AQ132=$AP$4,$AQ$4*AH132)</f>
        <v>53.154368073858528</v>
      </c>
      <c r="AV132" s="155" cm="1">
        <f t="array" ref="AV132">_xlfn.IFS($AQ132=$AP$1,$AQ$1*AI132,$AQ132=$AP$2,$AQ$2*AI132,$AQ132=$AP$3,$AQ$3*AI132,$AQ132=$AP$4,$AQ$4*AI132)</f>
        <v>54.270609803409549</v>
      </c>
      <c r="AW132" s="155" cm="1">
        <f t="array" ref="AW132">_xlfn.IFS($AQ132=$AP$1,$AQ$1*AJ132,$AQ132=$AP$2,$AQ$2*AJ132,$AQ132=$AP$3,$AQ$3*AJ132,$AQ132=$AP$4,$AQ$4*AJ132)</f>
        <v>55.410292609281136</v>
      </c>
      <c r="AX132" s="155" cm="1">
        <f t="array" ref="AX132">_xlfn.IFS($AQ132=$AP$1,$AQ$1*AK132,$AQ132=$AP$2,$AQ$2*AK132,$AQ132=$AP$3,$AQ$3*AK132,$AQ132=$AP$4,$AQ$4*AK132)</f>
        <v>56.573908754076037</v>
      </c>
      <c r="AY132" s="155" cm="1">
        <f t="array" ref="AY132">_xlfn.IFS($AQ132=$AP$1,$AQ$1*AL132,$AQ132=$AP$2,$AQ$2*AL132,$AQ132=$AP$3,$AQ$3*AL132,$AQ132=$AP$4,$AQ$4*AL132)</f>
        <v>57.761960837911623</v>
      </c>
      <c r="AZ132" s="155" cm="1">
        <f t="array" ref="AZ132">_xlfn.IFS($AQ132=$AP$1,$AQ$1*AM132,$AQ132=$AP$2,$AQ$2*AM132,$AQ132=$AP$3,$AQ$3*AM132,$AQ132=$AP$4,$AQ$4*AM132)</f>
        <v>58.974962015507764</v>
      </c>
      <c r="BA132" s="155" cm="1">
        <f t="array" ref="BA132">_xlfn.IFS($AQ132=$AP$1,$AQ$1*AN132,$AQ132=$AP$2,$AQ$2*AN132,$AQ132=$AP$3,$AQ$3*AN132,$AQ132=$AP$4,$AQ$4*AN132)</f>
        <v>60.213436217833419</v>
      </c>
      <c r="BB132" s="155">
        <f>Table2[[#This Row],[FINAL Project System Capacity (MW)]]</f>
        <v>2</v>
      </c>
      <c r="BC132" s="155" t="str">
        <f>Table2[[#This Row],[FN Parent  '#]]</f>
        <v>Individual Project</v>
      </c>
      <c r="BD132" s="155">
        <f t="shared" si="41"/>
        <v>2</v>
      </c>
      <c r="BE132" s="155">
        <f t="shared" si="42"/>
        <v>2</v>
      </c>
      <c r="BF132" s="155">
        <f t="shared" si="43"/>
        <v>0</v>
      </c>
      <c r="BG132" s="155">
        <f t="shared" si="44"/>
        <v>1.0819485217835891</v>
      </c>
      <c r="BH132" s="155">
        <f t="shared" si="45"/>
        <v>26.030542641458634</v>
      </c>
      <c r="BI132" s="155">
        <f t="shared" si="46"/>
        <v>26.577184036929264</v>
      </c>
      <c r="BJ132" s="155">
        <f t="shared" si="47"/>
        <v>27.135304901704774</v>
      </c>
      <c r="BK132" s="155">
        <f t="shared" si="48"/>
        <v>27.705146304640568</v>
      </c>
      <c r="BL132" s="155">
        <f t="shared" si="49"/>
        <v>28.286954377038018</v>
      </c>
      <c r="BM132" s="155">
        <f t="shared" si="50"/>
        <v>28.880980418955811</v>
      </c>
      <c r="BN132" s="155">
        <f t="shared" si="51"/>
        <v>29.487481007753882</v>
      </c>
      <c r="BO132" s="155">
        <f t="shared" si="52"/>
        <v>30.106718108916709</v>
      </c>
      <c r="BP132" s="155">
        <f t="shared" si="53"/>
        <v>20.826047142577426</v>
      </c>
    </row>
    <row r="133" spans="1:68">
      <c r="A133" s="155" t="s">
        <v>279</v>
      </c>
      <c r="B133" s="155" t="s">
        <v>1345</v>
      </c>
      <c r="C133" s="155" t="s">
        <v>208</v>
      </c>
      <c r="D133" s="155">
        <v>5</v>
      </c>
      <c r="E133" s="189">
        <v>0</v>
      </c>
      <c r="F133" s="67">
        <v>0</v>
      </c>
      <c r="G133" s="67">
        <v>350</v>
      </c>
      <c r="H133" s="67">
        <v>0</v>
      </c>
      <c r="I133" s="67">
        <v>0</v>
      </c>
      <c r="J133" s="67">
        <v>0</v>
      </c>
      <c r="K133" s="67">
        <v>0</v>
      </c>
      <c r="L133" s="67">
        <v>0</v>
      </c>
      <c r="M133" s="67">
        <v>0</v>
      </c>
      <c r="N133" s="67">
        <v>0</v>
      </c>
      <c r="O133" s="67">
        <v>0</v>
      </c>
      <c r="Q133" s="202" t="s">
        <v>279</v>
      </c>
      <c r="R133" s="202" t="s">
        <v>1345</v>
      </c>
      <c r="S133" s="202" t="s">
        <v>208</v>
      </c>
      <c r="T133" s="76">
        <f>SUM($E133:F133)</f>
        <v>0</v>
      </c>
      <c r="U133" s="76">
        <f>SUM($E133:G133)</f>
        <v>350</v>
      </c>
      <c r="V133" s="76">
        <f>SUM($E133:H133)</f>
        <v>350</v>
      </c>
      <c r="W133" s="76">
        <f>SUM($E133:I133)</f>
        <v>350</v>
      </c>
      <c r="X133" s="76">
        <f>SUM($E133:J133)</f>
        <v>350</v>
      </c>
      <c r="Y133" s="76">
        <f>SUM($E133:K133)</f>
        <v>350</v>
      </c>
      <c r="Z133" s="76">
        <f>SUM($E133:L133)</f>
        <v>350</v>
      </c>
      <c r="AA133" s="76">
        <f>SUM($E133:M133)</f>
        <v>350</v>
      </c>
      <c r="AB133" s="76">
        <f>SUM($E133:N133)</f>
        <v>350</v>
      </c>
      <c r="AC133" s="76">
        <f>SUM($E133:O133)</f>
        <v>350</v>
      </c>
      <c r="AE133" s="76">
        <f t="shared" si="31"/>
        <v>0</v>
      </c>
      <c r="AF133" s="76">
        <f t="shared" si="32"/>
        <v>357.34999999999997</v>
      </c>
      <c r="AG133" s="76">
        <f t="shared" si="33"/>
        <v>364.8543499999999</v>
      </c>
      <c r="AH133" s="76">
        <f t="shared" si="34"/>
        <v>372.5162913499999</v>
      </c>
      <c r="AI133" s="76">
        <f t="shared" si="35"/>
        <v>380.33913346834981</v>
      </c>
      <c r="AJ133" s="76">
        <f t="shared" si="36"/>
        <v>388.32625527118512</v>
      </c>
      <c r="AK133" s="76">
        <f t="shared" si="37"/>
        <v>396.48110663187998</v>
      </c>
      <c r="AL133" s="76">
        <f t="shared" si="38"/>
        <v>404.80720987114938</v>
      </c>
      <c r="AM133" s="76">
        <f t="shared" si="39"/>
        <v>413.30816127844349</v>
      </c>
      <c r="AN133" s="76">
        <f t="shared" si="40"/>
        <v>421.98763266529068</v>
      </c>
      <c r="AP133" s="202" t="s">
        <v>279</v>
      </c>
      <c r="AQ133" s="202" t="s">
        <v>208</v>
      </c>
      <c r="AR133" s="155" cm="1">
        <f t="array" ref="AR133">_xlfn.IFS($AQ133=$AP$1,$AQ$1*AE133,$AQ133=$AP$2,$AQ$2*AE133,$AQ133=$AP$3,$AQ$3*AE133,$AQ133=$AP$4,$AQ$4*AE133)</f>
        <v>0</v>
      </c>
      <c r="AS133" s="155" cm="1">
        <f t="array" ref="AS133">_xlfn.IFS($AQ133=$AP$1,$AQ$1*AF133,$AQ133=$AP$2,$AQ$2*AF133,$AQ133=$AP$3,$AQ$3*AF133,$AQ133=$AP$4,$AQ$4*AF133)</f>
        <v>50.490931016567494</v>
      </c>
      <c r="AT133" s="155" cm="1">
        <f t="array" ref="AT133">_xlfn.IFS($AQ133=$AP$1,$AQ$1*AG133,$AQ133=$AP$2,$AQ$2*AG133,$AQ133=$AP$3,$AQ$3*AG133,$AQ133=$AP$4,$AQ$4*AG133)</f>
        <v>51.551240567915407</v>
      </c>
      <c r="AU133" s="155" cm="1">
        <f t="array" ref="AU133">_xlfn.IFS($AQ133=$AP$1,$AQ$1*AH133,$AQ133=$AP$2,$AQ$2*AH133,$AQ133=$AP$3,$AQ$3*AH133,$AQ133=$AP$4,$AQ$4*AH133)</f>
        <v>52.633816619841632</v>
      </c>
      <c r="AV133" s="155" cm="1">
        <f t="array" ref="AV133">_xlfn.IFS($AQ133=$AP$1,$AQ$1*AI133,$AQ133=$AP$2,$AQ$2*AI133,$AQ133=$AP$3,$AQ$3*AI133,$AQ133=$AP$4,$AQ$4*AI133)</f>
        <v>53.739126768858291</v>
      </c>
      <c r="AW133" s="155" cm="1">
        <f t="array" ref="AW133">_xlfn.IFS($AQ133=$AP$1,$AQ$1*AJ133,$AQ133=$AP$2,$AQ$2*AJ133,$AQ133=$AP$3,$AQ$3*AJ133,$AQ133=$AP$4,$AQ$4*AJ133)</f>
        <v>54.867648431004312</v>
      </c>
      <c r="AX133" s="155" cm="1">
        <f t="array" ref="AX133">_xlfn.IFS($AQ133=$AP$1,$AQ$1*AK133,$AQ133=$AP$2,$AQ$2*AK133,$AQ133=$AP$3,$AQ$3*AK133,$AQ133=$AP$4,$AQ$4*AK133)</f>
        <v>56.019869048055398</v>
      </c>
      <c r="AY133" s="155" cm="1">
        <f t="array" ref="AY133">_xlfn.IFS($AQ133=$AP$1,$AQ$1*AL133,$AQ133=$AP$2,$AQ$2*AL133,$AQ133=$AP$3,$AQ$3*AL133,$AQ133=$AP$4,$AQ$4*AL133)</f>
        <v>57.19628629806455</v>
      </c>
      <c r="AZ133" s="155" cm="1">
        <f t="array" ref="AZ133">_xlfn.IFS($AQ133=$AP$1,$AQ$1*AM133,$AQ133=$AP$2,$AQ$2*AM133,$AQ133=$AP$3,$AQ$3*AM133,$AQ133=$AP$4,$AQ$4*AM133)</f>
        <v>58.397408310323904</v>
      </c>
      <c r="BA133" s="155" cm="1">
        <f t="array" ref="BA133">_xlfn.IFS($AQ133=$AP$1,$AQ$1*AN133,$AQ133=$AP$2,$AQ$2*AN133,$AQ133=$AP$3,$AQ$3*AN133,$AQ133=$AP$4,$AQ$4*AN133)</f>
        <v>59.623753884840681</v>
      </c>
      <c r="BB133" s="155">
        <f>Table2[[#This Row],[FINAL Project System Capacity (MW)]]</f>
        <v>5</v>
      </c>
      <c r="BC133" s="155" t="str">
        <f>Table2[[#This Row],[FN Parent  '#]]</f>
        <v>Individual Project</v>
      </c>
      <c r="BD133" s="155">
        <f t="shared" si="41"/>
        <v>5</v>
      </c>
      <c r="BE133" s="155">
        <f t="shared" si="42"/>
        <v>5</v>
      </c>
      <c r="BF133" s="155">
        <f t="shared" si="43"/>
        <v>0</v>
      </c>
      <c r="BG133" s="155">
        <f t="shared" si="44"/>
        <v>10.098186203313499</v>
      </c>
      <c r="BH133" s="155">
        <f t="shared" si="45"/>
        <v>10.310248113583082</v>
      </c>
      <c r="BI133" s="155">
        <f t="shared" si="46"/>
        <v>10.526763323968327</v>
      </c>
      <c r="BJ133" s="155">
        <f t="shared" si="47"/>
        <v>10.747825353771658</v>
      </c>
      <c r="BK133" s="155">
        <f t="shared" si="48"/>
        <v>10.973529686200862</v>
      </c>
      <c r="BL133" s="155">
        <f t="shared" si="49"/>
        <v>11.20397380961108</v>
      </c>
      <c r="BM133" s="155">
        <f t="shared" si="50"/>
        <v>11.43925725961291</v>
      </c>
      <c r="BN133" s="155">
        <f t="shared" si="51"/>
        <v>11.679481662064781</v>
      </c>
      <c r="BO133" s="155">
        <f t="shared" si="52"/>
        <v>11.924750776968136</v>
      </c>
      <c r="BP133" s="155">
        <f t="shared" si="53"/>
        <v>9.4470293697795533</v>
      </c>
    </row>
    <row r="134" spans="1:68">
      <c r="A134" s="155" t="s">
        <v>234</v>
      </c>
      <c r="B134" s="155" t="s">
        <v>1238</v>
      </c>
      <c r="C134" s="155" t="s">
        <v>208</v>
      </c>
      <c r="D134" s="155">
        <v>4</v>
      </c>
      <c r="E134" s="189">
        <v>0</v>
      </c>
      <c r="F134" s="67">
        <v>0</v>
      </c>
      <c r="G134" s="67">
        <v>0</v>
      </c>
      <c r="H134" s="67">
        <v>184</v>
      </c>
      <c r="I134" s="67">
        <v>735</v>
      </c>
      <c r="J134" s="67">
        <v>735</v>
      </c>
      <c r="K134" s="67">
        <v>734.69388000000004</v>
      </c>
      <c r="L134" s="67">
        <v>0</v>
      </c>
      <c r="M134" s="67">
        <v>0</v>
      </c>
      <c r="N134" s="67">
        <v>612.245</v>
      </c>
      <c r="O134" s="67">
        <v>0</v>
      </c>
      <c r="Q134" s="201" t="s">
        <v>234</v>
      </c>
      <c r="R134" s="201" t="s">
        <v>1238</v>
      </c>
      <c r="S134" s="201" t="s">
        <v>208</v>
      </c>
      <c r="T134" s="76">
        <f>SUM($E134:F134)</f>
        <v>0</v>
      </c>
      <c r="U134" s="76">
        <f>SUM($E134:G134)</f>
        <v>0</v>
      </c>
      <c r="V134" s="76">
        <f>SUM($E134:H134)</f>
        <v>184</v>
      </c>
      <c r="W134" s="76">
        <f>SUM($E134:I134)</f>
        <v>919</v>
      </c>
      <c r="X134" s="76">
        <f>SUM($E134:J134)</f>
        <v>1654</v>
      </c>
      <c r="Y134" s="76">
        <f>SUM($E134:K134)</f>
        <v>2388.6938799999998</v>
      </c>
      <c r="Z134" s="76">
        <f>SUM($E134:L134)</f>
        <v>2388.6938799999998</v>
      </c>
      <c r="AA134" s="76">
        <f>SUM($E134:M134)</f>
        <v>2388.6938799999998</v>
      </c>
      <c r="AB134" s="76">
        <f>SUM($E134:N134)</f>
        <v>3000.9388799999997</v>
      </c>
      <c r="AC134" s="76">
        <f>SUM($E134:O134)</f>
        <v>3000.9388799999997</v>
      </c>
      <c r="AE134" s="76">
        <f t="shared" si="31"/>
        <v>0</v>
      </c>
      <c r="AF134" s="76">
        <f t="shared" si="32"/>
        <v>0</v>
      </c>
      <c r="AG134" s="76">
        <f t="shared" si="33"/>
        <v>191.80914399999995</v>
      </c>
      <c r="AH134" s="76">
        <f t="shared" si="34"/>
        <v>978.12134785899968</v>
      </c>
      <c r="AI134" s="76">
        <f t="shared" si="35"/>
        <v>1797.3740764475731</v>
      </c>
      <c r="AJ134" s="76">
        <f t="shared" si="36"/>
        <v>2650.2644268845643</v>
      </c>
      <c r="AK134" s="76">
        <f t="shared" si="37"/>
        <v>2705.91997984914</v>
      </c>
      <c r="AL134" s="76">
        <f t="shared" si="38"/>
        <v>2762.7442994259718</v>
      </c>
      <c r="AM134" s="76">
        <f t="shared" si="39"/>
        <v>3543.7500874336897</v>
      </c>
      <c r="AN134" s="76">
        <f t="shared" si="40"/>
        <v>3618.1688392697965</v>
      </c>
      <c r="AP134" s="201" t="s">
        <v>234</v>
      </c>
      <c r="AQ134" s="201" t="s">
        <v>208</v>
      </c>
      <c r="AR134" s="155" cm="1">
        <f t="array" ref="AR134">_xlfn.IFS($AQ134=$AP$1,$AQ$1*AE134,$AQ134=$AP$2,$AQ$2*AE134,$AQ134=$AP$3,$AQ$3*AE134,$AQ134=$AP$4,$AQ$4*AE134)</f>
        <v>0</v>
      </c>
      <c r="AS134" s="155" cm="1">
        <f t="array" ref="AS134">_xlfn.IFS($AQ134=$AP$1,$AQ$1*AF134,$AQ134=$AP$2,$AQ$2*AF134,$AQ134=$AP$3,$AQ$3*AF134,$AQ134=$AP$4,$AQ$4*AF134)</f>
        <v>0</v>
      </c>
      <c r="AT134" s="155" cm="1">
        <f t="array" ref="AT134">_xlfn.IFS($AQ134=$AP$1,$AQ$1*AG134,$AQ134=$AP$2,$AQ$2*AG134,$AQ134=$AP$3,$AQ$3*AG134,$AQ134=$AP$4,$AQ$4*AG134)</f>
        <v>27.101223612846955</v>
      </c>
      <c r="AU134" s="155" cm="1">
        <f t="array" ref="AU134">_xlfn.IFS($AQ134=$AP$1,$AQ$1*AH134,$AQ134=$AP$2,$AQ$2*AH134,$AQ134=$AP$3,$AQ$3*AH134,$AQ134=$AP$4,$AQ$4*AH134)</f>
        <v>138.20136421038416</v>
      </c>
      <c r="AV134" s="155" cm="1">
        <f t="array" ref="AV134">_xlfn.IFS($AQ134=$AP$1,$AQ$1*AI134,$AQ134=$AP$2,$AQ$2*AI134,$AQ134=$AP$3,$AQ$3*AI134,$AQ134=$AP$4,$AQ$4*AI134)</f>
        <v>253.95575907340461</v>
      </c>
      <c r="AW134" s="155" cm="1">
        <f t="array" ref="AW134">_xlfn.IFS($AQ134=$AP$1,$AQ$1*AJ134,$AQ134=$AP$2,$AQ$2*AJ134,$AQ134=$AP$3,$AQ$3*AJ134,$AQ134=$AP$4,$AQ$4*AJ134)</f>
        <v>374.46290290609022</v>
      </c>
      <c r="AX134" s="155" cm="1">
        <f t="array" ref="AX134">_xlfn.IFS($AQ134=$AP$1,$AQ$1*AK134,$AQ134=$AP$2,$AQ$2*AK134,$AQ134=$AP$3,$AQ$3*AK134,$AQ134=$AP$4,$AQ$4*AK134)</f>
        <v>382.32662386711809</v>
      </c>
      <c r="AY134" s="155" cm="1">
        <f t="array" ref="AY134">_xlfn.IFS($AQ134=$AP$1,$AQ$1*AL134,$AQ134=$AP$2,$AQ$2*AL134,$AQ134=$AP$3,$AQ$3*AL134,$AQ134=$AP$4,$AQ$4*AL134)</f>
        <v>390.35548296832758</v>
      </c>
      <c r="AZ134" s="155" cm="1">
        <f t="array" ref="AZ134">_xlfn.IFS($AQ134=$AP$1,$AQ$1*AM134,$AQ134=$AP$2,$AQ$2*AM134,$AQ134=$AP$3,$AQ$3*AM134,$AQ134=$AP$4,$AQ$4*AM134)</f>
        <v>500.70586597053165</v>
      </c>
      <c r="BA134" s="155" cm="1">
        <f t="array" ref="BA134">_xlfn.IFS($AQ134=$AP$1,$AQ$1*AN134,$AQ134=$AP$2,$AQ$2*AN134,$AQ134=$AP$3,$AQ$3*AN134,$AQ134=$AP$4,$AQ$4*AN134)</f>
        <v>511.22068915591268</v>
      </c>
      <c r="BB134" s="155">
        <f>Table2[[#This Row],[FINAL Project System Capacity (MW)]]</f>
        <v>4</v>
      </c>
      <c r="BC134" s="155" t="str">
        <f>Table2[[#This Row],[FN Parent  '#]]</f>
        <v>FN011964</v>
      </c>
      <c r="BD134" s="155">
        <f t="shared" si="41"/>
        <v>4</v>
      </c>
      <c r="BE134" s="155">
        <f t="shared" si="42"/>
        <v>4</v>
      </c>
      <c r="BF134" s="155">
        <f t="shared" si="43"/>
        <v>0</v>
      </c>
      <c r="BG134" s="155">
        <f t="shared" si="44"/>
        <v>0</v>
      </c>
      <c r="BH134" s="155">
        <f t="shared" si="45"/>
        <v>6.7753059032117386</v>
      </c>
      <c r="BI134" s="155">
        <f t="shared" si="46"/>
        <v>34.550341052596039</v>
      </c>
      <c r="BJ134" s="155">
        <f t="shared" si="47"/>
        <v>63.488939768351152</v>
      </c>
      <c r="BK134" s="155">
        <f t="shared" si="48"/>
        <v>93.615725726522555</v>
      </c>
      <c r="BL134" s="155">
        <f t="shared" si="49"/>
        <v>95.581655966779522</v>
      </c>
      <c r="BM134" s="155">
        <f t="shared" si="50"/>
        <v>97.588870742081895</v>
      </c>
      <c r="BN134" s="155">
        <f t="shared" si="51"/>
        <v>125.17646649263291</v>
      </c>
      <c r="BO134" s="155">
        <f t="shared" si="52"/>
        <v>127.80517228897817</v>
      </c>
      <c r="BP134" s="155">
        <f t="shared" si="53"/>
        <v>55.534102613182021</v>
      </c>
    </row>
    <row r="135" spans="1:68">
      <c r="A135" s="155" t="s">
        <v>234</v>
      </c>
      <c r="B135" s="155" t="s">
        <v>1238</v>
      </c>
      <c r="C135" s="155" t="s">
        <v>207</v>
      </c>
      <c r="D135" s="155">
        <v>4</v>
      </c>
      <c r="E135" s="189">
        <v>0</v>
      </c>
      <c r="F135" s="67">
        <v>0</v>
      </c>
      <c r="G135" s="67">
        <v>0</v>
      </c>
      <c r="H135" s="67">
        <v>191</v>
      </c>
      <c r="I135" s="67">
        <v>766</v>
      </c>
      <c r="J135" s="67">
        <v>766</v>
      </c>
      <c r="K135" s="67">
        <v>765.8</v>
      </c>
      <c r="L135" s="67">
        <v>0</v>
      </c>
      <c r="M135" s="67">
        <v>0</v>
      </c>
      <c r="N135" s="67">
        <v>765.8</v>
      </c>
      <c r="O135" s="67">
        <v>574.35</v>
      </c>
      <c r="Q135" s="202" t="s">
        <v>234</v>
      </c>
      <c r="R135" s="202" t="s">
        <v>1238</v>
      </c>
      <c r="S135" s="202" t="s">
        <v>207</v>
      </c>
      <c r="T135" s="76">
        <f>SUM($E135:F135)</f>
        <v>0</v>
      </c>
      <c r="U135" s="76">
        <f>SUM($E135:G135)</f>
        <v>0</v>
      </c>
      <c r="V135" s="76">
        <f>SUM($E135:H135)</f>
        <v>191</v>
      </c>
      <c r="W135" s="76">
        <f>SUM($E135:I135)</f>
        <v>957</v>
      </c>
      <c r="X135" s="76">
        <f>SUM($E135:J135)</f>
        <v>1723</v>
      </c>
      <c r="Y135" s="76">
        <f>SUM($E135:K135)</f>
        <v>2488.8000000000002</v>
      </c>
      <c r="Z135" s="76">
        <f>SUM($E135:L135)</f>
        <v>2488.8000000000002</v>
      </c>
      <c r="AA135" s="76">
        <f>SUM($E135:M135)</f>
        <v>2488.8000000000002</v>
      </c>
      <c r="AB135" s="76">
        <f>SUM($E135:N135)</f>
        <v>3254.6000000000004</v>
      </c>
      <c r="AC135" s="76">
        <f>SUM($E135:O135)</f>
        <v>3828.9500000000003</v>
      </c>
      <c r="AE135" s="76">
        <f t="shared" ref="AE135:AE198" si="56">T135*$AE$3^(AE$5-$AE$5)</f>
        <v>0</v>
      </c>
      <c r="AF135" s="76">
        <f t="shared" ref="AF135:AF198" si="57">U135*$AE$3^(AF$5-$AE$5)</f>
        <v>0</v>
      </c>
      <c r="AG135" s="76">
        <f t="shared" ref="AG135:AG198" si="58">V135*$AE$3^(AG$5-$AE$5)</f>
        <v>199.10623099999995</v>
      </c>
      <c r="AH135" s="76">
        <f t="shared" ref="AH135:AH198" si="59">W135*$AE$3^(AH$5-$AE$5)</f>
        <v>1018.5659737769997</v>
      </c>
      <c r="AI135" s="76">
        <f t="shared" ref="AI135:AI198" si="60">X135*$AE$3^(AI$5-$AE$5)</f>
        <v>1872.355219902762</v>
      </c>
      <c r="AJ135" s="76">
        <f t="shared" ref="AJ135:AJ198" si="61">Y135*$AE$3^(AJ$5-$AE$5)</f>
        <v>2761.3325260540732</v>
      </c>
      <c r="AK135" s="76">
        <f t="shared" ref="AK135:AK198" si="62">Z135*$AE$3^(AK$5-$AE$5)</f>
        <v>2819.3205091012082</v>
      </c>
      <c r="AL135" s="76">
        <f t="shared" ref="AL135:AL198" si="63">AA135*$AE$3^(AL$5-$AE$5)</f>
        <v>2878.5262397923334</v>
      </c>
      <c r="AM135" s="76">
        <f t="shared" ref="AM135:AM198" si="64">AB135*$AE$3^(AM$5-$AE$5)</f>
        <v>3843.2935477052065</v>
      </c>
      <c r="AN135" s="76">
        <f t="shared" ref="AN135:AN198" si="65">AC135*$AE$3^(AN$5-$AE$5)</f>
        <v>4616.4844174107566</v>
      </c>
      <c r="AP135" s="202" t="s">
        <v>234</v>
      </c>
      <c r="AQ135" s="202" t="s">
        <v>207</v>
      </c>
      <c r="AR135" s="155" cm="1">
        <f t="array" ref="AR135">_xlfn.IFS($AQ135=$AP$1,$AQ$1*AE135,$AQ135=$AP$2,$AQ$2*AE135,$AQ135=$AP$3,$AQ$3*AE135,$AQ135=$AP$4,$AQ$4*AE135)</f>
        <v>0</v>
      </c>
      <c r="AS135" s="155" cm="1">
        <f t="array" ref="AS135">_xlfn.IFS($AQ135=$AP$1,$AQ$1*AF135,$AQ135=$AP$2,$AQ$2*AF135,$AQ135=$AP$3,$AQ$3*AF135,$AQ135=$AP$4,$AQ$4*AF135)</f>
        <v>0</v>
      </c>
      <c r="AT135" s="155" cm="1">
        <f t="array" ref="AT135">_xlfn.IFS($AQ135=$AP$1,$AQ$1*AG135,$AQ135=$AP$2,$AQ$2*AG135,$AQ135=$AP$3,$AQ$3*AG135,$AQ135=$AP$4,$AQ$4*AG135)</f>
        <v>16.046386864690017</v>
      </c>
      <c r="AU135" s="155" cm="1">
        <f t="array" ref="AU135">_xlfn.IFS($AQ135=$AP$1,$AQ$1*AH135,$AQ135=$AP$2,$AQ$2*AH135,$AQ135=$AP$3,$AQ$3*AH135,$AQ135=$AP$4,$AQ$4*AH135)</f>
        <v>82.088358462450373</v>
      </c>
      <c r="AV135" s="155" cm="1">
        <f t="array" ref="AV135">_xlfn.IFS($AQ135=$AP$1,$AQ$1*AI135,$AQ135=$AP$2,$AQ$2*AI135,$AQ135=$AP$3,$AQ$3*AI135,$AQ135=$AP$4,$AQ$4*AI135)</f>
        <v>150.89701641070931</v>
      </c>
      <c r="AW135" s="155" cm="1">
        <f t="array" ref="AW135">_xlfn.IFS($AQ135=$AP$1,$AQ$1*AJ135,$AQ135=$AP$2,$AQ$2*AJ135,$AQ135=$AP$3,$AQ$3*AJ135,$AQ135=$AP$4,$AQ$4*AJ135)</f>
        <v>222.54155358460579</v>
      </c>
      <c r="AX135" s="155" cm="1">
        <f t="array" ref="AX135">_xlfn.IFS($AQ135=$AP$1,$AQ$1*AK135,$AQ135=$AP$2,$AQ$2*AK135,$AQ135=$AP$3,$AQ$3*AK135,$AQ135=$AP$4,$AQ$4*AK135)</f>
        <v>227.21492620988246</v>
      </c>
      <c r="AY135" s="155" cm="1">
        <f t="array" ref="AY135">_xlfn.IFS($AQ135=$AP$1,$AQ$1*AL135,$AQ135=$AP$2,$AQ$2*AL135,$AQ135=$AP$3,$AQ$3*AL135,$AQ135=$AP$4,$AQ$4*AL135)</f>
        <v>231.98643966028999</v>
      </c>
      <c r="AZ135" s="155" cm="1">
        <f t="array" ref="AZ135">_xlfn.IFS($AQ135=$AP$1,$AQ$1*AM135,$AQ135=$AP$2,$AQ$2*AM135,$AQ135=$AP$3,$AQ$3*AM135,$AQ135=$AP$4,$AQ$4*AM135)</f>
        <v>309.73905131600196</v>
      </c>
      <c r="BA135" s="155" cm="1">
        <f t="array" ref="BA135">_xlfn.IFS($AQ135=$AP$1,$AQ$1*AN135,$AQ135=$AP$2,$AQ$2*AN135,$AQ135=$AP$3,$AQ$3*AN135,$AQ135=$AP$4,$AQ$4*AN135)</f>
        <v>372.05211782943212</v>
      </c>
      <c r="BB135" s="155">
        <f>Table2[[#This Row],[FINAL Project System Capacity (MW)]]</f>
        <v>4</v>
      </c>
      <c r="BC135" s="155" t="str">
        <f>Table2[[#This Row],[FN Parent  '#]]</f>
        <v>FN011964</v>
      </c>
      <c r="BD135" s="155">
        <f t="shared" ref="BD135:BD194" si="66">BB135</f>
        <v>4</v>
      </c>
      <c r="BF135" s="155">
        <f t="shared" ref="BF135:BF198" si="67">IFERROR(AR135/$BD135,"")</f>
        <v>0</v>
      </c>
      <c r="BG135" s="155">
        <f t="shared" ref="BG135:BG198" si="68">IFERROR(AS135/$BD135,"")</f>
        <v>0</v>
      </c>
      <c r="BH135" s="155">
        <f t="shared" ref="BH135:BH198" si="69">IFERROR(AT135/$BD135,"")</f>
        <v>4.0115967161725044</v>
      </c>
      <c r="BI135" s="155">
        <f t="shared" ref="BI135:BI198" si="70">IFERROR(AU135/$BD135,"")</f>
        <v>20.522089615612593</v>
      </c>
      <c r="BJ135" s="155">
        <f t="shared" ref="BJ135:BJ198" si="71">IFERROR(AV135/$BD135,"")</f>
        <v>37.724254102677328</v>
      </c>
      <c r="BK135" s="155">
        <f t="shared" ref="BK135:BK198" si="72">IFERROR(AW135/$BD135,"")</f>
        <v>55.635388396151448</v>
      </c>
      <c r="BL135" s="155">
        <f t="shared" ref="BL135:BL198" si="73">IFERROR(AX135/$BD135,"")</f>
        <v>56.803731552470616</v>
      </c>
      <c r="BM135" s="155">
        <f t="shared" ref="BM135:BM198" si="74">IFERROR(AY135/$BD135,"")</f>
        <v>57.996609915072497</v>
      </c>
      <c r="BN135" s="155">
        <f t="shared" ref="BN135:BN198" si="75">IFERROR(AZ135/$BD135,"")</f>
        <v>77.434762829000491</v>
      </c>
      <c r="BO135" s="155">
        <f t="shared" ref="BO135:BO198" si="76">IFERROR(BA135/$BD135,"")</f>
        <v>93.01302945735803</v>
      </c>
      <c r="BP135" s="155">
        <f t="shared" ref="BP135:BP198" si="77">NPV($BP$2,BF135:BO135)/((1-(1+$BP$2)^-10)/$BP$2)</f>
        <v>34.479140441622768</v>
      </c>
    </row>
    <row r="136" spans="1:68">
      <c r="A136" s="155" t="s">
        <v>280</v>
      </c>
      <c r="B136" s="155" t="s">
        <v>1345</v>
      </c>
      <c r="C136" s="155" t="s">
        <v>207</v>
      </c>
      <c r="D136" s="155">
        <v>15</v>
      </c>
      <c r="E136" s="189">
        <v>905.82092</v>
      </c>
      <c r="F136" s="67">
        <v>238.01226</v>
      </c>
      <c r="G136" s="67">
        <v>661.80372</v>
      </c>
      <c r="H136" s="67">
        <v>774.36072000000001</v>
      </c>
      <c r="I136" s="67">
        <v>5342.7645000000002</v>
      </c>
      <c r="J136" s="67">
        <v>5745.6471899999997</v>
      </c>
      <c r="K136" s="67">
        <v>0</v>
      </c>
      <c r="L136" s="67">
        <v>0</v>
      </c>
      <c r="M136" s="67">
        <v>0</v>
      </c>
      <c r="N136" s="67">
        <v>0</v>
      </c>
      <c r="O136" s="67">
        <v>0</v>
      </c>
      <c r="Q136" s="201" t="s">
        <v>280</v>
      </c>
      <c r="R136" s="201" t="s">
        <v>1345</v>
      </c>
      <c r="S136" s="201" t="s">
        <v>207</v>
      </c>
      <c r="T136" s="76">
        <f>SUM($E136:F136)</f>
        <v>1143.8331800000001</v>
      </c>
      <c r="U136" s="76">
        <f>SUM($E136:G136)</f>
        <v>1805.6369</v>
      </c>
      <c r="V136" s="76">
        <f>SUM($E136:H136)</f>
        <v>2579.9976200000001</v>
      </c>
      <c r="W136" s="76">
        <f>SUM($E136:I136)</f>
        <v>7922.7621200000003</v>
      </c>
      <c r="X136" s="76">
        <f>SUM($E136:J136)</f>
        <v>13668.409309999999</v>
      </c>
      <c r="Y136" s="76">
        <f>SUM($E136:K136)</f>
        <v>13668.409309999999</v>
      </c>
      <c r="Z136" s="76">
        <f>SUM($E136:L136)</f>
        <v>13668.409309999999</v>
      </c>
      <c r="AA136" s="76">
        <f>SUM($E136:M136)</f>
        <v>13668.409309999999</v>
      </c>
      <c r="AB136" s="76">
        <f>SUM($E136:N136)</f>
        <v>13668.409309999999</v>
      </c>
      <c r="AC136" s="76">
        <f>SUM($E136:O136)</f>
        <v>13668.409309999999</v>
      </c>
      <c r="AE136" s="76">
        <f t="shared" si="56"/>
        <v>1143.8331800000001</v>
      </c>
      <c r="AF136" s="76">
        <f t="shared" si="57"/>
        <v>1843.5552748999999</v>
      </c>
      <c r="AG136" s="76">
        <f t="shared" si="58"/>
        <v>2689.4952989904195</v>
      </c>
      <c r="AH136" s="76">
        <f t="shared" si="59"/>
        <v>8432.4513205447511</v>
      </c>
      <c r="AI136" s="76">
        <f t="shared" si="60"/>
        <v>14853.231293874642</v>
      </c>
      <c r="AJ136" s="76">
        <f t="shared" si="61"/>
        <v>15165.149151046007</v>
      </c>
      <c r="AK136" s="76">
        <f t="shared" si="62"/>
        <v>15483.617283217973</v>
      </c>
      <c r="AL136" s="76">
        <f t="shared" si="63"/>
        <v>15808.773246165549</v>
      </c>
      <c r="AM136" s="76">
        <f t="shared" si="64"/>
        <v>16140.757484335023</v>
      </c>
      <c r="AN136" s="76">
        <f t="shared" si="65"/>
        <v>16479.713391506055</v>
      </c>
      <c r="AP136" s="201" t="s">
        <v>280</v>
      </c>
      <c r="AQ136" s="201" t="s">
        <v>207</v>
      </c>
      <c r="AR136" s="155" cm="1">
        <f t="array" ref="AR136">_xlfn.IFS($AQ136=$AP$1,$AQ$1*AE136,$AQ136=$AP$2,$AQ$2*AE136,$AQ136=$AP$3,$AQ$3*AE136,$AQ136=$AP$4,$AQ$4*AE136)</f>
        <v>92.183904153901736</v>
      </c>
      <c r="AS136" s="155" cm="1">
        <f t="array" ref="AS136">_xlfn.IFS($AQ136=$AP$1,$AQ$1*AF136,$AQ136=$AP$2,$AQ$2*AF136,$AQ136=$AP$3,$AQ$3*AF136,$AQ136=$AP$4,$AQ$4*AF136)</f>
        <v>148.57596871232704</v>
      </c>
      <c r="AT136" s="155" cm="1">
        <f t="array" ref="AT136">_xlfn.IFS($AQ136=$AP$1,$AQ$1*AG136,$AQ136=$AP$2,$AQ$2*AG136,$AQ136=$AP$3,$AQ$3*AG136,$AQ136=$AP$4,$AQ$4*AG136)</f>
        <v>216.75204146858383</v>
      </c>
      <c r="AU136" s="155" cm="1">
        <f t="array" ref="AU136">_xlfn.IFS($AQ136=$AP$1,$AQ$1*AH136,$AQ136=$AP$2,$AQ$2*AH136,$AQ136=$AP$3,$AQ$3*AH136,$AQ136=$AP$4,$AQ$4*AH136)</f>
        <v>679.58885780489379</v>
      </c>
      <c r="AV136" s="155" cm="1">
        <f t="array" ref="AV136">_xlfn.IFS($AQ136=$AP$1,$AQ$1*AI136,$AQ136=$AP$2,$AQ$2*AI136,$AQ136=$AP$3,$AQ$3*AI136,$AQ136=$AP$4,$AQ$4*AI136)</f>
        <v>1197.0529216247021</v>
      </c>
      <c r="AW136" s="155" cm="1">
        <f t="array" ref="AW136">_xlfn.IFS($AQ136=$AP$1,$AQ$1*AJ136,$AQ136=$AP$2,$AQ$2*AJ136,$AQ136=$AP$3,$AQ$3*AJ136,$AQ136=$AP$4,$AQ$4*AJ136)</f>
        <v>1222.1910329788207</v>
      </c>
      <c r="AX136" s="155" cm="1">
        <f t="array" ref="AX136">_xlfn.IFS($AQ136=$AP$1,$AQ$1*AK136,$AQ136=$AP$2,$AQ$2*AK136,$AQ136=$AP$3,$AQ$3*AK136,$AQ136=$AP$4,$AQ$4*AK136)</f>
        <v>1247.8570446713759</v>
      </c>
      <c r="AY136" s="155" cm="1">
        <f t="array" ref="AY136">_xlfn.IFS($AQ136=$AP$1,$AQ$1*AL136,$AQ136=$AP$2,$AQ$2*AL136,$AQ136=$AP$3,$AQ$3*AL136,$AQ136=$AP$4,$AQ$4*AL136)</f>
        <v>1274.0620426094747</v>
      </c>
      <c r="AZ136" s="155" cm="1">
        <f t="array" ref="AZ136">_xlfn.IFS($AQ136=$AP$1,$AQ$1*AM136,$AQ136=$AP$2,$AQ$2*AM136,$AQ136=$AP$3,$AQ$3*AM136,$AQ136=$AP$4,$AQ$4*AM136)</f>
        <v>1300.8173455042734</v>
      </c>
      <c r="BA136" s="155" cm="1">
        <f t="array" ref="BA136">_xlfn.IFS($AQ136=$AP$1,$AQ$1*AN136,$AQ136=$AP$2,$AQ$2*AN136,$AQ136=$AP$3,$AQ$3*AN136,$AQ136=$AP$4,$AQ$4*AN136)</f>
        <v>1328.1345097598628</v>
      </c>
      <c r="BB136" s="155">
        <f>Table2[[#This Row],[FINAL Project System Capacity (MW)]]</f>
        <v>15</v>
      </c>
      <c r="BC136" s="155" t="str">
        <f>Table2[[#This Row],[FN Parent  '#]]</f>
        <v>Individual Project</v>
      </c>
      <c r="BD136" s="155">
        <f t="shared" si="66"/>
        <v>15</v>
      </c>
      <c r="BE136" s="155">
        <f t="shared" ref="BE136:BE198" si="78">BD136</f>
        <v>15</v>
      </c>
      <c r="BF136" s="155">
        <f t="shared" si="67"/>
        <v>6.1455936102601161</v>
      </c>
      <c r="BG136" s="155">
        <f t="shared" si="68"/>
        <v>9.9050645808218025</v>
      </c>
      <c r="BH136" s="155">
        <f t="shared" si="69"/>
        <v>14.450136097905588</v>
      </c>
      <c r="BI136" s="155">
        <f t="shared" si="70"/>
        <v>45.305923853659586</v>
      </c>
      <c r="BJ136" s="155">
        <f t="shared" si="71"/>
        <v>79.803528108313472</v>
      </c>
      <c r="BK136" s="155">
        <f t="shared" si="72"/>
        <v>81.479402198588048</v>
      </c>
      <c r="BL136" s="155">
        <f t="shared" si="73"/>
        <v>83.190469644758394</v>
      </c>
      <c r="BM136" s="155">
        <f t="shared" si="74"/>
        <v>84.937469507298317</v>
      </c>
      <c r="BN136" s="155">
        <f t="shared" si="75"/>
        <v>86.721156366951561</v>
      </c>
      <c r="BO136" s="155">
        <f t="shared" si="76"/>
        <v>88.542300650657523</v>
      </c>
      <c r="BP136" s="155">
        <f t="shared" si="77"/>
        <v>52.12973064640785</v>
      </c>
    </row>
    <row r="137" spans="1:68">
      <c r="A137" s="155" t="s">
        <v>282</v>
      </c>
      <c r="B137" s="155" t="s">
        <v>1345</v>
      </c>
      <c r="C137" s="155" t="s">
        <v>207</v>
      </c>
      <c r="D137" s="155">
        <v>10</v>
      </c>
      <c r="E137" s="189">
        <v>0</v>
      </c>
      <c r="F137" s="67">
        <v>0</v>
      </c>
      <c r="G137" s="67">
        <v>0</v>
      </c>
      <c r="H137" s="67">
        <v>136.5</v>
      </c>
      <c r="I137" s="67">
        <v>525</v>
      </c>
      <c r="J137" s="67">
        <v>2382.6080000000002</v>
      </c>
      <c r="K137" s="67">
        <v>2378.8609999999999</v>
      </c>
      <c r="L137" s="67">
        <v>0</v>
      </c>
      <c r="M137" s="67">
        <v>0</v>
      </c>
      <c r="N137" s="67">
        <v>0</v>
      </c>
      <c r="O137" s="67">
        <v>0</v>
      </c>
      <c r="Q137" s="202" t="s">
        <v>282</v>
      </c>
      <c r="R137" s="202" t="s">
        <v>1345</v>
      </c>
      <c r="S137" s="202" t="s">
        <v>207</v>
      </c>
      <c r="T137" s="76">
        <f>SUM($E137:F137)</f>
        <v>0</v>
      </c>
      <c r="U137" s="76">
        <f>SUM($E137:G137)</f>
        <v>0</v>
      </c>
      <c r="V137" s="76">
        <f>SUM($E137:H137)</f>
        <v>136.5</v>
      </c>
      <c r="W137" s="76">
        <f>SUM($E137:I137)</f>
        <v>661.5</v>
      </c>
      <c r="X137" s="76">
        <f>SUM($E137:J137)</f>
        <v>3044.1080000000002</v>
      </c>
      <c r="Y137" s="76">
        <f>SUM($E137:K137)</f>
        <v>5422.9690000000001</v>
      </c>
      <c r="Z137" s="76">
        <f>SUM($E137:L137)</f>
        <v>5422.9690000000001</v>
      </c>
      <c r="AA137" s="76">
        <f>SUM($E137:M137)</f>
        <v>5422.9690000000001</v>
      </c>
      <c r="AB137" s="76">
        <f>SUM($E137:N137)</f>
        <v>5422.9690000000001</v>
      </c>
      <c r="AC137" s="76">
        <f>SUM($E137:O137)</f>
        <v>5422.9690000000001</v>
      </c>
      <c r="AE137" s="76">
        <f t="shared" si="56"/>
        <v>0</v>
      </c>
      <c r="AF137" s="76">
        <f t="shared" si="57"/>
        <v>0</v>
      </c>
      <c r="AG137" s="76">
        <f t="shared" si="58"/>
        <v>142.29319649999996</v>
      </c>
      <c r="AH137" s="76">
        <f t="shared" si="59"/>
        <v>704.05579065149982</v>
      </c>
      <c r="AI137" s="76">
        <f t="shared" si="60"/>
        <v>3307.9811397259186</v>
      </c>
      <c r="AJ137" s="76">
        <f t="shared" si="61"/>
        <v>6016.80355491921</v>
      </c>
      <c r="AK137" s="76">
        <f t="shared" si="62"/>
        <v>6143.1564295725129</v>
      </c>
      <c r="AL137" s="76">
        <f t="shared" si="63"/>
        <v>6272.1627145935345</v>
      </c>
      <c r="AM137" s="76">
        <f t="shared" si="64"/>
        <v>6403.8781315999977</v>
      </c>
      <c r="AN137" s="76">
        <f t="shared" si="65"/>
        <v>6538.3595723635972</v>
      </c>
      <c r="AP137" s="202" t="s">
        <v>282</v>
      </c>
      <c r="AQ137" s="202" t="s">
        <v>207</v>
      </c>
      <c r="AR137" s="155" cm="1">
        <f t="array" ref="AR137">_xlfn.IFS($AQ137=$AP$1,$AQ$1*AE137,$AQ137=$AP$2,$AQ$2*AE137,$AQ137=$AP$3,$AQ$3*AE137,$AQ137=$AP$4,$AQ$4*AE137)</f>
        <v>0</v>
      </c>
      <c r="AS137" s="155" cm="1">
        <f t="array" ref="AS137">_xlfn.IFS($AQ137=$AP$1,$AQ$1*AF137,$AQ137=$AP$2,$AQ$2*AF137,$AQ137=$AP$3,$AQ$3*AF137,$AQ137=$AP$4,$AQ$4*AF137)</f>
        <v>0</v>
      </c>
      <c r="AT137" s="155" cm="1">
        <f t="array" ref="AT137">_xlfn.IFS($AQ137=$AP$1,$AQ$1*AG137,$AQ137=$AP$2,$AQ$2*AG137,$AQ137=$AP$3,$AQ$3*AG137,$AQ137=$AP$4,$AQ$4*AG137)</f>
        <v>11.467705795969568</v>
      </c>
      <c r="AU137" s="155" cm="1">
        <f t="array" ref="AU137">_xlfn.IFS($AQ137=$AP$1,$AQ$1*AH137,$AQ137=$AP$2,$AQ$2*AH137,$AQ137=$AP$3,$AQ$3*AH137,$AQ137=$AP$4,$AQ$4*AH137)</f>
        <v>56.741326147242347</v>
      </c>
      <c r="AV137" s="155" cm="1">
        <f t="array" ref="AV137">_xlfn.IFS($AQ137=$AP$1,$AQ$1*AI137,$AQ137=$AP$2,$AQ$2*AI137,$AQ137=$AP$3,$AQ$3*AI137,$AQ137=$AP$4,$AQ$4*AI137)</f>
        <v>266.59710669296084</v>
      </c>
      <c r="AW137" s="155" cm="1">
        <f t="array" ref="AW137">_xlfn.IFS($AQ137=$AP$1,$AQ$1*AJ137,$AQ137=$AP$2,$AQ$2*AJ137,$AQ137=$AP$3,$AQ$3*AJ137,$AQ137=$AP$4,$AQ$4*AJ137)</f>
        <v>484.90676080888619</v>
      </c>
      <c r="AX137" s="155" cm="1">
        <f t="array" ref="AX137">_xlfn.IFS($AQ137=$AP$1,$AQ$1*AK137,$AQ137=$AP$2,$AQ$2*AK137,$AQ137=$AP$3,$AQ$3*AK137,$AQ137=$AP$4,$AQ$4*AK137)</f>
        <v>495.08980278587279</v>
      </c>
      <c r="AY137" s="155" cm="1">
        <f t="array" ref="AY137">_xlfn.IFS($AQ137=$AP$1,$AQ$1*AL137,$AQ137=$AP$2,$AQ$2*AL137,$AQ137=$AP$3,$AQ$3*AL137,$AQ137=$AP$4,$AQ$4*AL137)</f>
        <v>505.48668864437599</v>
      </c>
      <c r="AZ137" s="155" cm="1">
        <f t="array" ref="AZ137">_xlfn.IFS($AQ137=$AP$1,$AQ$1*AM137,$AQ137=$AP$2,$AQ$2*AM137,$AQ137=$AP$3,$AQ$3*AM137,$AQ137=$AP$4,$AQ$4*AM137)</f>
        <v>516.10190910590779</v>
      </c>
      <c r="BA137" s="155" cm="1">
        <f t="array" ref="BA137">_xlfn.IFS($AQ137=$AP$1,$AQ$1*AN137,$AQ137=$AP$2,$AQ$2*AN137,$AQ137=$AP$3,$AQ$3*AN137,$AQ137=$AP$4,$AQ$4*AN137)</f>
        <v>526.94004919713188</v>
      </c>
      <c r="BB137" s="155">
        <f>Table2[[#This Row],[FINAL Project System Capacity (MW)]]</f>
        <v>10</v>
      </c>
      <c r="BC137" s="155" t="str">
        <f>Table2[[#This Row],[FN Parent  '#]]</f>
        <v>Individual Project</v>
      </c>
      <c r="BD137" s="155">
        <f t="shared" si="66"/>
        <v>10</v>
      </c>
      <c r="BE137" s="155">
        <f t="shared" si="78"/>
        <v>10</v>
      </c>
      <c r="BF137" s="155">
        <f t="shared" si="67"/>
        <v>0</v>
      </c>
      <c r="BG137" s="155">
        <f t="shared" si="68"/>
        <v>0</v>
      </c>
      <c r="BH137" s="155">
        <f t="shared" si="69"/>
        <v>1.1467705795969567</v>
      </c>
      <c r="BI137" s="155">
        <f t="shared" si="70"/>
        <v>5.6741326147242344</v>
      </c>
      <c r="BJ137" s="155">
        <f t="shared" si="71"/>
        <v>26.659710669296082</v>
      </c>
      <c r="BK137" s="155">
        <f t="shared" si="72"/>
        <v>48.490676080888619</v>
      </c>
      <c r="BL137" s="155">
        <f t="shared" si="73"/>
        <v>49.508980278587281</v>
      </c>
      <c r="BM137" s="155">
        <f t="shared" si="74"/>
        <v>50.548668864437602</v>
      </c>
      <c r="BN137" s="155">
        <f t="shared" si="75"/>
        <v>51.610190910590781</v>
      </c>
      <c r="BO137" s="155">
        <f t="shared" si="76"/>
        <v>52.694004919713187</v>
      </c>
      <c r="BP137" s="155">
        <f t="shared" si="77"/>
        <v>24.520247523324027</v>
      </c>
    </row>
    <row r="138" spans="1:68">
      <c r="A138" s="155" t="s">
        <v>283</v>
      </c>
      <c r="B138" s="155" t="s">
        <v>1345</v>
      </c>
      <c r="C138" s="155" t="s">
        <v>207</v>
      </c>
      <c r="D138" s="155">
        <v>15</v>
      </c>
      <c r="E138" s="189">
        <v>0</v>
      </c>
      <c r="F138" s="67">
        <v>0</v>
      </c>
      <c r="G138" s="67">
        <v>0</v>
      </c>
      <c r="H138" s="67">
        <v>0</v>
      </c>
      <c r="I138" s="67">
        <v>105</v>
      </c>
      <c r="J138" s="67">
        <v>1396.5</v>
      </c>
      <c r="K138" s="67">
        <v>504</v>
      </c>
      <c r="L138" s="67">
        <v>4408.8220000000001</v>
      </c>
      <c r="M138" s="67">
        <v>11227.861000000001</v>
      </c>
      <c r="N138" s="67">
        <v>11227.861000000001</v>
      </c>
      <c r="O138" s="67">
        <v>1186.2060000000001</v>
      </c>
      <c r="Q138" s="201" t="s">
        <v>283</v>
      </c>
      <c r="R138" s="201" t="s">
        <v>1345</v>
      </c>
      <c r="S138" s="201" t="s">
        <v>207</v>
      </c>
      <c r="T138" s="76">
        <f>SUM($E138:F138)</f>
        <v>0</v>
      </c>
      <c r="U138" s="76">
        <f>SUM($E138:G138)</f>
        <v>0</v>
      </c>
      <c r="V138" s="76">
        <f>SUM($E138:H138)</f>
        <v>0</v>
      </c>
      <c r="W138" s="76">
        <f>SUM($E138:I138)</f>
        <v>105</v>
      </c>
      <c r="X138" s="76">
        <f>SUM($E138:J138)</f>
        <v>1501.5</v>
      </c>
      <c r="Y138" s="76">
        <f>SUM($E138:K138)</f>
        <v>2005.5</v>
      </c>
      <c r="Z138" s="76">
        <f>SUM($E138:L138)</f>
        <v>6414.3220000000001</v>
      </c>
      <c r="AA138" s="76">
        <f>SUM($E138:M138)</f>
        <v>17642.183000000001</v>
      </c>
      <c r="AB138" s="76">
        <f>SUM($E138:N138)</f>
        <v>28870.044000000002</v>
      </c>
      <c r="AC138" s="76">
        <f>SUM($E138:O138)</f>
        <v>30056.25</v>
      </c>
      <c r="AE138" s="76">
        <f t="shared" si="56"/>
        <v>0</v>
      </c>
      <c r="AF138" s="76">
        <f t="shared" si="57"/>
        <v>0</v>
      </c>
      <c r="AG138" s="76">
        <f t="shared" si="58"/>
        <v>0</v>
      </c>
      <c r="AH138" s="76">
        <f t="shared" si="59"/>
        <v>111.75488740499996</v>
      </c>
      <c r="AI138" s="76">
        <f t="shared" si="60"/>
        <v>1631.6548825792206</v>
      </c>
      <c r="AJ138" s="76">
        <f t="shared" si="61"/>
        <v>2225.1094427038906</v>
      </c>
      <c r="AK138" s="76">
        <f t="shared" si="62"/>
        <v>7266.1642424377533</v>
      </c>
      <c r="AL138" s="76">
        <f t="shared" si="63"/>
        <v>20404.808217903497</v>
      </c>
      <c r="AM138" s="76">
        <f t="shared" si="64"/>
        <v>34092.070861907887</v>
      </c>
      <c r="AN138" s="76">
        <f t="shared" si="65"/>
        <v>36238.187955131842</v>
      </c>
      <c r="AP138" s="201" t="s">
        <v>283</v>
      </c>
      <c r="AQ138" s="201" t="s">
        <v>207</v>
      </c>
      <c r="AR138" s="155" cm="1">
        <f t="array" ref="AR138">_xlfn.IFS($AQ138=$AP$1,$AQ$1*AE138,$AQ138=$AP$2,$AQ$2*AE138,$AQ138=$AP$3,$AQ$3*AE138,$AQ138=$AP$4,$AQ$4*AE138)</f>
        <v>0</v>
      </c>
      <c r="AS138" s="155" cm="1">
        <f t="array" ref="AS138">_xlfn.IFS($AQ138=$AP$1,$AQ$1*AF138,$AQ138=$AP$2,$AQ$2*AF138,$AQ138=$AP$3,$AQ$3*AF138,$AQ138=$AP$4,$AQ$4*AF138)</f>
        <v>0</v>
      </c>
      <c r="AT138" s="155" cm="1">
        <f t="array" ref="AT138">_xlfn.IFS($AQ138=$AP$1,$AQ$1*AG138,$AQ138=$AP$2,$AQ$2*AG138,$AQ138=$AP$3,$AQ$3*AG138,$AQ138=$AP$4,$AQ$4*AG138)</f>
        <v>0</v>
      </c>
      <c r="AU138" s="155" cm="1">
        <f t="array" ref="AU138">_xlfn.IFS($AQ138=$AP$1,$AQ$1*AH138,$AQ138=$AP$2,$AQ$2*AH138,$AQ138=$AP$3,$AQ$3*AH138,$AQ138=$AP$4,$AQ$4*AH138)</f>
        <v>9.0065597059114832</v>
      </c>
      <c r="AV138" s="155" cm="1">
        <f t="array" ref="AV138">_xlfn.IFS($AQ138=$AP$1,$AQ$1*AI138,$AQ138=$AP$2,$AQ$2*AI138,$AQ138=$AP$3,$AQ$3*AI138,$AQ138=$AP$4,$AQ$4*AI138)</f>
        <v>131.49847367421941</v>
      </c>
      <c r="AW138" s="155" cm="1">
        <f t="array" ref="AW138">_xlfn.IFS($AQ138=$AP$1,$AQ$1*AJ138,$AQ138=$AP$2,$AQ$2*AJ138,$AQ138=$AP$3,$AQ$3*AJ138,$AQ138=$AP$4,$AQ$4*AJ138)</f>
        <v>179.32621573205031</v>
      </c>
      <c r="AX138" s="155" cm="1">
        <f t="array" ref="AX138">_xlfn.IFS($AQ138=$AP$1,$AQ$1*AK138,$AQ138=$AP$2,$AQ$2*AK138,$AQ138=$AP$3,$AQ$3*AK138,$AQ138=$AP$4,$AQ$4*AK138)</f>
        <v>585.59534712167545</v>
      </c>
      <c r="AY138" s="155" cm="1">
        <f t="array" ref="AY138">_xlfn.IFS($AQ138=$AP$1,$AQ$1*AL138,$AQ138=$AP$2,$AQ$2*AL138,$AQ138=$AP$3,$AQ$3*AL138,$AQ138=$AP$4,$AQ$4*AL138)</f>
        <v>1644.4660969163024</v>
      </c>
      <c r="AZ138" s="155" cm="1">
        <f t="array" ref="AZ138">_xlfn.IFS($AQ138=$AP$1,$AQ$1*AM138,$AQ138=$AP$2,$AQ$2*AM138,$AQ138=$AP$3,$AQ$3*AM138,$AQ138=$AP$4,$AQ$4*AM138)</f>
        <v>2747.5511706542229</v>
      </c>
      <c r="BA138" s="155" cm="1">
        <f t="array" ref="BA138">_xlfn.IFS($AQ138=$AP$1,$AQ$1*AN138,$AQ138=$AP$2,$AQ$2*AN138,$AQ138=$AP$3,$AQ$3*AN138,$AQ138=$AP$4,$AQ$4*AN138)</f>
        <v>2920.5112280157409</v>
      </c>
      <c r="BB138" s="155">
        <f>Table2[[#This Row],[FINAL Project System Capacity (MW)]]</f>
        <v>15</v>
      </c>
      <c r="BC138" s="155" t="str">
        <f>Table2[[#This Row],[FN Parent  '#]]</f>
        <v>Individual Project</v>
      </c>
      <c r="BD138" s="155">
        <f t="shared" si="66"/>
        <v>15</v>
      </c>
      <c r="BE138" s="155">
        <f t="shared" si="78"/>
        <v>15</v>
      </c>
      <c r="BF138" s="155">
        <f t="shared" si="67"/>
        <v>0</v>
      </c>
      <c r="BG138" s="155">
        <f t="shared" si="68"/>
        <v>0</v>
      </c>
      <c r="BH138" s="155">
        <f t="shared" si="69"/>
        <v>0</v>
      </c>
      <c r="BI138" s="155">
        <f t="shared" si="70"/>
        <v>0.60043731372743225</v>
      </c>
      <c r="BJ138" s="155">
        <f t="shared" si="71"/>
        <v>8.766564911614628</v>
      </c>
      <c r="BK138" s="155">
        <f t="shared" si="72"/>
        <v>11.955081048803354</v>
      </c>
      <c r="BL138" s="155">
        <f t="shared" si="73"/>
        <v>39.039689808111696</v>
      </c>
      <c r="BM138" s="155">
        <f t="shared" si="74"/>
        <v>109.6310731277535</v>
      </c>
      <c r="BN138" s="155">
        <f t="shared" si="75"/>
        <v>183.17007804361486</v>
      </c>
      <c r="BO138" s="155">
        <f t="shared" si="76"/>
        <v>194.70074853438274</v>
      </c>
      <c r="BP138" s="155">
        <f t="shared" si="77"/>
        <v>43.113309495206202</v>
      </c>
    </row>
    <row r="139" spans="1:68">
      <c r="A139" s="155" t="s">
        <v>284</v>
      </c>
      <c r="B139" s="155" t="s">
        <v>1246</v>
      </c>
      <c r="C139" s="155" t="s">
        <v>208</v>
      </c>
      <c r="D139" s="155">
        <v>32.9</v>
      </c>
      <c r="E139" s="189">
        <v>0</v>
      </c>
      <c r="F139" s="67">
        <v>0</v>
      </c>
      <c r="G139" s="67">
        <v>0</v>
      </c>
      <c r="H139" s="67">
        <v>128</v>
      </c>
      <c r="I139" s="67">
        <v>1059</v>
      </c>
      <c r="J139" s="67">
        <v>1583</v>
      </c>
      <c r="K139" s="67">
        <v>2834</v>
      </c>
      <c r="L139" s="67">
        <v>3971</v>
      </c>
      <c r="M139" s="67">
        <v>100</v>
      </c>
      <c r="N139" s="67">
        <v>0</v>
      </c>
      <c r="O139" s="67">
        <v>0</v>
      </c>
      <c r="Q139" s="202" t="s">
        <v>284</v>
      </c>
      <c r="R139" s="202" t="s">
        <v>1246</v>
      </c>
      <c r="S139" s="202" t="s">
        <v>208</v>
      </c>
      <c r="T139" s="76">
        <f>SUM($E139:F140)</f>
        <v>0</v>
      </c>
      <c r="U139" s="76">
        <f>SUM($E139:G140)</f>
        <v>0</v>
      </c>
      <c r="V139" s="76">
        <f>SUM($E139:H140)</f>
        <v>128</v>
      </c>
      <c r="W139" s="76">
        <f>SUM($E139:I140)</f>
        <v>1187</v>
      </c>
      <c r="X139" s="76">
        <f>SUM($E139:J140)</f>
        <v>2770</v>
      </c>
      <c r="Y139" s="76">
        <f>SUM($E139:K140)</f>
        <v>5653.5</v>
      </c>
      <c r="Z139" s="76">
        <f>SUM($E139:L140)</f>
        <v>21379.760000000002</v>
      </c>
      <c r="AA139" s="76">
        <f>SUM($E139:M140)</f>
        <v>31587.660000000003</v>
      </c>
      <c r="AB139" s="76">
        <f>SUM($E139:N140)</f>
        <v>34165.620000000003</v>
      </c>
      <c r="AC139" s="76">
        <f>SUM($E139:O140)</f>
        <v>34165.620000000003</v>
      </c>
      <c r="AE139" s="76">
        <f t="shared" si="56"/>
        <v>0</v>
      </c>
      <c r="AF139" s="76">
        <f t="shared" si="57"/>
        <v>0</v>
      </c>
      <c r="AG139" s="76">
        <f t="shared" si="58"/>
        <v>133.43244799999997</v>
      </c>
      <c r="AH139" s="76">
        <f t="shared" si="59"/>
        <v>1263.3623938069995</v>
      </c>
      <c r="AI139" s="76">
        <f t="shared" si="60"/>
        <v>3010.1125705923687</v>
      </c>
      <c r="AJ139" s="76">
        <f t="shared" si="61"/>
        <v>6272.5785262161289</v>
      </c>
      <c r="AK139" s="76">
        <f t="shared" si="62"/>
        <v>24219.059726640007</v>
      </c>
      <c r="AL139" s="76">
        <f t="shared" si="63"/>
        <v>36534.035745595749</v>
      </c>
      <c r="AM139" s="76">
        <f t="shared" si="64"/>
        <v>40345.513088965759</v>
      </c>
      <c r="AN139" s="76">
        <f t="shared" si="65"/>
        <v>41192.768863834033</v>
      </c>
      <c r="AP139" s="202" t="s">
        <v>284</v>
      </c>
      <c r="AQ139" s="202" t="s">
        <v>208</v>
      </c>
      <c r="AR139" s="155" cm="1">
        <f t="array" ref="AR139">_xlfn.IFS($AQ139=$AP$1,$AQ$1*AE139,$AQ139=$AP$2,$AQ$2*AE139,$AQ139=$AP$3,$AQ$3*AE139,$AQ139=$AP$4,$AQ$4*AE139)</f>
        <v>0</v>
      </c>
      <c r="AS139" s="155" cm="1">
        <f t="array" ref="AS139">_xlfn.IFS($AQ139=$AP$1,$AQ$1*AF139,$AQ139=$AP$2,$AQ$2*AF139,$AQ139=$AP$3,$AQ$3*AF139,$AQ139=$AP$4,$AQ$4*AF139)</f>
        <v>0</v>
      </c>
      <c r="AT139" s="155" cm="1">
        <f t="array" ref="AT139">_xlfn.IFS($AQ139=$AP$1,$AQ$1*AG139,$AQ139=$AP$2,$AQ$2*AG139,$AQ139=$AP$3,$AQ$3*AG139,$AQ139=$AP$4,$AQ$4*AG139)</f>
        <v>18.85302512198049</v>
      </c>
      <c r="AU139" s="155" cm="1">
        <f t="array" ref="AU139">_xlfn.IFS($AQ139=$AP$1,$AQ$1*AH139,$AQ139=$AP$2,$AQ$2*AH139,$AQ139=$AP$3,$AQ$3*AH139,$AQ139=$AP$4,$AQ$4*AH139)</f>
        <v>178.50382950786289</v>
      </c>
      <c r="AV139" s="155" cm="1">
        <f t="array" ref="AV139">_xlfn.IFS($AQ139=$AP$1,$AQ$1*AI139,$AQ139=$AP$2,$AQ$2*AI139,$AQ139=$AP$3,$AQ$3*AI139,$AQ139=$AP$4,$AQ$4*AI139)</f>
        <v>425.30680328496419</v>
      </c>
      <c r="AW139" s="155" cm="1">
        <f t="array" ref="AW139">_xlfn.IFS($AQ139=$AP$1,$AQ$1*AJ139,$AQ139=$AP$2,$AQ$2*AJ139,$AQ139=$AP$3,$AQ$3*AJ139,$AQ139=$AP$4,$AQ$4*AJ139)</f>
        <v>886.26928687052248</v>
      </c>
      <c r="AX139" s="155" cm="1">
        <f t="array" ref="AX139">_xlfn.IFS($AQ139=$AP$1,$AQ$1*AK139,$AQ139=$AP$2,$AQ$2*AK139,$AQ139=$AP$3,$AQ$3*AK139,$AQ139=$AP$4,$AQ$4*AK139)</f>
        <v>3421.9753013681511</v>
      </c>
      <c r="AY139" s="155" cm="1">
        <f t="array" ref="AY139">_xlfn.IFS($AQ139=$AP$1,$AQ$1*AL139,$AQ139=$AP$2,$AQ$2*AL139,$AQ139=$AP$3,$AQ$3*AL139,$AQ139=$AP$4,$AQ$4*AL139)</f>
        <v>5161.990985274062</v>
      </c>
      <c r="AZ139" s="155" cm="1">
        <f t="array" ref="AZ139">_xlfn.IFS($AQ139=$AP$1,$AQ$1*AM139,$AQ139=$AP$2,$AQ$2*AM139,$AQ139=$AP$3,$AQ$3*AM139,$AQ139=$AP$4,$AQ$4*AM139)</f>
        <v>5700.5247466153387</v>
      </c>
      <c r="BA139" s="155" cm="1">
        <f t="array" ref="BA139">_xlfn.IFS($AQ139=$AP$1,$AQ$1*AN139,$AQ139=$AP$2,$AQ$2*AN139,$AQ139=$AP$3,$AQ$3*AN139,$AQ139=$AP$4,$AQ$4*AN139)</f>
        <v>5820.2357662942604</v>
      </c>
      <c r="BB139" s="155">
        <f>Table2[[#This Row],[FINAL Project System Capacity (MW)]]</f>
        <v>32.9</v>
      </c>
      <c r="BC139" s="155" t="str">
        <f>Table2[[#This Row],[FN Parent  '#]]</f>
        <v>FN011970</v>
      </c>
      <c r="BD139" s="155">
        <f t="shared" si="66"/>
        <v>32.9</v>
      </c>
      <c r="BE139" s="155">
        <f t="shared" si="78"/>
        <v>32.9</v>
      </c>
      <c r="BF139" s="155">
        <f t="shared" si="67"/>
        <v>0</v>
      </c>
      <c r="BG139" s="155">
        <f t="shared" si="68"/>
        <v>0</v>
      </c>
      <c r="BH139" s="155">
        <f t="shared" si="69"/>
        <v>0.57304027726384477</v>
      </c>
      <c r="BI139" s="155">
        <f t="shared" si="70"/>
        <v>5.4256483133089031</v>
      </c>
      <c r="BJ139" s="155">
        <f t="shared" si="71"/>
        <v>12.92725845850955</v>
      </c>
      <c r="BK139" s="155">
        <f t="shared" si="72"/>
        <v>26.938276196672415</v>
      </c>
      <c r="BL139" s="155">
        <f t="shared" si="73"/>
        <v>104.01140733641797</v>
      </c>
      <c r="BM139" s="155">
        <f t="shared" si="74"/>
        <v>156.89942204480431</v>
      </c>
      <c r="BN139" s="155">
        <f t="shared" si="75"/>
        <v>173.26822938040544</v>
      </c>
      <c r="BO139" s="155">
        <f t="shared" si="76"/>
        <v>176.90686219739393</v>
      </c>
      <c r="BP139" s="155">
        <f t="shared" si="77"/>
        <v>53.189077864327309</v>
      </c>
    </row>
    <row r="140" spans="1:68">
      <c r="A140" s="155" t="s">
        <v>284</v>
      </c>
      <c r="B140" s="155" t="s">
        <v>1246</v>
      </c>
      <c r="C140" s="155" t="s">
        <v>208</v>
      </c>
      <c r="D140" s="155">
        <v>32.9</v>
      </c>
      <c r="E140" s="189">
        <v>0</v>
      </c>
      <c r="F140" s="67">
        <v>0</v>
      </c>
      <c r="G140" s="67">
        <v>0</v>
      </c>
      <c r="H140" s="67">
        <v>0</v>
      </c>
      <c r="I140" s="67">
        <v>0</v>
      </c>
      <c r="J140" s="67">
        <v>0</v>
      </c>
      <c r="K140" s="67">
        <v>49.5</v>
      </c>
      <c r="L140" s="67">
        <v>11755.26</v>
      </c>
      <c r="M140" s="67">
        <v>10107.9</v>
      </c>
      <c r="N140" s="67">
        <v>2577.96</v>
      </c>
      <c r="O140" s="67">
        <v>0</v>
      </c>
      <c r="Q140" s="201" t="s">
        <v>284</v>
      </c>
      <c r="R140" s="201" t="s">
        <v>1246</v>
      </c>
      <c r="S140" s="201" t="s">
        <v>208</v>
      </c>
      <c r="U140" s="155"/>
      <c r="V140" s="155"/>
      <c r="W140" s="155"/>
      <c r="X140" s="155"/>
      <c r="Y140" s="155"/>
      <c r="Z140" s="155"/>
      <c r="AA140" s="155"/>
      <c r="AB140" s="155"/>
      <c r="AC140" s="155"/>
      <c r="AE140" s="76">
        <f t="shared" si="56"/>
        <v>0</v>
      </c>
      <c r="AF140" s="76">
        <f t="shared" si="57"/>
        <v>0</v>
      </c>
      <c r="AG140" s="76">
        <f t="shared" si="58"/>
        <v>0</v>
      </c>
      <c r="AH140" s="76">
        <f t="shared" si="59"/>
        <v>0</v>
      </c>
      <c r="AI140" s="76">
        <f t="shared" si="60"/>
        <v>0</v>
      </c>
      <c r="AJ140" s="76">
        <f t="shared" si="61"/>
        <v>0</v>
      </c>
      <c r="AK140" s="76">
        <f t="shared" si="62"/>
        <v>0</v>
      </c>
      <c r="AL140" s="76">
        <f t="shared" si="63"/>
        <v>0</v>
      </c>
      <c r="AM140" s="76">
        <f t="shared" si="64"/>
        <v>0</v>
      </c>
      <c r="AN140" s="76">
        <f t="shared" si="65"/>
        <v>0</v>
      </c>
      <c r="AP140" s="201" t="s">
        <v>284</v>
      </c>
      <c r="AQ140" s="201" t="s">
        <v>208</v>
      </c>
      <c r="AR140" s="155" cm="1">
        <f t="array" ref="AR140">_xlfn.IFS($AQ140=$AP$1,$AQ$1*AE140,$AQ140=$AP$2,$AQ$2*AE140,$AQ140=$AP$3,$AQ$3*AE140,$AQ140=$AP$4,$AQ$4*AE140)</f>
        <v>0</v>
      </c>
      <c r="AS140" s="155" cm="1">
        <f t="array" ref="AS140">_xlfn.IFS($AQ140=$AP$1,$AQ$1*AF140,$AQ140=$AP$2,$AQ$2*AF140,$AQ140=$AP$3,$AQ$3*AF140,$AQ140=$AP$4,$AQ$4*AF140)</f>
        <v>0</v>
      </c>
      <c r="AT140" s="155" cm="1">
        <f t="array" ref="AT140">_xlfn.IFS($AQ140=$AP$1,$AQ$1*AG140,$AQ140=$AP$2,$AQ$2*AG140,$AQ140=$AP$3,$AQ$3*AG140,$AQ140=$AP$4,$AQ$4*AG140)</f>
        <v>0</v>
      </c>
      <c r="AU140" s="155" cm="1">
        <f t="array" ref="AU140">_xlfn.IFS($AQ140=$AP$1,$AQ$1*AH140,$AQ140=$AP$2,$AQ$2*AH140,$AQ140=$AP$3,$AQ$3*AH140,$AQ140=$AP$4,$AQ$4*AH140)</f>
        <v>0</v>
      </c>
      <c r="AV140" s="155" cm="1">
        <f t="array" ref="AV140">_xlfn.IFS($AQ140=$AP$1,$AQ$1*AI140,$AQ140=$AP$2,$AQ$2*AI140,$AQ140=$AP$3,$AQ$3*AI140,$AQ140=$AP$4,$AQ$4*AI140)</f>
        <v>0</v>
      </c>
      <c r="AW140" s="155" cm="1">
        <f t="array" ref="AW140">_xlfn.IFS($AQ140=$AP$1,$AQ$1*AJ140,$AQ140=$AP$2,$AQ$2*AJ140,$AQ140=$AP$3,$AQ$3*AJ140,$AQ140=$AP$4,$AQ$4*AJ140)</f>
        <v>0</v>
      </c>
      <c r="AX140" s="155" cm="1">
        <f t="array" ref="AX140">_xlfn.IFS($AQ140=$AP$1,$AQ$1*AK140,$AQ140=$AP$2,$AQ$2*AK140,$AQ140=$AP$3,$AQ$3*AK140,$AQ140=$AP$4,$AQ$4*AK140)</f>
        <v>0</v>
      </c>
      <c r="AY140" s="155" cm="1">
        <f t="array" ref="AY140">_xlfn.IFS($AQ140=$AP$1,$AQ$1*AL140,$AQ140=$AP$2,$AQ$2*AL140,$AQ140=$AP$3,$AQ$3*AL140,$AQ140=$AP$4,$AQ$4*AL140)</f>
        <v>0</v>
      </c>
      <c r="AZ140" s="155" cm="1">
        <f t="array" ref="AZ140">_xlfn.IFS($AQ140=$AP$1,$AQ$1*AM140,$AQ140=$AP$2,$AQ$2*AM140,$AQ140=$AP$3,$AQ$3*AM140,$AQ140=$AP$4,$AQ$4*AM140)</f>
        <v>0</v>
      </c>
      <c r="BA140" s="155" cm="1">
        <f t="array" ref="BA140">_xlfn.IFS($AQ140=$AP$1,$AQ$1*AN140,$AQ140=$AP$2,$AQ$2*AN140,$AQ140=$AP$3,$AQ$3*AN140,$AQ140=$AP$4,$AQ$4*AN140)</f>
        <v>0</v>
      </c>
      <c r="BB140" s="155"/>
      <c r="BC140" s="155" t="str">
        <f>Table2[[#This Row],[FN Parent  '#]]</f>
        <v>FN011970</v>
      </c>
      <c r="BD140" s="155">
        <f t="shared" si="66"/>
        <v>0</v>
      </c>
      <c r="BF140" s="155" t="str">
        <f t="shared" si="67"/>
        <v/>
      </c>
      <c r="BG140" s="155" t="str">
        <f t="shared" si="68"/>
        <v/>
      </c>
      <c r="BH140" s="155" t="str">
        <f t="shared" si="69"/>
        <v/>
      </c>
      <c r="BI140" s="155" t="str">
        <f t="shared" si="70"/>
        <v/>
      </c>
      <c r="BJ140" s="155" t="str">
        <f t="shared" si="71"/>
        <v/>
      </c>
      <c r="BK140" s="155" t="str">
        <f t="shared" si="72"/>
        <v/>
      </c>
      <c r="BL140" s="155" t="str">
        <f t="shared" si="73"/>
        <v/>
      </c>
      <c r="BM140" s="155" t="str">
        <f t="shared" si="74"/>
        <v/>
      </c>
      <c r="BN140" s="155" t="str">
        <f t="shared" si="75"/>
        <v/>
      </c>
      <c r="BO140" s="155" t="str">
        <f t="shared" si="76"/>
        <v/>
      </c>
      <c r="BP140" s="155">
        <f t="shared" si="77"/>
        <v>0</v>
      </c>
    </row>
    <row r="141" spans="1:68">
      <c r="A141" s="155" t="s">
        <v>285</v>
      </c>
      <c r="B141" s="155" t="s">
        <v>1345</v>
      </c>
      <c r="C141" s="155" t="s">
        <v>207</v>
      </c>
      <c r="D141" s="155">
        <v>15</v>
      </c>
      <c r="E141" s="189">
        <v>3862.6606000000002</v>
      </c>
      <c r="F141" s="67">
        <v>1060.0964300000001</v>
      </c>
      <c r="G141" s="67">
        <v>0</v>
      </c>
      <c r="H141" s="67">
        <v>0</v>
      </c>
      <c r="I141" s="67">
        <v>0</v>
      </c>
      <c r="J141" s="67">
        <v>0</v>
      </c>
      <c r="K141" s="67">
        <v>288.59230000000002</v>
      </c>
      <c r="L141" s="67">
        <v>3519.6129599999999</v>
      </c>
      <c r="M141" s="67">
        <v>1893.6632500000001</v>
      </c>
      <c r="N141" s="67">
        <v>0</v>
      </c>
      <c r="O141" s="67">
        <v>0</v>
      </c>
      <c r="Q141" s="202" t="s">
        <v>285</v>
      </c>
      <c r="R141" s="202" t="s">
        <v>1345</v>
      </c>
      <c r="S141" s="202" t="s">
        <v>207</v>
      </c>
      <c r="T141" s="76">
        <f>SUM($E141:F141)</f>
        <v>4922.7570300000007</v>
      </c>
      <c r="U141" s="76">
        <f>SUM($E141:G141)</f>
        <v>4922.7570300000007</v>
      </c>
      <c r="V141" s="76">
        <f>SUM($E141:H141)</f>
        <v>4922.7570300000007</v>
      </c>
      <c r="W141" s="76">
        <f>SUM($E141:I141)</f>
        <v>4922.7570300000007</v>
      </c>
      <c r="X141" s="76">
        <f>SUM($E141:J141)</f>
        <v>4922.7570300000007</v>
      </c>
      <c r="Y141" s="76">
        <f>SUM($E141:K141)</f>
        <v>5211.3493300000009</v>
      </c>
      <c r="Z141" s="76">
        <f>SUM($E141:L141)</f>
        <v>8730.9622900000013</v>
      </c>
      <c r="AA141" s="76">
        <f>SUM($E141:M141)</f>
        <v>10624.625540000001</v>
      </c>
      <c r="AB141" s="76">
        <f>SUM($E141:N141)</f>
        <v>10624.625540000001</v>
      </c>
      <c r="AC141" s="76">
        <f>SUM($E141:O141)</f>
        <v>10624.625540000001</v>
      </c>
      <c r="AE141" s="76">
        <f t="shared" si="56"/>
        <v>4922.7570300000007</v>
      </c>
      <c r="AF141" s="76">
        <f t="shared" si="57"/>
        <v>5026.1349276300007</v>
      </c>
      <c r="AG141" s="76">
        <f t="shared" si="58"/>
        <v>5131.6837611102292</v>
      </c>
      <c r="AH141" s="76">
        <f t="shared" si="59"/>
        <v>5239.4491200935436</v>
      </c>
      <c r="AI141" s="76">
        <f t="shared" si="60"/>
        <v>5349.4775516155078</v>
      </c>
      <c r="AJ141" s="76">
        <f t="shared" si="61"/>
        <v>5782.0107720825708</v>
      </c>
      <c r="AK141" s="76">
        <f t="shared" si="62"/>
        <v>9890.4616877154676</v>
      </c>
      <c r="AL141" s="76">
        <f t="shared" si="63"/>
        <v>12288.357202209012</v>
      </c>
      <c r="AM141" s="76">
        <f t="shared" si="64"/>
        <v>12546.4127034554</v>
      </c>
      <c r="AN141" s="76">
        <f t="shared" si="65"/>
        <v>12809.887370227962</v>
      </c>
      <c r="AP141" s="202" t="s">
        <v>285</v>
      </c>
      <c r="AQ141" s="202" t="s">
        <v>207</v>
      </c>
      <c r="AR141" s="155" cm="1">
        <f t="array" ref="AR141">_xlfn.IFS($AQ141=$AP$1,$AQ$1*AE141,$AQ141=$AP$2,$AQ$2*AE141,$AQ141=$AP$3,$AQ$3*AE141,$AQ141=$AP$4,$AQ$4*AE141)</f>
        <v>396.73526713612733</v>
      </c>
      <c r="AS141" s="155" cm="1">
        <f t="array" ref="AS141">_xlfn.IFS($AQ141=$AP$1,$AQ$1*AF141,$AQ141=$AP$2,$AQ$2*AF141,$AQ141=$AP$3,$AQ$3*AF141,$AQ141=$AP$4,$AQ$4*AF141)</f>
        <v>405.06670774598598</v>
      </c>
      <c r="AT141" s="155" cm="1">
        <f t="array" ref="AT141">_xlfn.IFS($AQ141=$AP$1,$AQ$1*AG141,$AQ141=$AP$2,$AQ$2*AG141,$AQ141=$AP$3,$AQ$3*AG141,$AQ141=$AP$4,$AQ$4*AG141)</f>
        <v>413.57310860865158</v>
      </c>
      <c r="AU141" s="155" cm="1">
        <f t="array" ref="AU141">_xlfn.IFS($AQ141=$AP$1,$AQ$1*AH141,$AQ141=$AP$2,$AQ$2*AH141,$AQ141=$AP$3,$AQ$3*AH141,$AQ141=$AP$4,$AQ$4*AH141)</f>
        <v>422.25814388943326</v>
      </c>
      <c r="AV141" s="155" cm="1">
        <f t="array" ref="AV141">_xlfn.IFS($AQ141=$AP$1,$AQ$1*AI141,$AQ141=$AP$2,$AQ$2*AI141,$AQ141=$AP$3,$AQ$3*AI141,$AQ141=$AP$4,$AQ$4*AI141)</f>
        <v>431.12556491111133</v>
      </c>
      <c r="AW141" s="155" cm="1">
        <f t="array" ref="AW141">_xlfn.IFS($AQ141=$AP$1,$AQ$1*AJ141,$AQ141=$AP$2,$AQ$2*AJ141,$AQ141=$AP$3,$AQ$3*AJ141,$AQ141=$AP$4,$AQ$4*AJ141)</f>
        <v>465.98432022271555</v>
      </c>
      <c r="AX141" s="155" cm="1">
        <f t="array" ref="AX141">_xlfn.IFS($AQ141=$AP$1,$AQ$1*AK141,$AQ141=$AP$2,$AQ$2*AK141,$AQ141=$AP$3,$AQ$3*AK141,$AQ141=$AP$4,$AQ$4*AK141)</f>
        <v>797.09295743475445</v>
      </c>
      <c r="AY141" s="155" cm="1">
        <f t="array" ref="AY141">_xlfn.IFS($AQ141=$AP$1,$AQ$1*AL141,$AQ141=$AP$2,$AQ$2*AL141,$AQ141=$AP$3,$AQ$3*AL141,$AQ141=$AP$4,$AQ$4*AL141)</f>
        <v>990.34436344759956</v>
      </c>
      <c r="AZ141" s="155" cm="1">
        <f t="array" ref="AZ141">_xlfn.IFS($AQ141=$AP$1,$AQ$1*AM141,$AQ141=$AP$2,$AQ$2*AM141,$AQ141=$AP$3,$AQ$3*AM141,$AQ141=$AP$4,$AQ$4*AM141)</f>
        <v>1011.1415950799991</v>
      </c>
      <c r="BA141" s="155" cm="1">
        <f t="array" ref="BA141">_xlfn.IFS($AQ141=$AP$1,$AQ$1*AN141,$AQ141=$AP$2,$AQ$2*AN141,$AQ141=$AP$3,$AQ$3*AN141,$AQ141=$AP$4,$AQ$4*AN141)</f>
        <v>1032.3755685766789</v>
      </c>
      <c r="BB141" s="155">
        <f>Table2[[#This Row],[FINAL Project System Capacity (MW)]]</f>
        <v>15</v>
      </c>
      <c r="BC141" s="155" t="str">
        <f>Table2[[#This Row],[FN Parent  '#]]</f>
        <v>Individual Project</v>
      </c>
      <c r="BD141" s="155">
        <f t="shared" si="66"/>
        <v>15</v>
      </c>
      <c r="BE141" s="155">
        <f t="shared" si="78"/>
        <v>15</v>
      </c>
      <c r="BF141" s="155">
        <f t="shared" si="67"/>
        <v>26.449017809075155</v>
      </c>
      <c r="BG141" s="155">
        <f t="shared" si="68"/>
        <v>27.004447183065732</v>
      </c>
      <c r="BH141" s="155">
        <f t="shared" si="69"/>
        <v>27.571540573910106</v>
      </c>
      <c r="BI141" s="155">
        <f t="shared" si="70"/>
        <v>28.150542925962217</v>
      </c>
      <c r="BJ141" s="155">
        <f t="shared" si="71"/>
        <v>28.741704327407422</v>
      </c>
      <c r="BK141" s="155">
        <f t="shared" si="72"/>
        <v>31.065621348181036</v>
      </c>
      <c r="BL141" s="155">
        <f t="shared" si="73"/>
        <v>53.139530495650298</v>
      </c>
      <c r="BM141" s="155">
        <f t="shared" si="74"/>
        <v>66.022957563173307</v>
      </c>
      <c r="BN141" s="155">
        <f t="shared" si="75"/>
        <v>67.409439671999934</v>
      </c>
      <c r="BO141" s="155">
        <f t="shared" si="76"/>
        <v>68.825037905111927</v>
      </c>
      <c r="BP141" s="155">
        <f t="shared" si="77"/>
        <v>39.441542553715486</v>
      </c>
    </row>
    <row r="142" spans="1:68">
      <c r="A142" s="155" t="s">
        <v>212</v>
      </c>
      <c r="B142" s="155" t="s">
        <v>1345</v>
      </c>
      <c r="C142" s="155" t="s">
        <v>208</v>
      </c>
      <c r="D142" s="155">
        <v>2.2000000000000002</v>
      </c>
      <c r="E142" s="189">
        <v>121.2358</v>
      </c>
      <c r="F142" s="67">
        <v>0</v>
      </c>
      <c r="G142" s="67">
        <v>700</v>
      </c>
      <c r="H142" s="67">
        <v>0</v>
      </c>
      <c r="I142" s="67">
        <v>0</v>
      </c>
      <c r="J142" s="67">
        <v>0</v>
      </c>
      <c r="K142" s="67">
        <v>0</v>
      </c>
      <c r="L142" s="67">
        <v>0</v>
      </c>
      <c r="M142" s="67">
        <v>0</v>
      </c>
      <c r="N142" s="67">
        <v>0</v>
      </c>
      <c r="O142" s="67">
        <v>0</v>
      </c>
      <c r="Q142" s="201" t="s">
        <v>212</v>
      </c>
      <c r="R142" s="201" t="s">
        <v>1345</v>
      </c>
      <c r="S142" s="201" t="s">
        <v>208</v>
      </c>
      <c r="T142" s="76">
        <f>SUM($E142:F143)</f>
        <v>136.23579999999998</v>
      </c>
      <c r="U142" s="76">
        <f>SUM($E142:G143)</f>
        <v>836.23580000000004</v>
      </c>
      <c r="V142" s="76">
        <f>SUM($E142:H143)</f>
        <v>3006.1638600000001</v>
      </c>
      <c r="W142" s="76">
        <f>SUM($E142:I143)</f>
        <v>3006.1638600000001</v>
      </c>
      <c r="X142" s="76">
        <f>SUM($E142:J143)</f>
        <v>3006.1638600000001</v>
      </c>
      <c r="Y142" s="76">
        <f>SUM($E142:K143)</f>
        <v>3006.1638600000001</v>
      </c>
      <c r="Z142" s="76">
        <f>SUM($E142:L143)</f>
        <v>3006.1638600000001</v>
      </c>
      <c r="AA142" s="76">
        <f>SUM($E142:M143)</f>
        <v>3006.1638600000001</v>
      </c>
      <c r="AB142" s="76">
        <f>SUM($E142:N143)</f>
        <v>3006.1638600000001</v>
      </c>
      <c r="AC142" s="76">
        <f>SUM($E142:O143)</f>
        <v>3006.1638600000001</v>
      </c>
      <c r="AE142" s="76">
        <f t="shared" si="56"/>
        <v>136.23579999999998</v>
      </c>
      <c r="AF142" s="76">
        <f t="shared" si="57"/>
        <v>853.79675179999992</v>
      </c>
      <c r="AG142" s="76">
        <f t="shared" si="58"/>
        <v>3133.7484603822595</v>
      </c>
      <c r="AH142" s="76">
        <f t="shared" si="59"/>
        <v>3199.5571780502864</v>
      </c>
      <c r="AI142" s="76">
        <f t="shared" si="60"/>
        <v>3266.7478787893419</v>
      </c>
      <c r="AJ142" s="76">
        <f t="shared" si="61"/>
        <v>3335.3495842439179</v>
      </c>
      <c r="AK142" s="76">
        <f t="shared" si="62"/>
        <v>3405.39192551304</v>
      </c>
      <c r="AL142" s="76">
        <f t="shared" si="63"/>
        <v>3476.905155948813</v>
      </c>
      <c r="AM142" s="76">
        <f t="shared" si="64"/>
        <v>3549.9201642237376</v>
      </c>
      <c r="AN142" s="76">
        <f t="shared" si="65"/>
        <v>3624.4684876724355</v>
      </c>
      <c r="AP142" s="201" t="s">
        <v>212</v>
      </c>
      <c r="AQ142" s="201" t="s">
        <v>208</v>
      </c>
      <c r="AR142" s="155" cm="1">
        <f t="array" ref="AR142">_xlfn.IFS($AQ142=$AP$1,$AQ$1*AE142,$AQ142=$AP$2,$AQ$2*AE142,$AQ142=$AP$3,$AQ$3*AE142,$AQ142=$AP$4,$AQ$4*AE142)</f>
        <v>19.249118174861859</v>
      </c>
      <c r="AS142" s="155" cm="1">
        <f t="array" ref="AS142">_xlfn.IFS($AQ142=$AP$1,$AQ$1*AF142,$AQ142=$AP$2,$AQ$2*AF142,$AQ142=$AP$3,$AQ$3*AF142,$AQ142=$AP$4,$AQ$4*AF142)</f>
        <v>120.63521168966895</v>
      </c>
      <c r="AT142" s="155" cm="1">
        <f t="array" ref="AT142">_xlfn.IFS($AQ142=$AP$1,$AQ$1*AG142,$AQ142=$AP$2,$AQ$2*AG142,$AQ142=$AP$3,$AQ$3*AG142,$AQ142=$AP$4,$AQ$4*AG142)</f>
        <v>442.77564666695196</v>
      </c>
      <c r="AU142" s="155" cm="1">
        <f t="array" ref="AU142">_xlfn.IFS($AQ142=$AP$1,$AQ$1*AH142,$AQ142=$AP$2,$AQ$2*AH142,$AQ142=$AP$3,$AQ$3*AH142,$AQ142=$AP$4,$AQ$4*AH142)</f>
        <v>452.07393524695789</v>
      </c>
      <c r="AV142" s="155" cm="1">
        <f t="array" ref="AV142">_xlfn.IFS($AQ142=$AP$1,$AQ$1*AI142,$AQ142=$AP$2,$AQ$2*AI142,$AQ142=$AP$3,$AQ$3*AI142,$AQ142=$AP$4,$AQ$4*AI142)</f>
        <v>461.5674878871439</v>
      </c>
      <c r="AW142" s="155" cm="1">
        <f t="array" ref="AW142">_xlfn.IFS($AQ142=$AP$1,$AQ$1*AJ142,$AQ142=$AP$2,$AQ$2*AJ142,$AQ142=$AP$3,$AQ$3*AJ142,$AQ142=$AP$4,$AQ$4*AJ142)</f>
        <v>471.26040513277388</v>
      </c>
      <c r="AX142" s="155" cm="1">
        <f t="array" ref="AX142">_xlfn.IFS($AQ142=$AP$1,$AQ$1*AK142,$AQ142=$AP$2,$AQ$2*AK142,$AQ142=$AP$3,$AQ$3*AK142,$AQ142=$AP$4,$AQ$4*AK142)</f>
        <v>481.15687364056214</v>
      </c>
      <c r="AY142" s="155" cm="1">
        <f t="array" ref="AY142">_xlfn.IFS($AQ142=$AP$1,$AQ$1*AL142,$AQ142=$AP$2,$AQ$2*AL142,$AQ142=$AP$3,$AQ$3*AL142,$AQ142=$AP$4,$AQ$4*AL142)</f>
        <v>491.26116798701383</v>
      </c>
      <c r="AZ142" s="155" cm="1">
        <f t="array" ref="AZ142">_xlfn.IFS($AQ142=$AP$1,$AQ$1*AM142,$AQ142=$AP$2,$AQ$2*AM142,$AQ142=$AP$3,$AQ$3*AM142,$AQ142=$AP$4,$AQ$4*AM142)</f>
        <v>501.57765251474103</v>
      </c>
      <c r="BA142" s="155" cm="1">
        <f t="array" ref="BA142">_xlfn.IFS($AQ142=$AP$1,$AQ$1*AN142,$AQ142=$AP$2,$AQ$2*AN142,$AQ142=$AP$3,$AQ$3*AN142,$AQ142=$AP$4,$AQ$4*AN142)</f>
        <v>512.11078321755053</v>
      </c>
      <c r="BB142" s="155">
        <f>Table2[[#This Row],[FINAL Project System Capacity (MW)]]</f>
        <v>2.2000000000000002</v>
      </c>
      <c r="BC142" s="155" t="str">
        <f>Table2[[#This Row],[FN Parent  '#]]</f>
        <v>Individual Project</v>
      </c>
      <c r="BD142" s="155">
        <f>BB142+BB143</f>
        <v>14.7</v>
      </c>
      <c r="BE142" s="155">
        <f t="shared" si="78"/>
        <v>14.7</v>
      </c>
      <c r="BF142" s="155">
        <f t="shared" si="67"/>
        <v>1.3094638214191743</v>
      </c>
      <c r="BG142" s="155">
        <f t="shared" si="68"/>
        <v>8.206476985691765</v>
      </c>
      <c r="BH142" s="155">
        <f t="shared" si="69"/>
        <v>30.120792290268842</v>
      </c>
      <c r="BI142" s="155">
        <f t="shared" si="70"/>
        <v>30.753328928364482</v>
      </c>
      <c r="BJ142" s="155">
        <f t="shared" si="71"/>
        <v>31.399148835860132</v>
      </c>
      <c r="BK142" s="155">
        <f t="shared" si="72"/>
        <v>32.05853096141319</v>
      </c>
      <c r="BL142" s="155">
        <f t="shared" si="73"/>
        <v>32.731760111602867</v>
      </c>
      <c r="BM142" s="155">
        <f t="shared" si="74"/>
        <v>33.41912707394652</v>
      </c>
      <c r="BN142" s="155">
        <f t="shared" si="75"/>
        <v>34.120928742499395</v>
      </c>
      <c r="BO142" s="155">
        <f t="shared" si="76"/>
        <v>34.837468246091873</v>
      </c>
      <c r="BP142" s="155">
        <f t="shared" si="77"/>
        <v>25.133660092228212</v>
      </c>
    </row>
    <row r="143" spans="1:68">
      <c r="A143" s="155" t="s">
        <v>212</v>
      </c>
      <c r="B143" s="155" t="s">
        <v>1345</v>
      </c>
      <c r="C143" s="155" t="s">
        <v>208</v>
      </c>
      <c r="D143" s="155">
        <v>12.5</v>
      </c>
      <c r="E143" s="189">
        <v>0</v>
      </c>
      <c r="F143" s="67">
        <v>15</v>
      </c>
      <c r="G143" s="67">
        <v>0</v>
      </c>
      <c r="H143" s="67">
        <v>2169.9280600000002</v>
      </c>
      <c r="I143" s="67">
        <v>0</v>
      </c>
      <c r="J143" s="67">
        <v>0</v>
      </c>
      <c r="K143" s="67">
        <v>0</v>
      </c>
      <c r="L143" s="67">
        <v>0</v>
      </c>
      <c r="M143" s="67">
        <v>0</v>
      </c>
      <c r="N143" s="67">
        <v>0</v>
      </c>
      <c r="O143" s="67">
        <v>0</v>
      </c>
      <c r="Q143" s="202" t="s">
        <v>212</v>
      </c>
      <c r="R143" s="202" t="s">
        <v>1345</v>
      </c>
      <c r="S143" s="202" t="s">
        <v>208</v>
      </c>
      <c r="U143" s="155"/>
      <c r="V143" s="155"/>
      <c r="W143" s="155"/>
      <c r="X143" s="155"/>
      <c r="Y143" s="155"/>
      <c r="Z143" s="155"/>
      <c r="AA143" s="155"/>
      <c r="AB143" s="155"/>
      <c r="AC143" s="155"/>
      <c r="AE143" s="76">
        <f t="shared" si="56"/>
        <v>0</v>
      </c>
      <c r="AF143" s="76">
        <f t="shared" si="57"/>
        <v>0</v>
      </c>
      <c r="AG143" s="76">
        <f t="shared" si="58"/>
        <v>0</v>
      </c>
      <c r="AH143" s="76">
        <f t="shared" si="59"/>
        <v>0</v>
      </c>
      <c r="AI143" s="76">
        <f t="shared" si="60"/>
        <v>0</v>
      </c>
      <c r="AJ143" s="76">
        <f t="shared" si="61"/>
        <v>0</v>
      </c>
      <c r="AK143" s="76">
        <f t="shared" si="62"/>
        <v>0</v>
      </c>
      <c r="AL143" s="76">
        <f t="shared" si="63"/>
        <v>0</v>
      </c>
      <c r="AM143" s="76">
        <f t="shared" si="64"/>
        <v>0</v>
      </c>
      <c r="AN143" s="76">
        <f t="shared" si="65"/>
        <v>0</v>
      </c>
      <c r="AP143" s="202" t="s">
        <v>212</v>
      </c>
      <c r="AQ143" s="202" t="s">
        <v>208</v>
      </c>
      <c r="AR143" s="155" cm="1">
        <f t="array" ref="AR143">_xlfn.IFS($AQ143=$AP$1,$AQ$1*AE143,$AQ143=$AP$2,$AQ$2*AE143,$AQ143=$AP$3,$AQ$3*AE143,$AQ143=$AP$4,$AQ$4*AE143)</f>
        <v>0</v>
      </c>
      <c r="AS143" s="155" cm="1">
        <f t="array" ref="AS143">_xlfn.IFS($AQ143=$AP$1,$AQ$1*AF143,$AQ143=$AP$2,$AQ$2*AF143,$AQ143=$AP$3,$AQ$3*AF143,$AQ143=$AP$4,$AQ$4*AF143)</f>
        <v>0</v>
      </c>
      <c r="AT143" s="155" cm="1">
        <f t="array" ref="AT143">_xlfn.IFS($AQ143=$AP$1,$AQ$1*AG143,$AQ143=$AP$2,$AQ$2*AG143,$AQ143=$AP$3,$AQ$3*AG143,$AQ143=$AP$4,$AQ$4*AG143)</f>
        <v>0</v>
      </c>
      <c r="AU143" s="155" cm="1">
        <f t="array" ref="AU143">_xlfn.IFS($AQ143=$AP$1,$AQ$1*AH143,$AQ143=$AP$2,$AQ$2*AH143,$AQ143=$AP$3,$AQ$3*AH143,$AQ143=$AP$4,$AQ$4*AH143)</f>
        <v>0</v>
      </c>
      <c r="AV143" s="155" cm="1">
        <f t="array" ref="AV143">_xlfn.IFS($AQ143=$AP$1,$AQ$1*AI143,$AQ143=$AP$2,$AQ$2*AI143,$AQ143=$AP$3,$AQ$3*AI143,$AQ143=$AP$4,$AQ$4*AI143)</f>
        <v>0</v>
      </c>
      <c r="AW143" s="155" cm="1">
        <f t="array" ref="AW143">_xlfn.IFS($AQ143=$AP$1,$AQ$1*AJ143,$AQ143=$AP$2,$AQ$2*AJ143,$AQ143=$AP$3,$AQ$3*AJ143,$AQ143=$AP$4,$AQ$4*AJ143)</f>
        <v>0</v>
      </c>
      <c r="AX143" s="155" cm="1">
        <f t="array" ref="AX143">_xlfn.IFS($AQ143=$AP$1,$AQ$1*AK143,$AQ143=$AP$2,$AQ$2*AK143,$AQ143=$AP$3,$AQ$3*AK143,$AQ143=$AP$4,$AQ$4*AK143)</f>
        <v>0</v>
      </c>
      <c r="AY143" s="155" cm="1">
        <f t="array" ref="AY143">_xlfn.IFS($AQ143=$AP$1,$AQ$1*AL143,$AQ143=$AP$2,$AQ$2*AL143,$AQ143=$AP$3,$AQ$3*AL143,$AQ143=$AP$4,$AQ$4*AL143)</f>
        <v>0</v>
      </c>
      <c r="AZ143" s="155" cm="1">
        <f t="array" ref="AZ143">_xlfn.IFS($AQ143=$AP$1,$AQ$1*AM143,$AQ143=$AP$2,$AQ$2*AM143,$AQ143=$AP$3,$AQ$3*AM143,$AQ143=$AP$4,$AQ$4*AM143)</f>
        <v>0</v>
      </c>
      <c r="BA143" s="155" cm="1">
        <f t="array" ref="BA143">_xlfn.IFS($AQ143=$AP$1,$AQ$1*AN143,$AQ143=$AP$2,$AQ$2*AN143,$AQ143=$AP$3,$AQ$3*AN143,$AQ143=$AP$4,$AQ$4*AN143)</f>
        <v>0</v>
      </c>
      <c r="BB143" s="155">
        <f>Table2[[#This Row],[FINAL Project System Capacity (MW)]]</f>
        <v>12.5</v>
      </c>
      <c r="BC143" s="155" t="str">
        <f>Table2[[#This Row],[FN Parent  '#]]</f>
        <v>Individual Project</v>
      </c>
      <c r="BD143" s="155"/>
      <c r="BE143" s="155">
        <f t="shared" si="78"/>
        <v>0</v>
      </c>
      <c r="BF143" s="155" t="str">
        <f t="shared" si="67"/>
        <v/>
      </c>
      <c r="BG143" s="155" t="str">
        <f t="shared" si="68"/>
        <v/>
      </c>
      <c r="BH143" s="155" t="str">
        <f t="shared" si="69"/>
        <v/>
      </c>
      <c r="BI143" s="155" t="str">
        <f t="shared" si="70"/>
        <v/>
      </c>
      <c r="BJ143" s="155" t="str">
        <f t="shared" si="71"/>
        <v/>
      </c>
      <c r="BK143" s="155" t="str">
        <f t="shared" si="72"/>
        <v/>
      </c>
      <c r="BL143" s="155" t="str">
        <f t="shared" si="73"/>
        <v/>
      </c>
      <c r="BM143" s="155" t="str">
        <f t="shared" si="74"/>
        <v/>
      </c>
      <c r="BN143" s="155" t="str">
        <f t="shared" si="75"/>
        <v/>
      </c>
      <c r="BO143" s="155" t="str">
        <f t="shared" si="76"/>
        <v/>
      </c>
      <c r="BP143" s="155">
        <f t="shared" si="77"/>
        <v>0</v>
      </c>
    </row>
    <row r="144" spans="1:68">
      <c r="A144" s="155" t="s">
        <v>210</v>
      </c>
      <c r="B144" s="155" t="s">
        <v>1345</v>
      </c>
      <c r="C144" s="155" t="s">
        <v>208</v>
      </c>
      <c r="D144" s="155">
        <v>1.5</v>
      </c>
      <c r="E144" s="189">
        <v>110.45964000000001</v>
      </c>
      <c r="F144" s="67">
        <v>750.96</v>
      </c>
      <c r="G144" s="67">
        <v>2167.15</v>
      </c>
      <c r="H144" s="67">
        <v>0</v>
      </c>
      <c r="I144" s="67">
        <v>0</v>
      </c>
      <c r="J144" s="67">
        <v>0</v>
      </c>
      <c r="K144" s="67">
        <v>0</v>
      </c>
      <c r="L144" s="67">
        <v>0</v>
      </c>
      <c r="M144" s="67">
        <v>0</v>
      </c>
      <c r="N144" s="67">
        <v>0</v>
      </c>
      <c r="O144" s="67">
        <v>0</v>
      </c>
      <c r="Q144" s="201" t="s">
        <v>210</v>
      </c>
      <c r="R144" s="201" t="s">
        <v>1345</v>
      </c>
      <c r="S144" s="201" t="s">
        <v>208</v>
      </c>
      <c r="T144" s="76">
        <f>SUM($E144:F145)</f>
        <v>1787.34376</v>
      </c>
      <c r="U144" s="76">
        <f>SUM($E144:G145)</f>
        <v>4761.3737600000004</v>
      </c>
      <c r="V144" s="76">
        <f>SUM($E144:H145)</f>
        <v>4761.3737600000004</v>
      </c>
      <c r="W144" s="76">
        <f>SUM($E144:I145)</f>
        <v>4761.3737600000004</v>
      </c>
      <c r="X144" s="76">
        <f>SUM($E144:J145)</f>
        <v>4761.3737600000004</v>
      </c>
      <c r="Y144" s="76">
        <f>SUM($E144:K145)</f>
        <v>4761.3737600000004</v>
      </c>
      <c r="Z144" s="76">
        <f>SUM($E144:L145)</f>
        <v>4761.3737600000004</v>
      </c>
      <c r="AA144" s="76">
        <f>SUM($E144:M145)</f>
        <v>4761.3737600000004</v>
      </c>
      <c r="AB144" s="76">
        <f>SUM($E144:N145)</f>
        <v>4761.3737600000004</v>
      </c>
      <c r="AC144" s="76">
        <f>SUM($E144:O145)</f>
        <v>4761.3737600000004</v>
      </c>
      <c r="AE144" s="76">
        <f t="shared" si="56"/>
        <v>1787.34376</v>
      </c>
      <c r="AF144" s="76">
        <f t="shared" si="57"/>
        <v>4861.3626089600002</v>
      </c>
      <c r="AG144" s="76">
        <f t="shared" si="58"/>
        <v>4963.4512237481595</v>
      </c>
      <c r="AH144" s="76">
        <f t="shared" si="59"/>
        <v>5067.6836994468704</v>
      </c>
      <c r="AI144" s="76">
        <f t="shared" si="60"/>
        <v>5174.1050571352534</v>
      </c>
      <c r="AJ144" s="76">
        <f t="shared" si="61"/>
        <v>5282.7612633350927</v>
      </c>
      <c r="AK144" s="76">
        <f t="shared" si="62"/>
        <v>5393.6992498651298</v>
      </c>
      <c r="AL144" s="76">
        <f t="shared" si="63"/>
        <v>5506.9669341122972</v>
      </c>
      <c r="AM144" s="76">
        <f t="shared" si="64"/>
        <v>5622.6132397286538</v>
      </c>
      <c r="AN144" s="76">
        <f t="shared" si="65"/>
        <v>5740.6881177629548</v>
      </c>
      <c r="AP144" s="201" t="s">
        <v>210</v>
      </c>
      <c r="AQ144" s="201" t="s">
        <v>208</v>
      </c>
      <c r="AR144" s="155" cm="1">
        <f t="array" ref="AR144">_xlfn.IFS($AQ144=$AP$1,$AQ$1*AE144,$AQ144=$AP$2,$AQ$2*AE144,$AQ144=$AP$3,$AQ$3*AE144,$AQ144=$AP$4,$AQ$4*AE144)</f>
        <v>252.53854901092032</v>
      </c>
      <c r="AS144" s="155" cm="1">
        <f t="array" ref="AS144">_xlfn.IFS($AQ144=$AP$1,$AQ$1*AF144,$AQ144=$AP$2,$AQ$2*AF144,$AQ144=$AP$3,$AQ$3*AF144,$AQ144=$AP$4,$AQ$4*AF144)</f>
        <v>686.87484017215615</v>
      </c>
      <c r="AT144" s="155" cm="1">
        <f t="array" ref="AT144">_xlfn.IFS($AQ144=$AP$1,$AQ$1*AG144,$AQ144=$AP$2,$AQ$2*AG144,$AQ144=$AP$3,$AQ$3*AG144,$AQ144=$AP$4,$AQ$4*AG144)</f>
        <v>701.29921181577129</v>
      </c>
      <c r="AU144" s="155" cm="1">
        <f t="array" ref="AU144">_xlfn.IFS($AQ144=$AP$1,$AQ$1*AH144,$AQ144=$AP$2,$AQ$2*AH144,$AQ144=$AP$3,$AQ$3*AH144,$AQ144=$AP$4,$AQ$4*AH144)</f>
        <v>716.02649526390246</v>
      </c>
      <c r="AV144" s="155" cm="1">
        <f t="array" ref="AV144">_xlfn.IFS($AQ144=$AP$1,$AQ$1*AI144,$AQ144=$AP$2,$AQ$2*AI144,$AQ144=$AP$3,$AQ$3*AI144,$AQ144=$AP$4,$AQ$4*AI144)</f>
        <v>731.06305166444417</v>
      </c>
      <c r="AW144" s="155" cm="1">
        <f t="array" ref="AW144">_xlfn.IFS($AQ144=$AP$1,$AQ$1*AJ144,$AQ144=$AP$2,$AQ$2*AJ144,$AQ144=$AP$3,$AQ$3*AJ144,$AQ144=$AP$4,$AQ$4*AJ144)</f>
        <v>746.41537574939741</v>
      </c>
      <c r="AX144" s="155" cm="1">
        <f t="array" ref="AX144">_xlfn.IFS($AQ144=$AP$1,$AQ$1*AK144,$AQ144=$AP$2,$AQ$2*AK144,$AQ144=$AP$3,$AQ$3*AK144,$AQ144=$AP$4,$AQ$4*AK144)</f>
        <v>762.09009864013478</v>
      </c>
      <c r="AY144" s="155" cm="1">
        <f t="array" ref="AY144">_xlfn.IFS($AQ144=$AP$1,$AQ$1*AL144,$AQ144=$AP$2,$AQ$2*AL144,$AQ144=$AP$3,$AQ$3*AL144,$AQ144=$AP$4,$AQ$4*AL144)</f>
        <v>778.09399071157748</v>
      </c>
      <c r="AZ144" s="155" cm="1">
        <f t="array" ref="AZ144">_xlfn.IFS($AQ144=$AP$1,$AQ$1*AM144,$AQ144=$AP$2,$AQ$2*AM144,$AQ144=$AP$3,$AQ$3*AM144,$AQ144=$AP$4,$AQ$4*AM144)</f>
        <v>794.4339645165204</v>
      </c>
      <c r="BA144" s="155" cm="1">
        <f t="array" ref="BA144">_xlfn.IFS($AQ144=$AP$1,$AQ$1*AN144,$AQ144=$AP$2,$AQ$2*AN144,$AQ144=$AP$3,$AQ$3*AN144,$AQ144=$AP$4,$AQ$4*AN144)</f>
        <v>811.11707777136724</v>
      </c>
      <c r="BB144" s="155">
        <f>Table2[[#This Row],[FINAL Project System Capacity (MW)]]</f>
        <v>1.5</v>
      </c>
      <c r="BC144" s="155" t="str">
        <f>Table2[[#This Row],[FN Parent  '#]]</f>
        <v>Individual Project</v>
      </c>
      <c r="BD144" s="155">
        <f>BB144+BB145</f>
        <v>5.5</v>
      </c>
      <c r="BE144" s="155">
        <f t="shared" si="78"/>
        <v>5.5</v>
      </c>
      <c r="BF144" s="155">
        <f t="shared" si="67"/>
        <v>45.916099820167332</v>
      </c>
      <c r="BG144" s="155">
        <f t="shared" si="68"/>
        <v>124.88633457675566</v>
      </c>
      <c r="BH144" s="155">
        <f t="shared" si="69"/>
        <v>127.50894760286751</v>
      </c>
      <c r="BI144" s="155">
        <f t="shared" si="70"/>
        <v>130.18663550252771</v>
      </c>
      <c r="BJ144" s="155">
        <f t="shared" si="71"/>
        <v>132.92055484808077</v>
      </c>
      <c r="BK144" s="155">
        <f t="shared" si="72"/>
        <v>135.71188649989043</v>
      </c>
      <c r="BL144" s="155">
        <f t="shared" si="73"/>
        <v>138.56183611638815</v>
      </c>
      <c r="BM144" s="155">
        <f t="shared" si="74"/>
        <v>141.47163467483227</v>
      </c>
      <c r="BN144" s="155">
        <f t="shared" si="75"/>
        <v>144.4425390030037</v>
      </c>
      <c r="BO144" s="155">
        <f t="shared" si="76"/>
        <v>147.47583232206676</v>
      </c>
      <c r="BP144" s="155">
        <f t="shared" si="77"/>
        <v>122.91380856601297</v>
      </c>
    </row>
    <row r="145" spans="1:68">
      <c r="A145" s="155" t="s">
        <v>210</v>
      </c>
      <c r="B145" s="155" t="s">
        <v>1345</v>
      </c>
      <c r="C145" s="155" t="s">
        <v>208</v>
      </c>
      <c r="D145" s="155">
        <v>4</v>
      </c>
      <c r="E145" s="189">
        <v>191.95903999999999</v>
      </c>
      <c r="F145" s="67">
        <v>733.96507999999994</v>
      </c>
      <c r="G145" s="67">
        <v>806.88</v>
      </c>
      <c r="H145" s="67">
        <v>0</v>
      </c>
      <c r="I145" s="67">
        <v>0</v>
      </c>
      <c r="J145" s="67">
        <v>0</v>
      </c>
      <c r="K145" s="67">
        <v>0</v>
      </c>
      <c r="L145" s="67">
        <v>0</v>
      </c>
      <c r="M145" s="67">
        <v>0</v>
      </c>
      <c r="N145" s="67">
        <v>0</v>
      </c>
      <c r="O145" s="67">
        <v>0</v>
      </c>
      <c r="Q145" s="202" t="s">
        <v>210</v>
      </c>
      <c r="R145" s="202" t="s">
        <v>1345</v>
      </c>
      <c r="S145" s="202" t="s">
        <v>208</v>
      </c>
      <c r="U145" s="155"/>
      <c r="V145" s="155"/>
      <c r="W145" s="155"/>
      <c r="X145" s="155"/>
      <c r="Y145" s="155"/>
      <c r="Z145" s="155"/>
      <c r="AA145" s="155"/>
      <c r="AB145" s="155"/>
      <c r="AC145" s="155"/>
      <c r="AE145" s="76">
        <f t="shared" si="56"/>
        <v>0</v>
      </c>
      <c r="AF145" s="76">
        <f t="shared" si="57"/>
        <v>0</v>
      </c>
      <c r="AG145" s="76">
        <f t="shared" si="58"/>
        <v>0</v>
      </c>
      <c r="AH145" s="76">
        <f t="shared" si="59"/>
        <v>0</v>
      </c>
      <c r="AI145" s="76">
        <f t="shared" si="60"/>
        <v>0</v>
      </c>
      <c r="AJ145" s="76">
        <f t="shared" si="61"/>
        <v>0</v>
      </c>
      <c r="AK145" s="76">
        <f t="shared" si="62"/>
        <v>0</v>
      </c>
      <c r="AL145" s="76">
        <f t="shared" si="63"/>
        <v>0</v>
      </c>
      <c r="AM145" s="76">
        <f t="shared" si="64"/>
        <v>0</v>
      </c>
      <c r="AN145" s="76">
        <f t="shared" si="65"/>
        <v>0</v>
      </c>
      <c r="AP145" s="202" t="s">
        <v>210</v>
      </c>
      <c r="AQ145" s="202" t="s">
        <v>208</v>
      </c>
      <c r="AR145" s="155" cm="1">
        <f t="array" ref="AR145">_xlfn.IFS($AQ145=$AP$1,$AQ$1*AE145,$AQ145=$AP$2,$AQ$2*AE145,$AQ145=$AP$3,$AQ$3*AE145,$AQ145=$AP$4,$AQ$4*AE145)</f>
        <v>0</v>
      </c>
      <c r="AS145" s="155" cm="1">
        <f t="array" ref="AS145">_xlfn.IFS($AQ145=$AP$1,$AQ$1*AF145,$AQ145=$AP$2,$AQ$2*AF145,$AQ145=$AP$3,$AQ$3*AF145,$AQ145=$AP$4,$AQ$4*AF145)</f>
        <v>0</v>
      </c>
      <c r="AT145" s="155" cm="1">
        <f t="array" ref="AT145">_xlfn.IFS($AQ145=$AP$1,$AQ$1*AG145,$AQ145=$AP$2,$AQ$2*AG145,$AQ145=$AP$3,$AQ$3*AG145,$AQ145=$AP$4,$AQ$4*AG145)</f>
        <v>0</v>
      </c>
      <c r="AU145" s="155" cm="1">
        <f t="array" ref="AU145">_xlfn.IFS($AQ145=$AP$1,$AQ$1*AH145,$AQ145=$AP$2,$AQ$2*AH145,$AQ145=$AP$3,$AQ$3*AH145,$AQ145=$AP$4,$AQ$4*AH145)</f>
        <v>0</v>
      </c>
      <c r="AV145" s="155" cm="1">
        <f t="array" ref="AV145">_xlfn.IFS($AQ145=$AP$1,$AQ$1*AI145,$AQ145=$AP$2,$AQ$2*AI145,$AQ145=$AP$3,$AQ$3*AI145,$AQ145=$AP$4,$AQ$4*AI145)</f>
        <v>0</v>
      </c>
      <c r="AW145" s="155" cm="1">
        <f t="array" ref="AW145">_xlfn.IFS($AQ145=$AP$1,$AQ$1*AJ145,$AQ145=$AP$2,$AQ$2*AJ145,$AQ145=$AP$3,$AQ$3*AJ145,$AQ145=$AP$4,$AQ$4*AJ145)</f>
        <v>0</v>
      </c>
      <c r="AX145" s="155" cm="1">
        <f t="array" ref="AX145">_xlfn.IFS($AQ145=$AP$1,$AQ$1*AK145,$AQ145=$AP$2,$AQ$2*AK145,$AQ145=$AP$3,$AQ$3*AK145,$AQ145=$AP$4,$AQ$4*AK145)</f>
        <v>0</v>
      </c>
      <c r="AY145" s="155" cm="1">
        <f t="array" ref="AY145">_xlfn.IFS($AQ145=$AP$1,$AQ$1*AL145,$AQ145=$AP$2,$AQ$2*AL145,$AQ145=$AP$3,$AQ$3*AL145,$AQ145=$AP$4,$AQ$4*AL145)</f>
        <v>0</v>
      </c>
      <c r="AZ145" s="155" cm="1">
        <f t="array" ref="AZ145">_xlfn.IFS($AQ145=$AP$1,$AQ$1*AM145,$AQ145=$AP$2,$AQ$2*AM145,$AQ145=$AP$3,$AQ$3*AM145,$AQ145=$AP$4,$AQ$4*AM145)</f>
        <v>0</v>
      </c>
      <c r="BA145" s="155" cm="1">
        <f t="array" ref="BA145">_xlfn.IFS($AQ145=$AP$1,$AQ$1*AN145,$AQ145=$AP$2,$AQ$2*AN145,$AQ145=$AP$3,$AQ$3*AN145,$AQ145=$AP$4,$AQ$4*AN145)</f>
        <v>0</v>
      </c>
      <c r="BB145" s="155">
        <f>Table2[[#This Row],[FINAL Project System Capacity (MW)]]</f>
        <v>4</v>
      </c>
      <c r="BC145" s="155" t="str">
        <f>Table2[[#This Row],[FN Parent  '#]]</f>
        <v>Individual Project</v>
      </c>
      <c r="BD145" s="155"/>
      <c r="BE145" s="155">
        <f t="shared" si="78"/>
        <v>0</v>
      </c>
      <c r="BF145" s="155" t="str">
        <f t="shared" si="67"/>
        <v/>
      </c>
      <c r="BG145" s="155" t="str">
        <f t="shared" si="68"/>
        <v/>
      </c>
      <c r="BH145" s="155" t="str">
        <f t="shared" si="69"/>
        <v/>
      </c>
      <c r="BI145" s="155" t="str">
        <f t="shared" si="70"/>
        <v/>
      </c>
      <c r="BJ145" s="155" t="str">
        <f t="shared" si="71"/>
        <v/>
      </c>
      <c r="BK145" s="155" t="str">
        <f t="shared" si="72"/>
        <v/>
      </c>
      <c r="BL145" s="155" t="str">
        <f t="shared" si="73"/>
        <v/>
      </c>
      <c r="BM145" s="155" t="str">
        <f t="shared" si="74"/>
        <v/>
      </c>
      <c r="BN145" s="155" t="str">
        <f t="shared" si="75"/>
        <v/>
      </c>
      <c r="BO145" s="155" t="str">
        <f t="shared" si="76"/>
        <v/>
      </c>
      <c r="BP145" s="155">
        <f t="shared" si="77"/>
        <v>0</v>
      </c>
    </row>
    <row r="146" spans="1:68">
      <c r="A146" s="155" t="s">
        <v>287</v>
      </c>
      <c r="B146" s="155" t="s">
        <v>1345</v>
      </c>
      <c r="C146" s="155" t="s">
        <v>208</v>
      </c>
      <c r="D146" s="155">
        <v>14</v>
      </c>
      <c r="E146" s="189">
        <v>0</v>
      </c>
      <c r="F146" s="67">
        <v>0</v>
      </c>
      <c r="G146" s="67">
        <v>0</v>
      </c>
      <c r="H146" s="67">
        <v>0</v>
      </c>
      <c r="I146" s="67">
        <v>0</v>
      </c>
      <c r="J146" s="67">
        <v>1660</v>
      </c>
      <c r="K146" s="67">
        <v>6381</v>
      </c>
      <c r="L146" s="67">
        <v>9605</v>
      </c>
      <c r="M146" s="67">
        <v>0</v>
      </c>
      <c r="N146" s="67">
        <v>0</v>
      </c>
      <c r="O146" s="67">
        <v>0</v>
      </c>
      <c r="Q146" s="201" t="s">
        <v>287</v>
      </c>
      <c r="R146" s="201" t="s">
        <v>1345</v>
      </c>
      <c r="S146" s="201" t="s">
        <v>208</v>
      </c>
      <c r="T146" s="76">
        <f>SUM($E146:F146)</f>
        <v>0</v>
      </c>
      <c r="U146" s="76">
        <f>SUM($E146:G146)</f>
        <v>0</v>
      </c>
      <c r="V146" s="76">
        <f>SUM($E146:H146)</f>
        <v>0</v>
      </c>
      <c r="W146" s="76">
        <f>SUM($E146:I146)</f>
        <v>0</v>
      </c>
      <c r="X146" s="76">
        <f>SUM($E146:J146)</f>
        <v>1660</v>
      </c>
      <c r="Y146" s="76">
        <f>SUM($E146:K146)</f>
        <v>8041</v>
      </c>
      <c r="Z146" s="76">
        <f>SUM($E146:L146)</f>
        <v>17646</v>
      </c>
      <c r="AA146" s="76">
        <f>SUM($E146:M146)</f>
        <v>17646</v>
      </c>
      <c r="AB146" s="76">
        <f>SUM($E146:N146)</f>
        <v>17646</v>
      </c>
      <c r="AC146" s="76">
        <f>SUM($E146:O146)</f>
        <v>17646</v>
      </c>
      <c r="AE146" s="76">
        <f t="shared" si="56"/>
        <v>0</v>
      </c>
      <c r="AF146" s="76">
        <f t="shared" si="57"/>
        <v>0</v>
      </c>
      <c r="AG146" s="76">
        <f t="shared" si="58"/>
        <v>0</v>
      </c>
      <c r="AH146" s="76">
        <f t="shared" si="59"/>
        <v>0</v>
      </c>
      <c r="AI146" s="76">
        <f t="shared" si="60"/>
        <v>1803.894175878459</v>
      </c>
      <c r="AJ146" s="76">
        <f t="shared" si="61"/>
        <v>8921.5183389588547</v>
      </c>
      <c r="AK146" s="76">
        <f t="shared" si="62"/>
        <v>19989.444593217584</v>
      </c>
      <c r="AL146" s="76">
        <f t="shared" si="63"/>
        <v>20409.22292967515</v>
      </c>
      <c r="AM146" s="76">
        <f t="shared" si="64"/>
        <v>20837.816611198323</v>
      </c>
      <c r="AN146" s="76">
        <f t="shared" si="65"/>
        <v>21275.410760033486</v>
      </c>
      <c r="AP146" s="201" t="s">
        <v>287</v>
      </c>
      <c r="AQ146" s="201" t="s">
        <v>208</v>
      </c>
      <c r="AR146" s="155" cm="1">
        <f t="array" ref="AR146">_xlfn.IFS($AQ146=$AP$1,$AQ$1*AE146,$AQ146=$AP$2,$AQ$2*AE146,$AQ146=$AP$3,$AQ$3*AE146,$AQ146=$AP$4,$AQ$4*AE146)</f>
        <v>0</v>
      </c>
      <c r="AS146" s="155" cm="1">
        <f t="array" ref="AS146">_xlfn.IFS($AQ146=$AP$1,$AQ$1*AF146,$AQ146=$AP$2,$AQ$2*AF146,$AQ146=$AP$3,$AQ$3*AF146,$AQ146=$AP$4,$AQ$4*AF146)</f>
        <v>0</v>
      </c>
      <c r="AT146" s="155" cm="1">
        <f t="array" ref="AT146">_xlfn.IFS($AQ146=$AP$1,$AQ$1*AG146,$AQ146=$AP$2,$AQ$2*AG146,$AQ146=$AP$3,$AQ$3*AG146,$AQ146=$AP$4,$AQ$4*AG146)</f>
        <v>0</v>
      </c>
      <c r="AU146" s="155" cm="1">
        <f t="array" ref="AU146">_xlfn.IFS($AQ146=$AP$1,$AQ$1*AH146,$AQ146=$AP$2,$AQ$2*AH146,$AQ146=$AP$3,$AQ$3*AH146,$AQ146=$AP$4,$AQ$4*AH146)</f>
        <v>0</v>
      </c>
      <c r="AV146" s="155" cm="1">
        <f t="array" ref="AV146">_xlfn.IFS($AQ146=$AP$1,$AQ$1*AI146,$AQ146=$AP$2,$AQ$2*AI146,$AQ146=$AP$3,$AQ$3*AI146,$AQ146=$AP$4,$AQ$4*AI146)</f>
        <v>254.87700124658502</v>
      </c>
      <c r="AW146" s="155" cm="1">
        <f t="array" ref="AW146">_xlfn.IFS($AQ146=$AP$1,$AQ$1*AJ146,$AQ146=$AP$2,$AQ$2*AJ146,$AQ146=$AP$3,$AQ$3*AJ146,$AQ146=$AP$4,$AQ$4*AJ146)</f>
        <v>1260.5450315248731</v>
      </c>
      <c r="AX146" s="155" cm="1">
        <f t="array" ref="AX146">_xlfn.IFS($AQ146=$AP$1,$AQ$1*AK146,$AQ146=$AP$2,$AQ$2*AK146,$AQ146=$AP$3,$AQ$3*AK146,$AQ146=$AP$4,$AQ$4*AK146)</f>
        <v>2824.3617406342446</v>
      </c>
      <c r="AY146" s="155" cm="1">
        <f t="array" ref="AY146">_xlfn.IFS($AQ146=$AP$1,$AQ$1*AL146,$AQ146=$AP$2,$AQ$2*AL146,$AQ146=$AP$3,$AQ$3*AL146,$AQ146=$AP$4,$AQ$4*AL146)</f>
        <v>2883.673337187563</v>
      </c>
      <c r="AZ146" s="155" cm="1">
        <f t="array" ref="AZ146">_xlfn.IFS($AQ146=$AP$1,$AQ$1*AM146,$AQ146=$AP$2,$AQ$2*AM146,$AQ146=$AP$3,$AQ$3*AM146,$AQ146=$AP$4,$AQ$4*AM146)</f>
        <v>2944.2304772685011</v>
      </c>
      <c r="BA146" s="155" cm="1">
        <f t="array" ref="BA146">_xlfn.IFS($AQ146=$AP$1,$AQ$1*AN146,$AQ146=$AP$2,$AQ$2*AN146,$AQ146=$AP$3,$AQ$3*AN146,$AQ146=$AP$4,$AQ$4*AN146)</f>
        <v>3006.0593172911395</v>
      </c>
      <c r="BB146" s="155">
        <f>Table2[[#This Row],[FINAL Project System Capacity (MW)]]</f>
        <v>14</v>
      </c>
      <c r="BC146" s="155" t="str">
        <f>Table2[[#This Row],[FN Parent  '#]]</f>
        <v>Individual Project</v>
      </c>
      <c r="BD146" s="155">
        <f t="shared" si="66"/>
        <v>14</v>
      </c>
      <c r="BE146" s="155">
        <f t="shared" si="78"/>
        <v>14</v>
      </c>
      <c r="BF146" s="155">
        <f t="shared" si="67"/>
        <v>0</v>
      </c>
      <c r="BG146" s="155">
        <f t="shared" si="68"/>
        <v>0</v>
      </c>
      <c r="BH146" s="155">
        <f t="shared" si="69"/>
        <v>0</v>
      </c>
      <c r="BI146" s="155">
        <f t="shared" si="70"/>
        <v>0</v>
      </c>
      <c r="BJ146" s="155">
        <f t="shared" si="71"/>
        <v>18.205500089041788</v>
      </c>
      <c r="BK146" s="155">
        <f t="shared" si="72"/>
        <v>90.03893082320522</v>
      </c>
      <c r="BL146" s="155">
        <f t="shared" si="73"/>
        <v>201.74012433101748</v>
      </c>
      <c r="BM146" s="155">
        <f t="shared" si="74"/>
        <v>205.97666694196877</v>
      </c>
      <c r="BN146" s="155">
        <f t="shared" si="75"/>
        <v>210.30217694775007</v>
      </c>
      <c r="BO146" s="155">
        <f t="shared" si="76"/>
        <v>214.71852266365281</v>
      </c>
      <c r="BP146" s="155">
        <f t="shared" si="77"/>
        <v>77.468400968729284</v>
      </c>
    </row>
    <row r="147" spans="1:68">
      <c r="A147" s="155" t="s">
        <v>288</v>
      </c>
      <c r="B147" s="155" t="s">
        <v>1143</v>
      </c>
      <c r="C147" s="155" t="s">
        <v>208</v>
      </c>
      <c r="D147" s="155">
        <v>17.5</v>
      </c>
      <c r="E147" s="189">
        <v>44.910240000000002</v>
      </c>
      <c r="F147" s="67">
        <v>126.21675</v>
      </c>
      <c r="G147" s="67">
        <v>0</v>
      </c>
      <c r="H147" s="67">
        <v>3310.6711700000001</v>
      </c>
      <c r="I147" s="67">
        <v>1621.10502</v>
      </c>
      <c r="J147" s="67">
        <v>842.07964000000004</v>
      </c>
      <c r="K147" s="67">
        <v>0</v>
      </c>
      <c r="L147" s="67">
        <v>0</v>
      </c>
      <c r="M147" s="67">
        <v>0</v>
      </c>
      <c r="N147" s="67">
        <v>0</v>
      </c>
      <c r="O147" s="67">
        <v>0</v>
      </c>
      <c r="Q147" s="202" t="s">
        <v>288</v>
      </c>
      <c r="R147" s="202" t="s">
        <v>1143</v>
      </c>
      <c r="S147" s="202" t="s">
        <v>208</v>
      </c>
      <c r="T147" s="76">
        <f>SUM($E147:F149)</f>
        <v>2122.0287900000003</v>
      </c>
      <c r="U147" s="76">
        <f>SUM($E147:G149)</f>
        <v>6452.3655900000003</v>
      </c>
      <c r="V147" s="76">
        <f>SUM($E147:H149)</f>
        <v>15973.553710000002</v>
      </c>
      <c r="W147" s="76">
        <f>SUM($E147:I149)</f>
        <v>19128.408869999999</v>
      </c>
      <c r="X147" s="76">
        <f>SUM($E147:J149)</f>
        <v>19970.488509999999</v>
      </c>
      <c r="Y147" s="76">
        <f>SUM($E147:K149)</f>
        <v>19970.488509999999</v>
      </c>
      <c r="Z147" s="76">
        <f>SUM($E147:L149)</f>
        <v>19970.488509999999</v>
      </c>
      <c r="AA147" s="76">
        <f>SUM($E147:M149)</f>
        <v>19970.488509999999</v>
      </c>
      <c r="AB147" s="76">
        <f>SUM($E147:N149)</f>
        <v>19970.488509999999</v>
      </c>
      <c r="AC147" s="76">
        <f>SUM($E147:O149)</f>
        <v>19970.488509999999</v>
      </c>
      <c r="AE147" s="76">
        <f t="shared" si="56"/>
        <v>2122.0287900000003</v>
      </c>
      <c r="AF147" s="76">
        <f t="shared" si="57"/>
        <v>6587.8652673899996</v>
      </c>
      <c r="AG147" s="76">
        <f t="shared" si="58"/>
        <v>16651.487303006106</v>
      </c>
      <c r="AH147" s="76">
        <f t="shared" si="59"/>
        <v>20358.982661939546</v>
      </c>
      <c r="AI147" s="76">
        <f t="shared" si="60"/>
        <v>21701.595128094388</v>
      </c>
      <c r="AJ147" s="76">
        <f t="shared" si="61"/>
        <v>22157.328625784368</v>
      </c>
      <c r="AK147" s="76">
        <f t="shared" si="62"/>
        <v>22622.632526925838</v>
      </c>
      <c r="AL147" s="76">
        <f t="shared" si="63"/>
        <v>23097.70780999128</v>
      </c>
      <c r="AM147" s="76">
        <f t="shared" si="64"/>
        <v>23582.759674001092</v>
      </c>
      <c r="AN147" s="76">
        <f t="shared" si="65"/>
        <v>24077.99762715511</v>
      </c>
      <c r="AP147" s="202" t="s">
        <v>288</v>
      </c>
      <c r="AQ147" s="202" t="s">
        <v>208</v>
      </c>
      <c r="AR147" s="155" cm="1">
        <f t="array" ref="AR147">_xlfn.IFS($AQ147=$AP$1,$AQ$1*AE147,$AQ147=$AP$2,$AQ$2*AE147,$AQ147=$AP$3,$AQ$3*AE147,$AQ147=$AP$4,$AQ$4*AE147)</f>
        <v>299.82708619297671</v>
      </c>
      <c r="AS147" s="155" cm="1">
        <f t="array" ref="AS147">_xlfn.IFS($AQ147=$AP$1,$AQ$1*AF147,$AQ147=$AP$2,$AQ$2*AF147,$AQ147=$AP$3,$AQ$3*AF147,$AQ147=$AP$4,$AQ$4*AF147)</f>
        <v>930.81698828103958</v>
      </c>
      <c r="AT147" s="155" cm="1">
        <f t="array" ref="AT147">_xlfn.IFS($AQ147=$AP$1,$AQ$1*AG147,$AQ147=$AP$2,$AQ$2*AG147,$AQ147=$AP$3,$AQ$3*AG147,$AQ147=$AP$4,$AQ$4*AG147)</f>
        <v>2352.7328857963648</v>
      </c>
      <c r="AU147" s="155" cm="1">
        <f t="array" ref="AU147">_xlfn.IFS($AQ147=$AP$1,$AQ$1*AH147,$AQ147=$AP$2,$AQ$2*AH147,$AQ147=$AP$3,$AQ$3*AH147,$AQ147=$AP$4,$AQ$4*AH147)</f>
        <v>2876.5747562655197</v>
      </c>
      <c r="AV147" s="155" cm="1">
        <f t="array" ref="AV147">_xlfn.IFS($AQ147=$AP$1,$AQ$1*AI147,$AQ147=$AP$2,$AQ$2*AI147,$AQ147=$AP$3,$AQ$3*AI147,$AQ147=$AP$4,$AQ$4*AI147)</f>
        <v>3066.2760390711937</v>
      </c>
      <c r="AW147" s="155" cm="1">
        <f t="array" ref="AW147">_xlfn.IFS($AQ147=$AP$1,$AQ$1*AJ147,$AQ147=$AP$2,$AQ$2*AJ147,$AQ147=$AP$3,$AQ$3*AJ147,$AQ147=$AP$4,$AQ$4*AJ147)</f>
        <v>3130.6678358916888</v>
      </c>
      <c r="AX147" s="155" cm="1">
        <f t="array" ref="AX147">_xlfn.IFS($AQ147=$AP$1,$AQ$1*AK147,$AQ147=$AP$2,$AQ$2*AK147,$AQ147=$AP$3,$AQ$3*AK147,$AQ147=$AP$4,$AQ$4*AK147)</f>
        <v>3196.4118604454138</v>
      </c>
      <c r="AY147" s="155" cm="1">
        <f t="array" ref="AY147">_xlfn.IFS($AQ147=$AP$1,$AQ$1*AL147,$AQ147=$AP$2,$AQ$2*AL147,$AQ147=$AP$3,$AQ$3*AL147,$AQ147=$AP$4,$AQ$4*AL147)</f>
        <v>3263.5365095147672</v>
      </c>
      <c r="AZ147" s="155" cm="1">
        <f t="array" ref="AZ147">_xlfn.IFS($AQ147=$AP$1,$AQ$1*AM147,$AQ147=$AP$2,$AQ$2*AM147,$AQ147=$AP$3,$AQ$3*AM147,$AQ147=$AP$4,$AQ$4*AM147)</f>
        <v>3332.0707762145771</v>
      </c>
      <c r="BA147" s="155" cm="1">
        <f t="array" ref="BA147">_xlfn.IFS($AQ147=$AP$1,$AQ$1*AN147,$AQ147=$AP$2,$AQ$2*AN147,$AQ147=$AP$3,$AQ$3*AN147,$AQ147=$AP$4,$AQ$4*AN147)</f>
        <v>3402.0442625150822</v>
      </c>
      <c r="BB147" s="155">
        <f>Table2[[#This Row],[FINAL Project System Capacity (MW)]]</f>
        <v>17.5</v>
      </c>
      <c r="BC147" s="155" t="str">
        <f>Table2[[#This Row],[FN Parent  '#]]</f>
        <v>FN011010</v>
      </c>
      <c r="BD147" s="155">
        <f t="shared" si="66"/>
        <v>17.5</v>
      </c>
      <c r="BE147" s="155">
        <f t="shared" si="78"/>
        <v>17.5</v>
      </c>
      <c r="BF147" s="155">
        <f t="shared" si="67"/>
        <v>17.132976353884384</v>
      </c>
      <c r="BG147" s="155">
        <f t="shared" si="68"/>
        <v>53.189542187487973</v>
      </c>
      <c r="BH147" s="155">
        <f t="shared" si="69"/>
        <v>134.44187918836371</v>
      </c>
      <c r="BI147" s="155">
        <f t="shared" si="70"/>
        <v>164.37570035802969</v>
      </c>
      <c r="BJ147" s="155">
        <f t="shared" si="71"/>
        <v>175.21577366121107</v>
      </c>
      <c r="BK147" s="155">
        <f t="shared" si="72"/>
        <v>178.89530490809651</v>
      </c>
      <c r="BL147" s="155">
        <f t="shared" si="73"/>
        <v>182.65210631116651</v>
      </c>
      <c r="BM147" s="155">
        <f t="shared" si="74"/>
        <v>186.48780054370098</v>
      </c>
      <c r="BN147" s="155">
        <f t="shared" si="75"/>
        <v>190.40404435511869</v>
      </c>
      <c r="BO147" s="155">
        <f t="shared" si="76"/>
        <v>194.40252928657614</v>
      </c>
      <c r="BP147" s="155">
        <f t="shared" si="77"/>
        <v>137.78460748050202</v>
      </c>
    </row>
    <row r="148" spans="1:68">
      <c r="A148" s="155" t="s">
        <v>288</v>
      </c>
      <c r="B148" s="155" t="s">
        <v>1143</v>
      </c>
      <c r="C148" s="155" t="s">
        <v>208</v>
      </c>
      <c r="D148" s="155">
        <v>17.5</v>
      </c>
      <c r="E148" s="189">
        <v>417.03104000000002</v>
      </c>
      <c r="F148" s="67">
        <v>0</v>
      </c>
      <c r="G148" s="67">
        <v>1919.5164</v>
      </c>
      <c r="H148" s="67">
        <v>5529.7249099999999</v>
      </c>
      <c r="I148" s="67">
        <v>1533.7501400000001</v>
      </c>
      <c r="J148" s="67">
        <v>0</v>
      </c>
      <c r="K148" s="67">
        <v>0</v>
      </c>
      <c r="L148" s="67">
        <v>0</v>
      </c>
      <c r="M148" s="67">
        <v>0</v>
      </c>
      <c r="N148" s="67">
        <v>0</v>
      </c>
      <c r="O148" s="67">
        <v>0</v>
      </c>
      <c r="Q148" s="201" t="s">
        <v>288</v>
      </c>
      <c r="R148" s="201" t="s">
        <v>1143</v>
      </c>
      <c r="S148" s="201" t="s">
        <v>208</v>
      </c>
      <c r="U148" s="155"/>
      <c r="V148" s="155"/>
      <c r="W148" s="155"/>
      <c r="X148" s="155"/>
      <c r="Y148" s="155"/>
      <c r="Z148" s="155"/>
      <c r="AA148" s="155"/>
      <c r="AB148" s="155"/>
      <c r="AC148" s="155"/>
      <c r="AE148" s="76">
        <f t="shared" si="56"/>
        <v>0</v>
      </c>
      <c r="AF148" s="76">
        <f t="shared" si="57"/>
        <v>0</v>
      </c>
      <c r="AG148" s="76">
        <f t="shared" si="58"/>
        <v>0</v>
      </c>
      <c r="AH148" s="76">
        <f t="shared" si="59"/>
        <v>0</v>
      </c>
      <c r="AI148" s="76">
        <f t="shared" si="60"/>
        <v>0</v>
      </c>
      <c r="AJ148" s="76">
        <f t="shared" si="61"/>
        <v>0</v>
      </c>
      <c r="AK148" s="76">
        <f t="shared" si="62"/>
        <v>0</v>
      </c>
      <c r="AL148" s="76">
        <f t="shared" si="63"/>
        <v>0</v>
      </c>
      <c r="AM148" s="76">
        <f t="shared" si="64"/>
        <v>0</v>
      </c>
      <c r="AN148" s="76">
        <f t="shared" si="65"/>
        <v>0</v>
      </c>
      <c r="AP148" s="201" t="s">
        <v>288</v>
      </c>
      <c r="AQ148" s="201" t="s">
        <v>208</v>
      </c>
      <c r="AR148" s="155" cm="1">
        <f t="array" ref="AR148">_xlfn.IFS($AQ148=$AP$1,$AQ$1*AE148,$AQ148=$AP$2,$AQ$2*AE148,$AQ148=$AP$3,$AQ$3*AE148,$AQ148=$AP$4,$AQ$4*AE148)</f>
        <v>0</v>
      </c>
      <c r="AS148" s="155" cm="1">
        <f t="array" ref="AS148">_xlfn.IFS($AQ148=$AP$1,$AQ$1*AF148,$AQ148=$AP$2,$AQ$2*AF148,$AQ148=$AP$3,$AQ$3*AF148,$AQ148=$AP$4,$AQ$4*AF148)</f>
        <v>0</v>
      </c>
      <c r="AT148" s="155" cm="1">
        <f t="array" ref="AT148">_xlfn.IFS($AQ148=$AP$1,$AQ$1*AG148,$AQ148=$AP$2,$AQ$2*AG148,$AQ148=$AP$3,$AQ$3*AG148,$AQ148=$AP$4,$AQ$4*AG148)</f>
        <v>0</v>
      </c>
      <c r="AU148" s="155" cm="1">
        <f t="array" ref="AU148">_xlfn.IFS($AQ148=$AP$1,$AQ$1*AH148,$AQ148=$AP$2,$AQ$2*AH148,$AQ148=$AP$3,$AQ$3*AH148,$AQ148=$AP$4,$AQ$4*AH148)</f>
        <v>0</v>
      </c>
      <c r="AV148" s="155" cm="1">
        <f t="array" ref="AV148">_xlfn.IFS($AQ148=$AP$1,$AQ$1*AI148,$AQ148=$AP$2,$AQ$2*AI148,$AQ148=$AP$3,$AQ$3*AI148,$AQ148=$AP$4,$AQ$4*AI148)</f>
        <v>0</v>
      </c>
      <c r="AW148" s="155" cm="1">
        <f t="array" ref="AW148">_xlfn.IFS($AQ148=$AP$1,$AQ$1*AJ148,$AQ148=$AP$2,$AQ$2*AJ148,$AQ148=$AP$3,$AQ$3*AJ148,$AQ148=$AP$4,$AQ$4*AJ148)</f>
        <v>0</v>
      </c>
      <c r="AX148" s="155" cm="1">
        <f t="array" ref="AX148">_xlfn.IFS($AQ148=$AP$1,$AQ$1*AK148,$AQ148=$AP$2,$AQ$2*AK148,$AQ148=$AP$3,$AQ$3*AK148,$AQ148=$AP$4,$AQ$4*AK148)</f>
        <v>0</v>
      </c>
      <c r="AY148" s="155" cm="1">
        <f t="array" ref="AY148">_xlfn.IFS($AQ148=$AP$1,$AQ$1*AL148,$AQ148=$AP$2,$AQ$2*AL148,$AQ148=$AP$3,$AQ$3*AL148,$AQ148=$AP$4,$AQ$4*AL148)</f>
        <v>0</v>
      </c>
      <c r="AZ148" s="155" cm="1">
        <f t="array" ref="AZ148">_xlfn.IFS($AQ148=$AP$1,$AQ$1*AM148,$AQ148=$AP$2,$AQ$2*AM148,$AQ148=$AP$3,$AQ$3*AM148,$AQ148=$AP$4,$AQ$4*AM148)</f>
        <v>0</v>
      </c>
      <c r="BA148" s="155" cm="1">
        <f t="array" ref="BA148">_xlfn.IFS($AQ148=$AP$1,$AQ$1*AN148,$AQ148=$AP$2,$AQ$2*AN148,$AQ148=$AP$3,$AQ$3*AN148,$AQ148=$AP$4,$AQ$4*AN148)</f>
        <v>0</v>
      </c>
      <c r="BB148" s="155"/>
      <c r="BC148" s="155" t="str">
        <f>Table2[[#This Row],[FN Parent  '#]]</f>
        <v>FN011010</v>
      </c>
      <c r="BD148" s="155">
        <f t="shared" si="66"/>
        <v>0</v>
      </c>
      <c r="BF148" s="155" t="str">
        <f t="shared" si="67"/>
        <v/>
      </c>
      <c r="BG148" s="155" t="str">
        <f t="shared" si="68"/>
        <v/>
      </c>
      <c r="BH148" s="155" t="str">
        <f t="shared" si="69"/>
        <v/>
      </c>
      <c r="BI148" s="155" t="str">
        <f t="shared" si="70"/>
        <v/>
      </c>
      <c r="BJ148" s="155" t="str">
        <f t="shared" si="71"/>
        <v/>
      </c>
      <c r="BK148" s="155" t="str">
        <f t="shared" si="72"/>
        <v/>
      </c>
      <c r="BL148" s="155" t="str">
        <f t="shared" si="73"/>
        <v/>
      </c>
      <c r="BM148" s="155" t="str">
        <f t="shared" si="74"/>
        <v/>
      </c>
      <c r="BN148" s="155" t="str">
        <f t="shared" si="75"/>
        <v/>
      </c>
      <c r="BO148" s="155" t="str">
        <f t="shared" si="76"/>
        <v/>
      </c>
      <c r="BP148" s="155">
        <f t="shared" si="77"/>
        <v>0</v>
      </c>
    </row>
    <row r="149" spans="1:68">
      <c r="A149" s="155" t="s">
        <v>288</v>
      </c>
      <c r="B149" s="155" t="s">
        <v>1143</v>
      </c>
      <c r="C149" s="155" t="s">
        <v>208</v>
      </c>
      <c r="D149" s="155">
        <v>17.5</v>
      </c>
      <c r="E149" s="189">
        <v>1483.8702800000001</v>
      </c>
      <c r="F149" s="67">
        <v>50.000480000000003</v>
      </c>
      <c r="G149" s="67">
        <v>2410.8204000000001</v>
      </c>
      <c r="H149" s="67">
        <v>680.79204000000004</v>
      </c>
      <c r="I149" s="67">
        <v>0</v>
      </c>
      <c r="J149" s="67">
        <v>0</v>
      </c>
      <c r="K149" s="67">
        <v>0</v>
      </c>
      <c r="L149" s="67">
        <v>0</v>
      </c>
      <c r="M149" s="67">
        <v>0</v>
      </c>
      <c r="N149" s="67">
        <v>0</v>
      </c>
      <c r="O149" s="67">
        <v>0</v>
      </c>
      <c r="Q149" s="202" t="s">
        <v>288</v>
      </c>
      <c r="R149" s="202" t="s">
        <v>1143</v>
      </c>
      <c r="S149" s="202" t="s">
        <v>208</v>
      </c>
      <c r="U149" s="155"/>
      <c r="V149" s="155"/>
      <c r="W149" s="155"/>
      <c r="X149" s="155"/>
      <c r="Y149" s="155"/>
      <c r="Z149" s="155"/>
      <c r="AA149" s="155"/>
      <c r="AB149" s="155"/>
      <c r="AC149" s="155"/>
      <c r="AE149" s="76">
        <f t="shared" si="56"/>
        <v>0</v>
      </c>
      <c r="AF149" s="76">
        <f t="shared" si="57"/>
        <v>0</v>
      </c>
      <c r="AG149" s="76">
        <f t="shared" si="58"/>
        <v>0</v>
      </c>
      <c r="AH149" s="76">
        <f t="shared" si="59"/>
        <v>0</v>
      </c>
      <c r="AI149" s="76">
        <f t="shared" si="60"/>
        <v>0</v>
      </c>
      <c r="AJ149" s="76">
        <f t="shared" si="61"/>
        <v>0</v>
      </c>
      <c r="AK149" s="76">
        <f t="shared" si="62"/>
        <v>0</v>
      </c>
      <c r="AL149" s="76">
        <f t="shared" si="63"/>
        <v>0</v>
      </c>
      <c r="AM149" s="76">
        <f t="shared" si="64"/>
        <v>0</v>
      </c>
      <c r="AN149" s="76">
        <f t="shared" si="65"/>
        <v>0</v>
      </c>
      <c r="AP149" s="202" t="s">
        <v>288</v>
      </c>
      <c r="AQ149" s="202" t="s">
        <v>208</v>
      </c>
      <c r="AR149" s="155" cm="1">
        <f t="array" ref="AR149">_xlfn.IFS($AQ149=$AP$1,$AQ$1*AE149,$AQ149=$AP$2,$AQ$2*AE149,$AQ149=$AP$3,$AQ$3*AE149,$AQ149=$AP$4,$AQ$4*AE149)</f>
        <v>0</v>
      </c>
      <c r="AS149" s="155" cm="1">
        <f t="array" ref="AS149">_xlfn.IFS($AQ149=$AP$1,$AQ$1*AF149,$AQ149=$AP$2,$AQ$2*AF149,$AQ149=$AP$3,$AQ$3*AF149,$AQ149=$AP$4,$AQ$4*AF149)</f>
        <v>0</v>
      </c>
      <c r="AT149" s="155" cm="1">
        <f t="array" ref="AT149">_xlfn.IFS($AQ149=$AP$1,$AQ$1*AG149,$AQ149=$AP$2,$AQ$2*AG149,$AQ149=$AP$3,$AQ$3*AG149,$AQ149=$AP$4,$AQ$4*AG149)</f>
        <v>0</v>
      </c>
      <c r="AU149" s="155" cm="1">
        <f t="array" ref="AU149">_xlfn.IFS($AQ149=$AP$1,$AQ$1*AH149,$AQ149=$AP$2,$AQ$2*AH149,$AQ149=$AP$3,$AQ$3*AH149,$AQ149=$AP$4,$AQ$4*AH149)</f>
        <v>0</v>
      </c>
      <c r="AV149" s="155" cm="1">
        <f t="array" ref="AV149">_xlfn.IFS($AQ149=$AP$1,$AQ$1*AI149,$AQ149=$AP$2,$AQ$2*AI149,$AQ149=$AP$3,$AQ$3*AI149,$AQ149=$AP$4,$AQ$4*AI149)</f>
        <v>0</v>
      </c>
      <c r="AW149" s="155" cm="1">
        <f t="array" ref="AW149">_xlfn.IFS($AQ149=$AP$1,$AQ$1*AJ149,$AQ149=$AP$2,$AQ$2*AJ149,$AQ149=$AP$3,$AQ$3*AJ149,$AQ149=$AP$4,$AQ$4*AJ149)</f>
        <v>0</v>
      </c>
      <c r="AX149" s="155" cm="1">
        <f t="array" ref="AX149">_xlfn.IFS($AQ149=$AP$1,$AQ$1*AK149,$AQ149=$AP$2,$AQ$2*AK149,$AQ149=$AP$3,$AQ$3*AK149,$AQ149=$AP$4,$AQ$4*AK149)</f>
        <v>0</v>
      </c>
      <c r="AY149" s="155" cm="1">
        <f t="array" ref="AY149">_xlfn.IFS($AQ149=$AP$1,$AQ$1*AL149,$AQ149=$AP$2,$AQ$2*AL149,$AQ149=$AP$3,$AQ$3*AL149,$AQ149=$AP$4,$AQ$4*AL149)</f>
        <v>0</v>
      </c>
      <c r="AZ149" s="155" cm="1">
        <f t="array" ref="AZ149">_xlfn.IFS($AQ149=$AP$1,$AQ$1*AM149,$AQ149=$AP$2,$AQ$2*AM149,$AQ149=$AP$3,$AQ$3*AM149,$AQ149=$AP$4,$AQ$4*AM149)</f>
        <v>0</v>
      </c>
      <c r="BA149" s="155" cm="1">
        <f t="array" ref="BA149">_xlfn.IFS($AQ149=$AP$1,$AQ$1*AN149,$AQ149=$AP$2,$AQ$2*AN149,$AQ149=$AP$3,$AQ$3*AN149,$AQ149=$AP$4,$AQ$4*AN149)</f>
        <v>0</v>
      </c>
      <c r="BB149" s="155"/>
      <c r="BC149" s="155" t="str">
        <f>Table2[[#This Row],[FN Parent  '#]]</f>
        <v>FN011010</v>
      </c>
      <c r="BD149" s="155">
        <f t="shared" si="66"/>
        <v>0</v>
      </c>
      <c r="BF149" s="155" t="str">
        <f t="shared" si="67"/>
        <v/>
      </c>
      <c r="BG149" s="155" t="str">
        <f t="shared" si="68"/>
        <v/>
      </c>
      <c r="BH149" s="155" t="str">
        <f t="shared" si="69"/>
        <v/>
      </c>
      <c r="BI149" s="155" t="str">
        <f t="shared" si="70"/>
        <v/>
      </c>
      <c r="BJ149" s="155" t="str">
        <f t="shared" si="71"/>
        <v/>
      </c>
      <c r="BK149" s="155" t="str">
        <f t="shared" si="72"/>
        <v/>
      </c>
      <c r="BL149" s="155" t="str">
        <f t="shared" si="73"/>
        <v/>
      </c>
      <c r="BM149" s="155" t="str">
        <f t="shared" si="74"/>
        <v/>
      </c>
      <c r="BN149" s="155" t="str">
        <f t="shared" si="75"/>
        <v/>
      </c>
      <c r="BO149" s="155" t="str">
        <f t="shared" si="76"/>
        <v/>
      </c>
      <c r="BP149" s="155">
        <f t="shared" si="77"/>
        <v>0</v>
      </c>
    </row>
    <row r="150" spans="1:68">
      <c r="A150" s="155" t="s">
        <v>288</v>
      </c>
      <c r="B150" s="155" t="s">
        <v>1143</v>
      </c>
      <c r="C150" s="155" t="s">
        <v>207</v>
      </c>
      <c r="D150" s="155">
        <v>17.5</v>
      </c>
      <c r="E150" s="189">
        <v>11.579000000000001</v>
      </c>
      <c r="F150" s="67">
        <v>0</v>
      </c>
      <c r="G150" s="67">
        <v>0</v>
      </c>
      <c r="H150" s="67">
        <v>0</v>
      </c>
      <c r="I150" s="67">
        <v>0</v>
      </c>
      <c r="J150" s="67">
        <v>0</v>
      </c>
      <c r="K150" s="67">
        <v>439.12700000000001</v>
      </c>
      <c r="L150" s="67">
        <v>0</v>
      </c>
      <c r="M150" s="67">
        <v>0</v>
      </c>
      <c r="N150" s="67">
        <v>0</v>
      </c>
      <c r="O150" s="67">
        <v>0</v>
      </c>
      <c r="Q150" s="201" t="s">
        <v>288</v>
      </c>
      <c r="R150" s="201" t="s">
        <v>1143</v>
      </c>
      <c r="S150" s="201" t="s">
        <v>207</v>
      </c>
      <c r="T150" s="76">
        <f>SUM($E150:F151)</f>
        <v>17242.899259999998</v>
      </c>
      <c r="U150" s="76">
        <f>SUM($E150:G151)</f>
        <v>25412.193769999998</v>
      </c>
      <c r="V150" s="76">
        <f>SUM($E150:H151)</f>
        <v>34299.014209999994</v>
      </c>
      <c r="W150" s="76">
        <f>SUM($E150:I151)</f>
        <v>34979.412929999991</v>
      </c>
      <c r="X150" s="76">
        <f>SUM($E150:J151)</f>
        <v>34979.412929999991</v>
      </c>
      <c r="Y150" s="76">
        <f>SUM($E150:K151)</f>
        <v>35418.539929999999</v>
      </c>
      <c r="Z150" s="76">
        <f>SUM($E150:L151)</f>
        <v>35418.539929999999</v>
      </c>
      <c r="AA150" s="76">
        <f>SUM($E150:M151)</f>
        <v>35418.539929999999</v>
      </c>
      <c r="AB150" s="76">
        <f>SUM($E150:N151)</f>
        <v>35418.539929999999</v>
      </c>
      <c r="AC150" s="76">
        <f>SUM($E150:O151)</f>
        <v>35418.539929999999</v>
      </c>
      <c r="AE150" s="76">
        <f t="shared" si="56"/>
        <v>17242.899259999998</v>
      </c>
      <c r="AF150" s="76">
        <f t="shared" si="57"/>
        <v>25945.849839169994</v>
      </c>
      <c r="AG150" s="76">
        <f t="shared" si="58"/>
        <v>35754.698672086597</v>
      </c>
      <c r="AH150" s="76">
        <f t="shared" si="59"/>
        <v>37229.717652239517</v>
      </c>
      <c r="AI150" s="76">
        <f t="shared" si="60"/>
        <v>38011.541722936534</v>
      </c>
      <c r="AJ150" s="76">
        <f t="shared" si="61"/>
        <v>39296.997080542409</v>
      </c>
      <c r="AK150" s="76">
        <f t="shared" si="62"/>
        <v>40122.234019233794</v>
      </c>
      <c r="AL150" s="76">
        <f t="shared" si="63"/>
        <v>40964.8009336377</v>
      </c>
      <c r="AM150" s="76">
        <f t="shared" si="64"/>
        <v>41825.061753244081</v>
      </c>
      <c r="AN150" s="76">
        <f t="shared" si="65"/>
        <v>42703.388050062204</v>
      </c>
      <c r="AP150" s="201" t="s">
        <v>288</v>
      </c>
      <c r="AQ150" s="201" t="s">
        <v>207</v>
      </c>
      <c r="AR150" s="155" cm="1">
        <f t="array" ref="AR150">_xlfn.IFS($AQ150=$AP$1,$AQ$1*AE150,$AQ150=$AP$2,$AQ$2*AE150,$AQ150=$AP$3,$AQ$3*AE150,$AQ150=$AP$4,$AQ$4*AE150)</f>
        <v>1389.6412523364841</v>
      </c>
      <c r="AS150" s="155" cm="1">
        <f t="array" ref="AS150">_xlfn.IFS($AQ150=$AP$1,$AQ$1*AF150,$AQ150=$AP$2,$AQ$2*AF150,$AQ150=$AP$3,$AQ$3*AF150,$AQ150=$AP$4,$AQ$4*AF150)</f>
        <v>2091.0302101619168</v>
      </c>
      <c r="AT150" s="155" cm="1">
        <f t="array" ref="AT150">_xlfn.IFS($AQ150=$AP$1,$AQ$1*AG150,$AQ150=$AP$2,$AQ$2*AG150,$AQ150=$AP$3,$AQ$3*AG150,$AQ150=$AP$4,$AQ$4*AG150)</f>
        <v>2881.5458172312055</v>
      </c>
      <c r="AU150" s="155" cm="1">
        <f t="array" ref="AU150">_xlfn.IFS($AQ150=$AP$1,$AQ$1*AH150,$AQ150=$AP$2,$AQ$2*AH150,$AQ150=$AP$3,$AQ$3*AH150,$AQ150=$AP$4,$AQ$4*AH150)</f>
        <v>3000.420676493115</v>
      </c>
      <c r="AV150" s="155" cm="1">
        <f t="array" ref="AV150">_xlfn.IFS($AQ150=$AP$1,$AQ$1*AI150,$AQ150=$AP$2,$AQ$2*AI150,$AQ150=$AP$3,$AQ$3*AI150,$AQ150=$AP$4,$AQ$4*AI150)</f>
        <v>3063.4295106994696</v>
      </c>
      <c r="AW150" s="155" cm="1">
        <f t="array" ref="AW150">_xlfn.IFS($AQ150=$AP$1,$AQ$1*AJ150,$AQ150=$AP$2,$AQ$2*AJ150,$AQ150=$AP$3,$AQ$3*AJ150,$AQ150=$AP$4,$AQ$4*AJ150)</f>
        <v>3167.0270418356613</v>
      </c>
      <c r="AX150" s="155" cm="1">
        <f t="array" ref="AX150">_xlfn.IFS($AQ150=$AP$1,$AQ$1*AK150,$AQ150=$AP$2,$AQ$2*AK150,$AQ150=$AP$3,$AQ$3*AK150,$AQ150=$AP$4,$AQ$4*AK150)</f>
        <v>3233.5346097142096</v>
      </c>
      <c r="AY150" s="155" cm="1">
        <f t="array" ref="AY150">_xlfn.IFS($AQ150=$AP$1,$AQ$1*AL150,$AQ150=$AP$2,$AQ$2*AL150,$AQ150=$AP$3,$AQ$3*AL150,$AQ150=$AP$4,$AQ$4*AL150)</f>
        <v>3301.4388365182081</v>
      </c>
      <c r="AZ150" s="155" cm="1">
        <f t="array" ref="AZ150">_xlfn.IFS($AQ150=$AP$1,$AQ$1*AM150,$AQ150=$AP$2,$AQ$2*AM150,$AQ150=$AP$3,$AQ$3*AM150,$AQ150=$AP$4,$AQ$4*AM150)</f>
        <v>3370.7690520850892</v>
      </c>
      <c r="BA150" s="155" cm="1">
        <f t="array" ref="BA150">_xlfn.IFS($AQ150=$AP$1,$AQ$1*AN150,$AQ150=$AP$2,$AQ$2*AN150,$AQ150=$AP$3,$AQ$3*AN150,$AQ150=$AP$4,$AQ$4*AN150)</f>
        <v>3441.5552021788762</v>
      </c>
      <c r="BB150" s="155">
        <f>Table2[[#This Row],[FINAL Project System Capacity (MW)]]</f>
        <v>17.5</v>
      </c>
      <c r="BC150" s="155" t="str">
        <f>Table2[[#This Row],[FN Parent  '#]]</f>
        <v>FN011010</v>
      </c>
      <c r="BD150" s="155">
        <f t="shared" si="66"/>
        <v>17.5</v>
      </c>
      <c r="BF150" s="155">
        <f t="shared" si="67"/>
        <v>79.4080715620848</v>
      </c>
      <c r="BG150" s="155">
        <f t="shared" si="68"/>
        <v>119.48744058068095</v>
      </c>
      <c r="BH150" s="155">
        <f t="shared" si="69"/>
        <v>164.65976098464031</v>
      </c>
      <c r="BI150" s="155">
        <f t="shared" si="70"/>
        <v>171.45261008532086</v>
      </c>
      <c r="BJ150" s="155">
        <f t="shared" si="71"/>
        <v>175.05311489711255</v>
      </c>
      <c r="BK150" s="155">
        <f t="shared" si="72"/>
        <v>180.97297381918065</v>
      </c>
      <c r="BL150" s="155">
        <f t="shared" si="73"/>
        <v>184.7734062693834</v>
      </c>
      <c r="BM150" s="155">
        <f t="shared" si="74"/>
        <v>188.65364780104045</v>
      </c>
      <c r="BN150" s="155">
        <f t="shared" si="75"/>
        <v>192.61537440486225</v>
      </c>
      <c r="BO150" s="155">
        <f t="shared" si="76"/>
        <v>196.66029726736437</v>
      </c>
      <c r="BP150" s="155">
        <f t="shared" si="77"/>
        <v>159.40411191133387</v>
      </c>
    </row>
    <row r="151" spans="1:68">
      <c r="A151" s="155" t="s">
        <v>288</v>
      </c>
      <c r="B151" s="155" t="s">
        <v>1143</v>
      </c>
      <c r="C151" s="155" t="s">
        <v>207</v>
      </c>
      <c r="D151" s="155">
        <v>17.5</v>
      </c>
      <c r="E151" s="189">
        <v>15411.12312</v>
      </c>
      <c r="F151" s="67">
        <v>1820.19714</v>
      </c>
      <c r="G151" s="67">
        <v>8169.2945099999997</v>
      </c>
      <c r="H151" s="67">
        <v>8886.8204399999995</v>
      </c>
      <c r="I151" s="67">
        <v>680.39872000000003</v>
      </c>
      <c r="J151" s="67">
        <v>0</v>
      </c>
      <c r="K151" s="67">
        <v>0</v>
      </c>
      <c r="L151" s="67">
        <v>0</v>
      </c>
      <c r="M151" s="67">
        <v>0</v>
      </c>
      <c r="N151" s="67">
        <v>0</v>
      </c>
      <c r="O151" s="67">
        <v>0</v>
      </c>
      <c r="Q151" s="202" t="s">
        <v>288</v>
      </c>
      <c r="R151" s="202" t="s">
        <v>1143</v>
      </c>
      <c r="S151" s="202" t="s">
        <v>207</v>
      </c>
      <c r="U151" s="155"/>
      <c r="V151" s="155"/>
      <c r="W151" s="155"/>
      <c r="X151" s="155"/>
      <c r="Y151" s="155"/>
      <c r="Z151" s="155"/>
      <c r="AA151" s="155"/>
      <c r="AB151" s="155"/>
      <c r="AC151" s="155"/>
      <c r="AE151" s="76">
        <f t="shared" si="56"/>
        <v>0</v>
      </c>
      <c r="AF151" s="76">
        <f t="shared" si="57"/>
        <v>0</v>
      </c>
      <c r="AG151" s="76">
        <f t="shared" si="58"/>
        <v>0</v>
      </c>
      <c r="AH151" s="76">
        <f t="shared" si="59"/>
        <v>0</v>
      </c>
      <c r="AI151" s="76">
        <f t="shared" si="60"/>
        <v>0</v>
      </c>
      <c r="AJ151" s="76">
        <f t="shared" si="61"/>
        <v>0</v>
      </c>
      <c r="AK151" s="76">
        <f t="shared" si="62"/>
        <v>0</v>
      </c>
      <c r="AL151" s="76">
        <f t="shared" si="63"/>
        <v>0</v>
      </c>
      <c r="AM151" s="76">
        <f t="shared" si="64"/>
        <v>0</v>
      </c>
      <c r="AN151" s="76">
        <f t="shared" si="65"/>
        <v>0</v>
      </c>
      <c r="AP151" s="202" t="s">
        <v>288</v>
      </c>
      <c r="AQ151" s="202" t="s">
        <v>207</v>
      </c>
      <c r="AR151" s="155" cm="1">
        <f t="array" ref="AR151">_xlfn.IFS($AQ151=$AP$1,$AQ$1*AE151,$AQ151=$AP$2,$AQ$2*AE151,$AQ151=$AP$3,$AQ$3*AE151,$AQ151=$AP$4,$AQ$4*AE151)</f>
        <v>0</v>
      </c>
      <c r="AS151" s="155" cm="1">
        <f t="array" ref="AS151">_xlfn.IFS($AQ151=$AP$1,$AQ$1*AF151,$AQ151=$AP$2,$AQ$2*AF151,$AQ151=$AP$3,$AQ$3*AF151,$AQ151=$AP$4,$AQ$4*AF151)</f>
        <v>0</v>
      </c>
      <c r="AT151" s="155" cm="1">
        <f t="array" ref="AT151">_xlfn.IFS($AQ151=$AP$1,$AQ$1*AG151,$AQ151=$AP$2,$AQ$2*AG151,$AQ151=$AP$3,$AQ$3*AG151,$AQ151=$AP$4,$AQ$4*AG151)</f>
        <v>0</v>
      </c>
      <c r="AU151" s="155" cm="1">
        <f t="array" ref="AU151">_xlfn.IFS($AQ151=$AP$1,$AQ$1*AH151,$AQ151=$AP$2,$AQ$2*AH151,$AQ151=$AP$3,$AQ$3*AH151,$AQ151=$AP$4,$AQ$4*AH151)</f>
        <v>0</v>
      </c>
      <c r="AV151" s="155" cm="1">
        <f t="array" ref="AV151">_xlfn.IFS($AQ151=$AP$1,$AQ$1*AI151,$AQ151=$AP$2,$AQ$2*AI151,$AQ151=$AP$3,$AQ$3*AI151,$AQ151=$AP$4,$AQ$4*AI151)</f>
        <v>0</v>
      </c>
      <c r="AW151" s="155" cm="1">
        <f t="array" ref="AW151">_xlfn.IFS($AQ151=$AP$1,$AQ$1*AJ151,$AQ151=$AP$2,$AQ$2*AJ151,$AQ151=$AP$3,$AQ$3*AJ151,$AQ151=$AP$4,$AQ$4*AJ151)</f>
        <v>0</v>
      </c>
      <c r="AX151" s="155" cm="1">
        <f t="array" ref="AX151">_xlfn.IFS($AQ151=$AP$1,$AQ$1*AK151,$AQ151=$AP$2,$AQ$2*AK151,$AQ151=$AP$3,$AQ$3*AK151,$AQ151=$AP$4,$AQ$4*AK151)</f>
        <v>0</v>
      </c>
      <c r="AY151" s="155" cm="1">
        <f t="array" ref="AY151">_xlfn.IFS($AQ151=$AP$1,$AQ$1*AL151,$AQ151=$AP$2,$AQ$2*AL151,$AQ151=$AP$3,$AQ$3*AL151,$AQ151=$AP$4,$AQ$4*AL151)</f>
        <v>0</v>
      </c>
      <c r="AZ151" s="155" cm="1">
        <f t="array" ref="AZ151">_xlfn.IFS($AQ151=$AP$1,$AQ$1*AM151,$AQ151=$AP$2,$AQ$2*AM151,$AQ151=$AP$3,$AQ$3*AM151,$AQ151=$AP$4,$AQ$4*AM151)</f>
        <v>0</v>
      </c>
      <c r="BA151" s="155" cm="1">
        <f t="array" ref="BA151">_xlfn.IFS($AQ151=$AP$1,$AQ$1*AN151,$AQ151=$AP$2,$AQ$2*AN151,$AQ151=$AP$3,$AQ$3*AN151,$AQ151=$AP$4,$AQ$4*AN151)</f>
        <v>0</v>
      </c>
      <c r="BB151" s="155"/>
      <c r="BC151" s="155" t="str">
        <f>Table2[[#This Row],[FN Parent  '#]]</f>
        <v>FN011010</v>
      </c>
      <c r="BD151" s="155">
        <f t="shared" si="66"/>
        <v>0</v>
      </c>
      <c r="BF151" s="155" t="str">
        <f t="shared" si="67"/>
        <v/>
      </c>
      <c r="BG151" s="155" t="str">
        <f t="shared" si="68"/>
        <v/>
      </c>
      <c r="BH151" s="155" t="str">
        <f t="shared" si="69"/>
        <v/>
      </c>
      <c r="BI151" s="155" t="str">
        <f t="shared" si="70"/>
        <v/>
      </c>
      <c r="BJ151" s="155" t="str">
        <f t="shared" si="71"/>
        <v/>
      </c>
      <c r="BK151" s="155" t="str">
        <f t="shared" si="72"/>
        <v/>
      </c>
      <c r="BL151" s="155" t="str">
        <f t="shared" si="73"/>
        <v/>
      </c>
      <c r="BM151" s="155" t="str">
        <f t="shared" si="74"/>
        <v/>
      </c>
      <c r="BN151" s="155" t="str">
        <f t="shared" si="75"/>
        <v/>
      </c>
      <c r="BO151" s="155" t="str">
        <f t="shared" si="76"/>
        <v/>
      </c>
      <c r="BP151" s="155">
        <f t="shared" si="77"/>
        <v>0</v>
      </c>
    </row>
    <row r="152" spans="1:68">
      <c r="A152" s="155" t="s">
        <v>289</v>
      </c>
      <c r="B152" s="155" t="s">
        <v>1345</v>
      </c>
      <c r="C152" s="155" t="s">
        <v>207</v>
      </c>
      <c r="D152" s="155">
        <v>2</v>
      </c>
      <c r="E152" s="189">
        <v>0</v>
      </c>
      <c r="F152" s="67">
        <v>0</v>
      </c>
      <c r="G152" s="67">
        <v>0</v>
      </c>
      <c r="H152" s="67">
        <v>0</v>
      </c>
      <c r="I152" s="67">
        <v>0</v>
      </c>
      <c r="J152" s="67">
        <v>10</v>
      </c>
      <c r="K152" s="67">
        <v>40</v>
      </c>
      <c r="L152" s="67">
        <v>1050</v>
      </c>
      <c r="M152" s="67">
        <v>2300</v>
      </c>
      <c r="N152" s="67">
        <v>800</v>
      </c>
      <c r="O152" s="67">
        <v>0</v>
      </c>
      <c r="Q152" s="201" t="s">
        <v>289</v>
      </c>
      <c r="R152" s="201" t="s">
        <v>1345</v>
      </c>
      <c r="S152" s="201" t="s">
        <v>207</v>
      </c>
      <c r="T152" s="76">
        <f>SUM($E152:F152)</f>
        <v>0</v>
      </c>
      <c r="U152" s="76">
        <f>SUM($E152:G152)</f>
        <v>0</v>
      </c>
      <c r="V152" s="76">
        <f>SUM($E152:H152)</f>
        <v>0</v>
      </c>
      <c r="W152" s="76">
        <f>SUM($E152:I152)</f>
        <v>0</v>
      </c>
      <c r="X152" s="76">
        <f>SUM($E152:J152)</f>
        <v>10</v>
      </c>
      <c r="Y152" s="76">
        <f>SUM($E152:K152)</f>
        <v>50</v>
      </c>
      <c r="Z152" s="76">
        <f>SUM($E152:L152)</f>
        <v>1100</v>
      </c>
      <c r="AA152" s="76">
        <f>SUM($E152:M152)</f>
        <v>3400</v>
      </c>
      <c r="AB152" s="76">
        <f>SUM($E152:N152)</f>
        <v>4200</v>
      </c>
      <c r="AC152" s="76">
        <f>SUM($E152:O152)</f>
        <v>4200</v>
      </c>
      <c r="AE152" s="76">
        <f t="shared" si="56"/>
        <v>0</v>
      </c>
      <c r="AF152" s="76">
        <f t="shared" si="57"/>
        <v>0</v>
      </c>
      <c r="AG152" s="76">
        <f t="shared" si="58"/>
        <v>0</v>
      </c>
      <c r="AH152" s="76">
        <f t="shared" si="59"/>
        <v>0</v>
      </c>
      <c r="AI152" s="76">
        <f t="shared" si="60"/>
        <v>10.866832384809994</v>
      </c>
      <c r="AJ152" s="76">
        <f t="shared" si="61"/>
        <v>55.475179324455013</v>
      </c>
      <c r="AK152" s="76">
        <f t="shared" si="62"/>
        <v>1246.0834779859085</v>
      </c>
      <c r="AL152" s="76">
        <f t="shared" si="63"/>
        <v>3932.4128958911656</v>
      </c>
      <c r="AM152" s="76">
        <f t="shared" si="64"/>
        <v>4959.6979353413217</v>
      </c>
      <c r="AN152" s="76">
        <f t="shared" si="65"/>
        <v>5063.8515919834881</v>
      </c>
      <c r="AP152" s="201" t="s">
        <v>289</v>
      </c>
      <c r="AQ152" s="201" t="s">
        <v>207</v>
      </c>
      <c r="AR152" s="155" cm="1">
        <f t="array" ref="AR152">_xlfn.IFS($AQ152=$AP$1,$AQ$1*AE152,$AQ152=$AP$2,$AQ$2*AE152,$AQ152=$AP$3,$AQ$3*AE152,$AQ152=$AP$4,$AQ$4*AE152)</f>
        <v>0</v>
      </c>
      <c r="AS152" s="155" cm="1">
        <f t="array" ref="AS152">_xlfn.IFS($AQ152=$AP$1,$AQ$1*AF152,$AQ152=$AP$2,$AQ$2*AF152,$AQ152=$AP$3,$AQ$3*AF152,$AQ152=$AP$4,$AQ$4*AF152)</f>
        <v>0</v>
      </c>
      <c r="AT152" s="155" cm="1">
        <f t="array" ref="AT152">_xlfn.IFS($AQ152=$AP$1,$AQ$1*AG152,$AQ152=$AP$2,$AQ$2*AG152,$AQ152=$AP$3,$AQ$3*AG152,$AQ152=$AP$4,$AQ$4*AG152)</f>
        <v>0</v>
      </c>
      <c r="AU152" s="155" cm="1">
        <f t="array" ref="AU152">_xlfn.IFS($AQ152=$AP$1,$AQ$1*AH152,$AQ152=$AP$2,$AQ$2*AH152,$AQ152=$AP$3,$AQ$3*AH152,$AQ152=$AP$4,$AQ$4*AH152)</f>
        <v>0</v>
      </c>
      <c r="AV152" s="155" cm="1">
        <f t="array" ref="AV152">_xlfn.IFS($AQ152=$AP$1,$AQ$1*AI152,$AQ152=$AP$2,$AQ$2*AI152,$AQ152=$AP$3,$AQ$3*AI152,$AQ152=$AP$4,$AQ$4*AI152)</f>
        <v>0.87578071045101169</v>
      </c>
      <c r="AW152" s="155" cm="1">
        <f t="array" ref="AW152">_xlfn.IFS($AQ152=$AP$1,$AQ$1*AJ152,$AQ152=$AP$2,$AQ$2*AJ152,$AQ152=$AP$3,$AQ$3*AJ152,$AQ152=$AP$4,$AQ$4*AJ152)</f>
        <v>4.4708605268524142</v>
      </c>
      <c r="AX152" s="155" cm="1">
        <f t="array" ref="AX152">_xlfn.IFS($AQ152=$AP$1,$AQ$1*AK152,$AQ152=$AP$2,$AQ$2*AK152,$AQ152=$AP$3,$AQ$3*AK152,$AQ152=$AP$4,$AQ$4*AK152)</f>
        <v>100.42446915415893</v>
      </c>
      <c r="AY152" s="155" cm="1">
        <f t="array" ref="AY152">_xlfn.IFS($AQ152=$AP$1,$AQ$1*AL152,$AQ152=$AP$2,$AQ$2*AL152,$AQ152=$AP$3,$AQ$3*AL152,$AQ152=$AP$4,$AQ$4*AL152)</f>
        <v>316.92136565613384</v>
      </c>
      <c r="AZ152" s="155" cm="1">
        <f t="array" ref="AZ152">_xlfn.IFS($AQ152=$AP$1,$AQ$1*AM152,$AQ152=$AP$2,$AQ$2*AM152,$AQ152=$AP$3,$AQ$3*AM152,$AQ152=$AP$4,$AQ$4*AM152)</f>
        <v>399.71241182548027</v>
      </c>
      <c r="BA152" s="155" cm="1">
        <f t="array" ref="BA152">_xlfn.IFS($AQ152=$AP$1,$AQ$1*AN152,$AQ152=$AP$2,$AQ$2*AN152,$AQ152=$AP$3,$AQ$3*AN152,$AQ152=$AP$4,$AQ$4*AN152)</f>
        <v>408.10637247381527</v>
      </c>
      <c r="BB152" s="155">
        <f>Table2[[#This Row],[FINAL Project System Capacity (MW)]]</f>
        <v>2</v>
      </c>
      <c r="BC152" s="155" t="str">
        <f>Table2[[#This Row],[FN Parent  '#]]</f>
        <v>Individual Project</v>
      </c>
      <c r="BD152" s="155">
        <f t="shared" si="66"/>
        <v>2</v>
      </c>
      <c r="BE152" s="155">
        <f t="shared" si="78"/>
        <v>2</v>
      </c>
      <c r="BF152" s="155">
        <f t="shared" si="67"/>
        <v>0</v>
      </c>
      <c r="BG152" s="155">
        <f t="shared" si="68"/>
        <v>0</v>
      </c>
      <c r="BH152" s="155">
        <f t="shared" si="69"/>
        <v>0</v>
      </c>
      <c r="BI152" s="155">
        <f t="shared" si="70"/>
        <v>0</v>
      </c>
      <c r="BJ152" s="155">
        <f t="shared" si="71"/>
        <v>0.43789035522550585</v>
      </c>
      <c r="BK152" s="155">
        <f t="shared" si="72"/>
        <v>2.2354302634262071</v>
      </c>
      <c r="BL152" s="155">
        <f t="shared" si="73"/>
        <v>50.212234577079464</v>
      </c>
      <c r="BM152" s="155">
        <f t="shared" si="74"/>
        <v>158.46068282806692</v>
      </c>
      <c r="BN152" s="155">
        <f t="shared" si="75"/>
        <v>199.85620591274014</v>
      </c>
      <c r="BO152" s="155">
        <f t="shared" si="76"/>
        <v>204.05318623690764</v>
      </c>
      <c r="BP152" s="155">
        <f t="shared" si="77"/>
        <v>48.313414878272326</v>
      </c>
    </row>
    <row r="153" spans="1:68">
      <c r="A153" s="155" t="s">
        <v>290</v>
      </c>
      <c r="B153" s="155" t="s">
        <v>974</v>
      </c>
      <c r="C153" s="155" t="s">
        <v>208</v>
      </c>
      <c r="D153" s="155">
        <v>10</v>
      </c>
      <c r="E153" s="189">
        <v>15083.872960000001</v>
      </c>
      <c r="F153" s="67">
        <v>1225.19346</v>
      </c>
      <c r="G153" s="67">
        <v>0</v>
      </c>
      <c r="H153" s="67">
        <v>0</v>
      </c>
      <c r="I153" s="67">
        <v>0</v>
      </c>
      <c r="J153" s="67">
        <v>0</v>
      </c>
      <c r="K153" s="67">
        <v>0</v>
      </c>
      <c r="L153" s="67">
        <v>0</v>
      </c>
      <c r="M153" s="67">
        <v>0</v>
      </c>
      <c r="N153" s="67">
        <v>0</v>
      </c>
      <c r="O153" s="67">
        <v>0</v>
      </c>
      <c r="Q153" s="202" t="s">
        <v>290</v>
      </c>
      <c r="R153" s="202" t="s">
        <v>974</v>
      </c>
      <c r="S153" s="202" t="s">
        <v>208</v>
      </c>
      <c r="T153" s="76">
        <f>SUM($E153:F153)</f>
        <v>16309.066420000001</v>
      </c>
      <c r="U153" s="76">
        <f>SUM($E153:G153)</f>
        <v>16309.066420000001</v>
      </c>
      <c r="V153" s="76">
        <f>SUM($E153:H153)</f>
        <v>16309.066420000001</v>
      </c>
      <c r="W153" s="76">
        <f>SUM($E153:I153)</f>
        <v>16309.066420000001</v>
      </c>
      <c r="X153" s="76">
        <f>SUM($E153:J153)</f>
        <v>16309.066420000001</v>
      </c>
      <c r="Y153" s="76">
        <f>SUM($E153:K153)</f>
        <v>16309.066420000001</v>
      </c>
      <c r="Z153" s="76">
        <f>SUM($E153:L153)</f>
        <v>16309.066420000001</v>
      </c>
      <c r="AA153" s="76">
        <f>SUM($E153:M153)</f>
        <v>16309.066420000001</v>
      </c>
      <c r="AB153" s="76">
        <f>SUM($E153:N153)</f>
        <v>16309.066420000001</v>
      </c>
      <c r="AC153" s="76">
        <f>SUM($E153:O153)</f>
        <v>16309.066420000001</v>
      </c>
      <c r="AE153" s="76">
        <f t="shared" si="56"/>
        <v>16309.066420000001</v>
      </c>
      <c r="AF153" s="76">
        <f t="shared" si="57"/>
        <v>16651.55681482</v>
      </c>
      <c r="AG153" s="76">
        <f t="shared" si="58"/>
        <v>17001.239507931215</v>
      </c>
      <c r="AH153" s="76">
        <f t="shared" si="59"/>
        <v>17358.26553759777</v>
      </c>
      <c r="AI153" s="76">
        <f t="shared" si="60"/>
        <v>17722.78911388732</v>
      </c>
      <c r="AJ153" s="76">
        <f t="shared" si="61"/>
        <v>18094.967685278953</v>
      </c>
      <c r="AK153" s="76">
        <f t="shared" si="62"/>
        <v>18474.962006669808</v>
      </c>
      <c r="AL153" s="76">
        <f t="shared" si="63"/>
        <v>18862.936208809871</v>
      </c>
      <c r="AM153" s="76">
        <f t="shared" si="64"/>
        <v>19259.057869194876</v>
      </c>
      <c r="AN153" s="76">
        <f t="shared" si="65"/>
        <v>19663.498084447965</v>
      </c>
      <c r="AP153" s="202" t="s">
        <v>290</v>
      </c>
      <c r="AQ153" s="202" t="s">
        <v>208</v>
      </c>
      <c r="AR153" s="155" cm="1">
        <f t="array" ref="AR153">_xlfn.IFS($AQ153=$AP$1,$AQ$1*AE153,$AQ153=$AP$2,$AQ$2*AE153,$AQ153=$AP$3,$AQ$3*AE153,$AQ153=$AP$4,$AQ$4*AE153)</f>
        <v>2304.3513293881001</v>
      </c>
      <c r="AS153" s="155" cm="1">
        <f t="array" ref="AS153">_xlfn.IFS($AQ153=$AP$1,$AQ$1*AF153,$AQ153=$AP$2,$AQ$2*AF153,$AQ153=$AP$3,$AQ$3*AF153,$AQ153=$AP$4,$AQ$4*AF153)</f>
        <v>2352.74270730525</v>
      </c>
      <c r="AT153" s="155" cm="1">
        <f t="array" ref="AT153">_xlfn.IFS($AQ153=$AP$1,$AQ$1*AG153,$AQ153=$AP$2,$AQ$2*AG153,$AQ153=$AP$3,$AQ$3*AG153,$AQ153=$AP$4,$AQ$4*AG153)</f>
        <v>2402.1503041586598</v>
      </c>
      <c r="AU153" s="155" cm="1">
        <f t="array" ref="AU153">_xlfn.IFS($AQ153=$AP$1,$AQ$1*AH153,$AQ153=$AP$2,$AQ$2*AH153,$AQ153=$AP$3,$AQ$3*AH153,$AQ153=$AP$4,$AQ$4*AH153)</f>
        <v>2452.5954605459915</v>
      </c>
      <c r="AV153" s="155" cm="1">
        <f t="array" ref="AV153">_xlfn.IFS($AQ153=$AP$1,$AQ$1*AI153,$AQ153=$AP$2,$AQ$2*AI153,$AQ153=$AP$3,$AQ$3*AI153,$AQ153=$AP$4,$AQ$4*AI153)</f>
        <v>2504.0999652174569</v>
      </c>
      <c r="AW153" s="155" cm="1">
        <f t="array" ref="AW153">_xlfn.IFS($AQ153=$AP$1,$AQ$1*AJ153,$AQ153=$AP$2,$AQ$2*AJ153,$AQ153=$AP$3,$AQ$3*AJ153,$AQ153=$AP$4,$AQ$4*AJ153)</f>
        <v>2556.686064487023</v>
      </c>
      <c r="AX153" s="155" cm="1">
        <f t="array" ref="AX153">_xlfn.IFS($AQ153=$AP$1,$AQ$1*AK153,$AQ153=$AP$2,$AQ$2*AK153,$AQ153=$AP$3,$AQ$3*AK153,$AQ153=$AP$4,$AQ$4*AK153)</f>
        <v>2610.3764718412503</v>
      </c>
      <c r="AY153" s="155" cm="1">
        <f t="array" ref="AY153">_xlfn.IFS($AQ153=$AP$1,$AQ$1*AL153,$AQ153=$AP$2,$AQ$2*AL153,$AQ153=$AP$3,$AQ$3*AL153,$AQ153=$AP$4,$AQ$4*AL153)</f>
        <v>2665.1943777499159</v>
      </c>
      <c r="AZ153" s="155" cm="1">
        <f t="array" ref="AZ153">_xlfn.IFS($AQ153=$AP$1,$AQ$1*AM153,$AQ153=$AP$2,$AQ$2*AM153,$AQ153=$AP$3,$AQ$3*AM153,$AQ153=$AP$4,$AQ$4*AM153)</f>
        <v>2721.1634596826639</v>
      </c>
      <c r="BA153" s="155" cm="1">
        <f t="array" ref="BA153">_xlfn.IFS($AQ153=$AP$1,$AQ$1*AN153,$AQ153=$AP$2,$AQ$2*AN153,$AQ153=$AP$3,$AQ$3*AN153,$AQ153=$AP$4,$AQ$4*AN153)</f>
        <v>2778.3078923359994</v>
      </c>
      <c r="BB153" s="155">
        <f>Table2[[#This Row],[FINAL Project System Capacity (MW)]]</f>
        <v>10</v>
      </c>
      <c r="BC153" s="155" t="str">
        <f>Table2[[#This Row],[FN Parent  '#]]</f>
        <v>FN005761</v>
      </c>
      <c r="BD153" s="155">
        <f t="shared" si="66"/>
        <v>10</v>
      </c>
      <c r="BE153" s="155">
        <f t="shared" si="78"/>
        <v>10</v>
      </c>
      <c r="BF153" s="155">
        <f t="shared" si="67"/>
        <v>230.43513293881</v>
      </c>
      <c r="BG153" s="155">
        <f t="shared" si="68"/>
        <v>235.27427073052499</v>
      </c>
      <c r="BH153" s="155">
        <f t="shared" si="69"/>
        <v>240.21503041586598</v>
      </c>
      <c r="BI153" s="155">
        <f t="shared" si="70"/>
        <v>245.25954605459916</v>
      </c>
      <c r="BJ153" s="155">
        <f t="shared" si="71"/>
        <v>250.40999652174568</v>
      </c>
      <c r="BK153" s="155">
        <f t="shared" si="72"/>
        <v>255.66860644870229</v>
      </c>
      <c r="BL153" s="155">
        <f t="shared" si="73"/>
        <v>261.03764718412503</v>
      </c>
      <c r="BM153" s="155">
        <f t="shared" si="74"/>
        <v>266.51943777499162</v>
      </c>
      <c r="BN153" s="155">
        <f t="shared" si="75"/>
        <v>272.11634596826639</v>
      </c>
      <c r="BO153" s="155">
        <f t="shared" si="76"/>
        <v>277.83078923359994</v>
      </c>
      <c r="BP153" s="155">
        <f t="shared" si="77"/>
        <v>250.61867907317944</v>
      </c>
    </row>
    <row r="154" spans="1:68">
      <c r="A154" s="155" t="s">
        <v>290</v>
      </c>
      <c r="B154" s="155" t="s">
        <v>974</v>
      </c>
      <c r="C154" s="155" t="s">
        <v>207</v>
      </c>
      <c r="D154" s="155">
        <v>10</v>
      </c>
      <c r="E154" s="189">
        <v>104.39336</v>
      </c>
      <c r="F154" s="67">
        <v>0</v>
      </c>
      <c r="G154" s="67">
        <v>292.54836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  <c r="O154" s="67">
        <v>0</v>
      </c>
      <c r="Q154" s="201" t="s">
        <v>290</v>
      </c>
      <c r="R154" s="201" t="s">
        <v>974</v>
      </c>
      <c r="S154" s="201" t="s">
        <v>207</v>
      </c>
      <c r="T154" s="76">
        <f>SUM($E154:F155)</f>
        <v>21352.341459999996</v>
      </c>
      <c r="U154" s="76">
        <f>SUM($E154:G155)</f>
        <v>21644.889819999997</v>
      </c>
      <c r="V154" s="76">
        <f>SUM($E154:H155)</f>
        <v>21644.889819999997</v>
      </c>
      <c r="W154" s="76">
        <f>SUM($E154:I155)</f>
        <v>21644.889819999997</v>
      </c>
      <c r="X154" s="76">
        <f>SUM($E154:J155)</f>
        <v>21644.889819999997</v>
      </c>
      <c r="Y154" s="76">
        <f>SUM($E154:K155)</f>
        <v>21644.889819999997</v>
      </c>
      <c r="Z154" s="76">
        <f>SUM($E154:L155)</f>
        <v>21644.889819999997</v>
      </c>
      <c r="AA154" s="76">
        <f>SUM($E154:M155)</f>
        <v>21644.889819999997</v>
      </c>
      <c r="AB154" s="76">
        <f>SUM($E154:N155)</f>
        <v>21644.889819999997</v>
      </c>
      <c r="AC154" s="76">
        <f>SUM($E154:O155)</f>
        <v>21644.889819999997</v>
      </c>
      <c r="AE154" s="76">
        <f t="shared" si="56"/>
        <v>21352.341459999996</v>
      </c>
      <c r="AF154" s="76">
        <f t="shared" si="57"/>
        <v>22099.432506219993</v>
      </c>
      <c r="AG154" s="76">
        <f t="shared" si="58"/>
        <v>22563.52058885061</v>
      </c>
      <c r="AH154" s="76">
        <f t="shared" si="59"/>
        <v>23037.354521216472</v>
      </c>
      <c r="AI154" s="76">
        <f t="shared" si="60"/>
        <v>23521.138966162012</v>
      </c>
      <c r="AJ154" s="76">
        <f t="shared" si="61"/>
        <v>24015.082884451414</v>
      </c>
      <c r="AK154" s="76">
        <f t="shared" si="62"/>
        <v>24519.399625024889</v>
      </c>
      <c r="AL154" s="76">
        <f t="shared" si="63"/>
        <v>25034.307017150411</v>
      </c>
      <c r="AM154" s="76">
        <f t="shared" si="64"/>
        <v>25560.027464510564</v>
      </c>
      <c r="AN154" s="76">
        <f t="shared" si="65"/>
        <v>26096.788041265281</v>
      </c>
      <c r="AP154" s="201" t="s">
        <v>290</v>
      </c>
      <c r="AQ154" s="201" t="s">
        <v>207</v>
      </c>
      <c r="AR154" s="155" cm="1">
        <f t="array" ref="AR154">_xlfn.IFS($AQ154=$AP$1,$AQ$1*AE154,$AQ154=$AP$2,$AQ$2*AE154,$AQ154=$AP$3,$AQ$3*AE154,$AQ154=$AP$4,$AQ$4*AE154)</f>
        <v>1720.8297792253429</v>
      </c>
      <c r="AS154" s="155" cm="1">
        <f t="array" ref="AS154">_xlfn.IFS($AQ154=$AP$1,$AQ$1*AF154,$AQ154=$AP$2,$AQ$2*AF154,$AQ154=$AP$3,$AQ$3*AF154,$AQ154=$AP$4,$AQ$4*AF154)</f>
        <v>1781.0394064709717</v>
      </c>
      <c r="AT154" s="155" cm="1">
        <f t="array" ref="AT154">_xlfn.IFS($AQ154=$AP$1,$AQ$1*AG154,$AQ154=$AP$2,$AQ$2*AG154,$AQ154=$AP$3,$AQ$3*AG154,$AQ154=$AP$4,$AQ$4*AG154)</f>
        <v>1818.4412340068618</v>
      </c>
      <c r="AU154" s="155" cm="1">
        <f t="array" ref="AU154">_xlfn.IFS($AQ154=$AP$1,$AQ$1*AH154,$AQ154=$AP$2,$AQ$2*AH154,$AQ154=$AP$3,$AQ$3*AH154,$AQ154=$AP$4,$AQ$4*AH154)</f>
        <v>1856.6284999210059</v>
      </c>
      <c r="AV154" s="155" cm="1">
        <f t="array" ref="AV154">_xlfn.IFS($AQ154=$AP$1,$AQ$1*AI154,$AQ154=$AP$2,$AQ$2*AI154,$AQ154=$AP$3,$AQ$3*AI154,$AQ154=$AP$4,$AQ$4*AI154)</f>
        <v>1895.6176984193467</v>
      </c>
      <c r="AW154" s="155" cm="1">
        <f t="array" ref="AW154">_xlfn.IFS($AQ154=$AP$1,$AQ$1*AJ154,$AQ154=$AP$2,$AQ$2*AJ154,$AQ154=$AP$3,$AQ$3*AJ154,$AQ154=$AP$4,$AQ$4*AJ154)</f>
        <v>1935.4256700861529</v>
      </c>
      <c r="AX154" s="155" cm="1">
        <f t="array" ref="AX154">_xlfn.IFS($AQ154=$AP$1,$AQ$1*AK154,$AQ154=$AP$2,$AQ$2*AK154,$AQ154=$AP$3,$AQ$3*AK154,$AQ154=$AP$4,$AQ$4*AK154)</f>
        <v>1976.0696091579616</v>
      </c>
      <c r="AY154" s="155" cm="1">
        <f t="array" ref="AY154">_xlfn.IFS($AQ154=$AP$1,$AQ$1*AL154,$AQ154=$AP$2,$AQ$2*AL154,$AQ154=$AP$3,$AQ$3*AL154,$AQ154=$AP$4,$AQ$4*AL154)</f>
        <v>2017.5670709502788</v>
      </c>
      <c r="AZ154" s="155" cm="1">
        <f t="array" ref="AZ154">_xlfn.IFS($AQ154=$AP$1,$AQ$1*AM154,$AQ154=$AP$2,$AQ$2*AM154,$AQ154=$AP$3,$AQ$3*AM154,$AQ154=$AP$4,$AQ$4*AM154)</f>
        <v>2059.9359794402344</v>
      </c>
      <c r="BA154" s="155" cm="1">
        <f t="array" ref="BA154">_xlfn.IFS($AQ154=$AP$1,$AQ$1*AN154,$AQ154=$AP$2,$AQ$2*AN154,$AQ154=$AP$3,$AQ$3*AN154,$AQ154=$AP$4,$AQ$4*AN154)</f>
        <v>2103.1946350084786</v>
      </c>
      <c r="BB154" s="155">
        <f>Table2[[#This Row],[FINAL Project System Capacity (MW)]]</f>
        <v>10</v>
      </c>
      <c r="BC154" s="155" t="str">
        <f>Table2[[#This Row],[FN Parent  '#]]</f>
        <v>FN005761</v>
      </c>
      <c r="BD154" s="155">
        <f t="shared" si="66"/>
        <v>10</v>
      </c>
      <c r="BF154" s="155">
        <f t="shared" si="67"/>
        <v>172.0829779225343</v>
      </c>
      <c r="BG154" s="155">
        <f t="shared" si="68"/>
        <v>178.10394064709718</v>
      </c>
      <c r="BH154" s="155">
        <f t="shared" si="69"/>
        <v>181.84412340068619</v>
      </c>
      <c r="BI154" s="155">
        <f t="shared" si="70"/>
        <v>185.66284999210058</v>
      </c>
      <c r="BJ154" s="155">
        <f t="shared" si="71"/>
        <v>189.56176984193468</v>
      </c>
      <c r="BK154" s="155">
        <f t="shared" si="72"/>
        <v>193.54256700861529</v>
      </c>
      <c r="BL154" s="155">
        <f t="shared" si="73"/>
        <v>197.60696091579615</v>
      </c>
      <c r="BM154" s="155">
        <f t="shared" si="74"/>
        <v>201.75670709502788</v>
      </c>
      <c r="BN154" s="155">
        <f t="shared" si="75"/>
        <v>205.99359794402343</v>
      </c>
      <c r="BO154" s="155">
        <f t="shared" si="76"/>
        <v>210.31946350084786</v>
      </c>
      <c r="BP154" s="155">
        <f t="shared" si="77"/>
        <v>189.40752293408539</v>
      </c>
    </row>
    <row r="155" spans="1:68">
      <c r="A155" s="155" t="s">
        <v>290</v>
      </c>
      <c r="B155" s="155" t="s">
        <v>974</v>
      </c>
      <c r="C155" s="155" t="s">
        <v>207</v>
      </c>
      <c r="D155" s="155">
        <v>10</v>
      </c>
      <c r="E155" s="189">
        <v>19895.677479999998</v>
      </c>
      <c r="F155" s="67">
        <v>1352.27062</v>
      </c>
      <c r="G155" s="67">
        <v>0</v>
      </c>
      <c r="H155" s="67">
        <v>0</v>
      </c>
      <c r="I155" s="67">
        <v>0</v>
      </c>
      <c r="J155" s="67">
        <v>0</v>
      </c>
      <c r="K155" s="67">
        <v>0</v>
      </c>
      <c r="L155" s="67">
        <v>0</v>
      </c>
      <c r="M155" s="67">
        <v>0</v>
      </c>
      <c r="N155" s="67">
        <v>0</v>
      </c>
      <c r="O155" s="67">
        <v>0</v>
      </c>
      <c r="Q155" s="202" t="s">
        <v>290</v>
      </c>
      <c r="R155" s="202" t="s">
        <v>974</v>
      </c>
      <c r="S155" s="202" t="s">
        <v>207</v>
      </c>
      <c r="U155" s="155"/>
      <c r="V155" s="155"/>
      <c r="W155" s="155"/>
      <c r="X155" s="155"/>
      <c r="Y155" s="155"/>
      <c r="Z155" s="155"/>
      <c r="AA155" s="155"/>
      <c r="AB155" s="155"/>
      <c r="AC155" s="155"/>
      <c r="AE155" s="76">
        <f t="shared" si="56"/>
        <v>0</v>
      </c>
      <c r="AF155" s="76">
        <f t="shared" si="57"/>
        <v>0</v>
      </c>
      <c r="AG155" s="76">
        <f t="shared" si="58"/>
        <v>0</v>
      </c>
      <c r="AH155" s="76">
        <f t="shared" si="59"/>
        <v>0</v>
      </c>
      <c r="AI155" s="76">
        <f t="shared" si="60"/>
        <v>0</v>
      </c>
      <c r="AJ155" s="76">
        <f t="shared" si="61"/>
        <v>0</v>
      </c>
      <c r="AK155" s="76">
        <f t="shared" si="62"/>
        <v>0</v>
      </c>
      <c r="AL155" s="76">
        <f t="shared" si="63"/>
        <v>0</v>
      </c>
      <c r="AM155" s="76">
        <f t="shared" si="64"/>
        <v>0</v>
      </c>
      <c r="AN155" s="76">
        <f t="shared" si="65"/>
        <v>0</v>
      </c>
      <c r="AP155" s="202" t="s">
        <v>290</v>
      </c>
      <c r="AQ155" s="202" t="s">
        <v>207</v>
      </c>
      <c r="AR155" s="155" cm="1">
        <f t="array" ref="AR155">_xlfn.IFS($AQ155=$AP$1,$AQ$1*AE155,$AQ155=$AP$2,$AQ$2*AE155,$AQ155=$AP$3,$AQ$3*AE155,$AQ155=$AP$4,$AQ$4*AE155)</f>
        <v>0</v>
      </c>
      <c r="AS155" s="155" cm="1">
        <f t="array" ref="AS155">_xlfn.IFS($AQ155=$AP$1,$AQ$1*AF155,$AQ155=$AP$2,$AQ$2*AF155,$AQ155=$AP$3,$AQ$3*AF155,$AQ155=$AP$4,$AQ$4*AF155)</f>
        <v>0</v>
      </c>
      <c r="AT155" s="155" cm="1">
        <f t="array" ref="AT155">_xlfn.IFS($AQ155=$AP$1,$AQ$1*AG155,$AQ155=$AP$2,$AQ$2*AG155,$AQ155=$AP$3,$AQ$3*AG155,$AQ155=$AP$4,$AQ$4*AG155)</f>
        <v>0</v>
      </c>
      <c r="AU155" s="155" cm="1">
        <f t="array" ref="AU155">_xlfn.IFS($AQ155=$AP$1,$AQ$1*AH155,$AQ155=$AP$2,$AQ$2*AH155,$AQ155=$AP$3,$AQ$3*AH155,$AQ155=$AP$4,$AQ$4*AH155)</f>
        <v>0</v>
      </c>
      <c r="AV155" s="155" cm="1">
        <f t="array" ref="AV155">_xlfn.IFS($AQ155=$AP$1,$AQ$1*AI155,$AQ155=$AP$2,$AQ$2*AI155,$AQ155=$AP$3,$AQ$3*AI155,$AQ155=$AP$4,$AQ$4*AI155)</f>
        <v>0</v>
      </c>
      <c r="AW155" s="155" cm="1">
        <f t="array" ref="AW155">_xlfn.IFS($AQ155=$AP$1,$AQ$1*AJ155,$AQ155=$AP$2,$AQ$2*AJ155,$AQ155=$AP$3,$AQ$3*AJ155,$AQ155=$AP$4,$AQ$4*AJ155)</f>
        <v>0</v>
      </c>
      <c r="AX155" s="155" cm="1">
        <f t="array" ref="AX155">_xlfn.IFS($AQ155=$AP$1,$AQ$1*AK155,$AQ155=$AP$2,$AQ$2*AK155,$AQ155=$AP$3,$AQ$3*AK155,$AQ155=$AP$4,$AQ$4*AK155)</f>
        <v>0</v>
      </c>
      <c r="AY155" s="155" cm="1">
        <f t="array" ref="AY155">_xlfn.IFS($AQ155=$AP$1,$AQ$1*AL155,$AQ155=$AP$2,$AQ$2*AL155,$AQ155=$AP$3,$AQ$3*AL155,$AQ155=$AP$4,$AQ$4*AL155)</f>
        <v>0</v>
      </c>
      <c r="AZ155" s="155" cm="1">
        <f t="array" ref="AZ155">_xlfn.IFS($AQ155=$AP$1,$AQ$1*AM155,$AQ155=$AP$2,$AQ$2*AM155,$AQ155=$AP$3,$AQ$3*AM155,$AQ155=$AP$4,$AQ$4*AM155)</f>
        <v>0</v>
      </c>
      <c r="BA155" s="155" cm="1">
        <f t="array" ref="BA155">_xlfn.IFS($AQ155=$AP$1,$AQ$1*AN155,$AQ155=$AP$2,$AQ$2*AN155,$AQ155=$AP$3,$AQ$3*AN155,$AQ155=$AP$4,$AQ$4*AN155)</f>
        <v>0</v>
      </c>
      <c r="BB155" s="155"/>
      <c r="BC155" s="155" t="str">
        <f>Table2[[#This Row],[FN Parent  '#]]</f>
        <v>FN005761</v>
      </c>
      <c r="BD155" s="155">
        <f t="shared" si="66"/>
        <v>0</v>
      </c>
      <c r="BF155" s="155" t="str">
        <f t="shared" si="67"/>
        <v/>
      </c>
      <c r="BG155" s="155" t="str">
        <f t="shared" si="68"/>
        <v/>
      </c>
      <c r="BH155" s="155" t="str">
        <f t="shared" si="69"/>
        <v/>
      </c>
      <c r="BI155" s="155" t="str">
        <f t="shared" si="70"/>
        <v/>
      </c>
      <c r="BJ155" s="155" t="str">
        <f t="shared" si="71"/>
        <v/>
      </c>
      <c r="BK155" s="155" t="str">
        <f t="shared" si="72"/>
        <v/>
      </c>
      <c r="BL155" s="155" t="str">
        <f t="shared" si="73"/>
        <v/>
      </c>
      <c r="BM155" s="155" t="str">
        <f t="shared" si="74"/>
        <v/>
      </c>
      <c r="BN155" s="155" t="str">
        <f t="shared" si="75"/>
        <v/>
      </c>
      <c r="BO155" s="155" t="str">
        <f t="shared" si="76"/>
        <v/>
      </c>
      <c r="BP155" s="155">
        <f t="shared" si="77"/>
        <v>0</v>
      </c>
    </row>
    <row r="156" spans="1:68">
      <c r="A156" s="155" t="s">
        <v>292</v>
      </c>
      <c r="B156" s="155" t="s">
        <v>1252</v>
      </c>
      <c r="C156" s="155" t="s">
        <v>208</v>
      </c>
      <c r="D156" s="155">
        <v>6.25</v>
      </c>
      <c r="E156" s="189">
        <v>614.80948000000001</v>
      </c>
      <c r="F156" s="67">
        <v>103.55835999999999</v>
      </c>
      <c r="G156" s="67">
        <v>664.78983000000005</v>
      </c>
      <c r="H156" s="67">
        <v>2153.5355500000001</v>
      </c>
      <c r="I156" s="67">
        <v>2656.2359499999998</v>
      </c>
      <c r="J156" s="67">
        <v>1769.8251399999999</v>
      </c>
      <c r="K156" s="67">
        <v>2361.52124</v>
      </c>
      <c r="L156" s="67">
        <v>0</v>
      </c>
      <c r="M156" s="67">
        <v>0</v>
      </c>
      <c r="N156" s="67">
        <v>0</v>
      </c>
      <c r="O156" s="67">
        <v>0</v>
      </c>
      <c r="Q156" s="201" t="s">
        <v>292</v>
      </c>
      <c r="R156" s="201" t="s">
        <v>1252</v>
      </c>
      <c r="S156" s="201" t="s">
        <v>208</v>
      </c>
      <c r="T156" s="76">
        <f>SUM($E156:F156)</f>
        <v>718.36784</v>
      </c>
      <c r="U156" s="76">
        <f>SUM($E156:G156)</f>
        <v>1383.1576700000001</v>
      </c>
      <c r="V156" s="76">
        <f>SUM($E156:H156)</f>
        <v>3536.6932200000001</v>
      </c>
      <c r="W156" s="76">
        <f>SUM($E156:I156)</f>
        <v>6192.9291699999994</v>
      </c>
      <c r="X156" s="76">
        <f>SUM($E156:J156)</f>
        <v>7962.7543099999994</v>
      </c>
      <c r="Y156" s="76">
        <f>SUM($E156:K156)</f>
        <v>10324.275549999998</v>
      </c>
      <c r="Z156" s="76">
        <f>SUM($E156:L156)</f>
        <v>10324.275549999998</v>
      </c>
      <c r="AA156" s="76">
        <f>SUM($E156:M156)</f>
        <v>10324.275549999998</v>
      </c>
      <c r="AB156" s="76">
        <f>SUM($E156:N156)</f>
        <v>10324.275549999998</v>
      </c>
      <c r="AC156" s="76">
        <f>SUM($E156:O156)</f>
        <v>10324.275549999998</v>
      </c>
      <c r="AE156" s="76">
        <f t="shared" si="56"/>
        <v>718.36784</v>
      </c>
      <c r="AF156" s="76">
        <f t="shared" si="57"/>
        <v>1412.2039810699998</v>
      </c>
      <c r="AG156" s="76">
        <f t="shared" si="58"/>
        <v>3686.7940169500193</v>
      </c>
      <c r="AH156" s="76">
        <f t="shared" si="59"/>
        <v>6591.3343057189504</v>
      </c>
      <c r="AI156" s="76">
        <f t="shared" si="60"/>
        <v>8652.9916408193349</v>
      </c>
      <c r="AJ156" s="76">
        <f t="shared" si="61"/>
        <v>11454.820750626726</v>
      </c>
      <c r="AK156" s="76">
        <f t="shared" si="62"/>
        <v>11695.371986389888</v>
      </c>
      <c r="AL156" s="76">
        <f t="shared" si="63"/>
        <v>11940.974798104073</v>
      </c>
      <c r="AM156" s="76">
        <f t="shared" si="64"/>
        <v>12191.735268864257</v>
      </c>
      <c r="AN156" s="76">
        <f t="shared" si="65"/>
        <v>12447.761709510405</v>
      </c>
      <c r="AP156" s="201" t="s">
        <v>292</v>
      </c>
      <c r="AQ156" s="201" t="s">
        <v>208</v>
      </c>
      <c r="AR156" s="155" cm="1">
        <f t="array" ref="AR156">_xlfn.IFS($AQ156=$AP$1,$AQ$1*AE156,$AQ156=$AP$2,$AQ$2*AE156,$AQ156=$AP$3,$AQ$3*AE156,$AQ156=$AP$4,$AQ$4*AE156)</f>
        <v>101.50010089257199</v>
      </c>
      <c r="AS156" s="155" cm="1">
        <f t="array" ref="AS156">_xlfn.IFS($AQ156=$AP$1,$AQ$1*AF156,$AQ156=$AP$2,$AQ$2*AF156,$AQ156=$AP$3,$AQ$3*AF156,$AQ156=$AP$4,$AQ$4*AF156)</f>
        <v>199.53405286001779</v>
      </c>
      <c r="AT156" s="155" cm="1">
        <f t="array" ref="AT156">_xlfn.IFS($AQ156=$AP$1,$AQ$1*AG156,$AQ156=$AP$2,$AQ$2*AG156,$AQ156=$AP$3,$AQ$3*AG156,$AQ156=$AP$4,$AQ$4*AG156)</f>
        <v>520.91692285467252</v>
      </c>
      <c r="AU156" s="155" cm="1">
        <f t="array" ref="AU156">_xlfn.IFS($AQ156=$AP$1,$AQ$1*AH156,$AQ156=$AP$2,$AQ$2*AH156,$AQ156=$AP$3,$AQ$3*AH156,$AQ156=$AP$4,$AQ$4*AH156)</f>
        <v>931.30713792413701</v>
      </c>
      <c r="AV156" s="155" cm="1">
        <f t="array" ref="AV156">_xlfn.IFS($AQ156=$AP$1,$AQ$1*AI156,$AQ156=$AP$2,$AQ$2*AI156,$AQ156=$AP$3,$AQ$3*AI156,$AQ156=$AP$4,$AQ$4*AI156)</f>
        <v>1222.6041808410362</v>
      </c>
      <c r="AW156" s="155" cm="1">
        <f t="array" ref="AW156">_xlfn.IFS($AQ156=$AP$1,$AQ$1*AJ156,$AQ156=$AP$2,$AQ$2*AJ156,$AQ156=$AP$3,$AQ$3*AJ156,$AQ156=$AP$4,$AQ$4*AJ156)</f>
        <v>1618.48206052061</v>
      </c>
      <c r="AX156" s="155" cm="1">
        <f t="array" ref="AX156">_xlfn.IFS($AQ156=$AP$1,$AQ$1*AK156,$AQ156=$AP$2,$AQ$2*AK156,$AQ156=$AP$3,$AQ$3*AK156,$AQ156=$AP$4,$AQ$4*AK156)</f>
        <v>1652.4701837915429</v>
      </c>
      <c r="AY156" s="155" cm="1">
        <f t="array" ref="AY156">_xlfn.IFS($AQ156=$AP$1,$AQ$1*AL156,$AQ156=$AP$2,$AQ$2*AL156,$AQ156=$AP$3,$AQ$3*AL156,$AQ156=$AP$4,$AQ$4*AL156)</f>
        <v>1687.172057651165</v>
      </c>
      <c r="AZ156" s="155" cm="1">
        <f t="array" ref="AZ156">_xlfn.IFS($AQ156=$AP$1,$AQ$1*AM156,$AQ156=$AP$2,$AQ$2*AM156,$AQ156=$AP$3,$AQ$3*AM156,$AQ156=$AP$4,$AQ$4*AM156)</f>
        <v>1722.6026708618392</v>
      </c>
      <c r="BA156" s="155" cm="1">
        <f t="array" ref="BA156">_xlfn.IFS($AQ156=$AP$1,$AQ$1*AN156,$AQ156=$AP$2,$AQ$2*AN156,$AQ156=$AP$3,$AQ$3*AN156,$AQ156=$AP$4,$AQ$4*AN156)</f>
        <v>1758.7773269499376</v>
      </c>
      <c r="BB156" s="155">
        <f>Table2[[#This Row],[FINAL Project System Capacity (MW)]]</f>
        <v>6.25</v>
      </c>
      <c r="BC156" s="155" t="str">
        <f>Table2[[#This Row],[FN Parent  '#]]</f>
        <v>FN011974</v>
      </c>
      <c r="BD156" s="155">
        <f t="shared" si="66"/>
        <v>6.25</v>
      </c>
      <c r="BE156" s="155">
        <f t="shared" si="78"/>
        <v>6.25</v>
      </c>
      <c r="BF156" s="155">
        <f t="shared" si="67"/>
        <v>16.24001614281152</v>
      </c>
      <c r="BG156" s="155">
        <f t="shared" si="68"/>
        <v>31.925448457602847</v>
      </c>
      <c r="BH156" s="155">
        <f t="shared" si="69"/>
        <v>83.346707656747597</v>
      </c>
      <c r="BI156" s="155">
        <f t="shared" si="70"/>
        <v>149.00914206786192</v>
      </c>
      <c r="BJ156" s="155">
        <f t="shared" si="71"/>
        <v>195.61666893456578</v>
      </c>
      <c r="BK156" s="155">
        <f t="shared" si="72"/>
        <v>258.95712968329758</v>
      </c>
      <c r="BL156" s="155">
        <f t="shared" si="73"/>
        <v>264.39522940664688</v>
      </c>
      <c r="BM156" s="155">
        <f t="shared" si="74"/>
        <v>269.94752922418638</v>
      </c>
      <c r="BN156" s="155">
        <f t="shared" si="75"/>
        <v>275.61642733789427</v>
      </c>
      <c r="BO156" s="155">
        <f t="shared" si="76"/>
        <v>281.40437231199002</v>
      </c>
      <c r="BP156" s="155">
        <f t="shared" si="77"/>
        <v>164.29129985329601</v>
      </c>
    </row>
    <row r="157" spans="1:68">
      <c r="A157" s="155" t="s">
        <v>292</v>
      </c>
      <c r="B157" s="155" t="s">
        <v>1252</v>
      </c>
      <c r="C157" s="155" t="s">
        <v>207</v>
      </c>
      <c r="D157" s="155">
        <v>6.25</v>
      </c>
      <c r="E157" s="189">
        <v>2726.81756</v>
      </c>
      <c r="F157" s="67">
        <v>407.91052999999999</v>
      </c>
      <c r="G157" s="67">
        <v>1494.3892499999999</v>
      </c>
      <c r="H157" s="67">
        <v>6423.6646099999998</v>
      </c>
      <c r="I157" s="67">
        <v>4314.6575599999996</v>
      </c>
      <c r="J157" s="67">
        <v>509</v>
      </c>
      <c r="K157" s="67">
        <v>0</v>
      </c>
      <c r="L157" s="67">
        <v>0</v>
      </c>
      <c r="M157" s="67">
        <v>0</v>
      </c>
      <c r="N157" s="67">
        <v>0</v>
      </c>
      <c r="O157" s="67">
        <v>0</v>
      </c>
      <c r="Q157" s="202" t="s">
        <v>292</v>
      </c>
      <c r="R157" s="202" t="s">
        <v>1252</v>
      </c>
      <c r="S157" s="202" t="s">
        <v>207</v>
      </c>
      <c r="T157" s="76">
        <f>SUM($E157:F157)</f>
        <v>3134.7280900000001</v>
      </c>
      <c r="U157" s="76">
        <f>SUM($E157:G157)</f>
        <v>4629.1173399999998</v>
      </c>
      <c r="V157" s="76">
        <f>SUM($E157:H157)</f>
        <v>11052.781950000001</v>
      </c>
      <c r="W157" s="76">
        <f>SUM($E157:I157)</f>
        <v>15367.43951</v>
      </c>
      <c r="X157" s="76">
        <f>SUM($E157:J157)</f>
        <v>15876.43951</v>
      </c>
      <c r="Y157" s="76">
        <f>SUM($E157:K157)</f>
        <v>15876.43951</v>
      </c>
      <c r="Z157" s="76">
        <f>SUM($E157:L157)</f>
        <v>15876.43951</v>
      </c>
      <c r="AA157" s="76">
        <f>SUM($E157:M157)</f>
        <v>15876.43951</v>
      </c>
      <c r="AB157" s="76">
        <f>SUM($E157:N157)</f>
        <v>15876.43951</v>
      </c>
      <c r="AC157" s="76">
        <f>SUM($E157:O157)</f>
        <v>15876.43951</v>
      </c>
      <c r="AE157" s="76">
        <f t="shared" si="56"/>
        <v>3134.7280900000001</v>
      </c>
      <c r="AF157" s="76">
        <f t="shared" si="57"/>
        <v>4726.3288041399992</v>
      </c>
      <c r="AG157" s="76">
        <f t="shared" si="58"/>
        <v>11521.873068739947</v>
      </c>
      <c r="AH157" s="76">
        <f t="shared" si="59"/>
        <v>16356.061639459027</v>
      </c>
      <c r="AI157" s="76">
        <f t="shared" si="60"/>
        <v>17252.660702274494</v>
      </c>
      <c r="AJ157" s="76">
        <f t="shared" si="61"/>
        <v>17614.966577022253</v>
      </c>
      <c r="AK157" s="76">
        <f t="shared" si="62"/>
        <v>17984.880875139719</v>
      </c>
      <c r="AL157" s="76">
        <f t="shared" si="63"/>
        <v>18362.563373517653</v>
      </c>
      <c r="AM157" s="76">
        <f t="shared" si="64"/>
        <v>18748.17720436152</v>
      </c>
      <c r="AN157" s="76">
        <f t="shared" si="65"/>
        <v>19141.888925653107</v>
      </c>
      <c r="AP157" s="202" t="s">
        <v>292</v>
      </c>
      <c r="AQ157" s="202" t="s">
        <v>207</v>
      </c>
      <c r="AR157" s="155" cm="1">
        <f t="array" ref="AR157">_xlfn.IFS($AQ157=$AP$1,$AQ$1*AE157,$AQ157=$AP$2,$AQ$2*AE157,$AQ157=$AP$3,$AQ$3*AE157,$AQ157=$AP$4,$AQ$4*AE157)</f>
        <v>252.63428168529211</v>
      </c>
      <c r="AS157" s="155" cm="1">
        <f t="array" ref="AS157">_xlfn.IFS($AQ157=$AP$1,$AQ$1*AF157,$AQ157=$AP$2,$AQ$2*AF157,$AQ157=$AP$3,$AQ$3*AF157,$AQ157=$AP$4,$AQ$4*AF157)</f>
        <v>380.90470629700275</v>
      </c>
      <c r="AT157" s="155" cm="1">
        <f t="array" ref="AT157">_xlfn.IFS($AQ157=$AP$1,$AQ$1*AG157,$AQ157=$AP$2,$AQ$2*AG157,$AQ157=$AP$3,$AQ$3*AG157,$AQ157=$AP$4,$AQ$4*AG157)</f>
        <v>928.57180681027717</v>
      </c>
      <c r="AU157" s="155" cm="1">
        <f t="array" ref="AU157">_xlfn.IFS($AQ157=$AP$1,$AQ$1*AH157,$AQ157=$AP$2,$AQ$2*AH157,$AQ157=$AP$3,$AQ$3*AH157,$AQ157=$AP$4,$AQ$4*AH157)</f>
        <v>1318.1691568933154</v>
      </c>
      <c r="AV157" s="155" cm="1">
        <f t="array" ref="AV157">_xlfn.IFS($AQ157=$AP$1,$AQ$1*AI157,$AQ157=$AP$2,$AQ$2*AI157,$AQ157=$AP$3,$AQ$3*AI157,$AQ157=$AP$4,$AQ$4*AI157)</f>
        <v>1390.4279473500312</v>
      </c>
      <c r="AW157" s="155" cm="1">
        <f t="array" ref="AW157">_xlfn.IFS($AQ157=$AP$1,$AQ$1*AJ157,$AQ157=$AP$2,$AQ$2*AJ157,$AQ157=$AP$3,$AQ$3*AJ157,$AQ157=$AP$4,$AQ$4*AJ157)</f>
        <v>1419.6269342443816</v>
      </c>
      <c r="AX157" s="155" cm="1">
        <f t="array" ref="AX157">_xlfn.IFS($AQ157=$AP$1,$AQ$1*AK157,$AQ157=$AP$2,$AQ$2*AK157,$AQ157=$AP$3,$AQ$3*AK157,$AQ157=$AP$4,$AQ$4*AK157)</f>
        <v>1449.4390998635135</v>
      </c>
      <c r="AY157" s="155" cm="1">
        <f t="array" ref="AY157">_xlfn.IFS($AQ157=$AP$1,$AQ$1*AL157,$AQ157=$AP$2,$AQ$2*AL157,$AQ157=$AP$3,$AQ$3*AL157,$AQ157=$AP$4,$AQ$4*AL157)</f>
        <v>1479.8773209606472</v>
      </c>
      <c r="AZ157" s="155" cm="1">
        <f t="array" ref="AZ157">_xlfn.IFS($AQ157=$AP$1,$AQ$1*AM157,$AQ157=$AP$2,$AQ$2*AM157,$AQ157=$AP$3,$AQ$3*AM157,$AQ157=$AP$4,$AQ$4*AM157)</f>
        <v>1510.9547447008206</v>
      </c>
      <c r="BA157" s="155" cm="1">
        <f t="array" ref="BA157">_xlfn.IFS($AQ157=$AP$1,$AQ$1*AN157,$AQ157=$AP$2,$AQ$2*AN157,$AQ157=$AP$3,$AQ$3*AN157,$AQ157=$AP$4,$AQ$4*AN157)</f>
        <v>1542.6847943395373</v>
      </c>
      <c r="BB157" s="155">
        <f>Table2[[#This Row],[FINAL Project System Capacity (MW)]]</f>
        <v>6.25</v>
      </c>
      <c r="BC157" s="155" t="str">
        <f>Table2[[#This Row],[FN Parent  '#]]</f>
        <v>FN011974</v>
      </c>
      <c r="BD157" s="155">
        <f t="shared" si="66"/>
        <v>6.25</v>
      </c>
      <c r="BF157" s="155">
        <f t="shared" si="67"/>
        <v>40.421485069646735</v>
      </c>
      <c r="BG157" s="155">
        <f t="shared" si="68"/>
        <v>60.94475300752044</v>
      </c>
      <c r="BH157" s="155">
        <f t="shared" si="69"/>
        <v>148.57148908964436</v>
      </c>
      <c r="BI157" s="155">
        <f t="shared" si="70"/>
        <v>210.90706510293046</v>
      </c>
      <c r="BJ157" s="155">
        <f t="shared" si="71"/>
        <v>222.46847157600499</v>
      </c>
      <c r="BK157" s="155">
        <f t="shared" si="72"/>
        <v>227.14030947910106</v>
      </c>
      <c r="BL157" s="155">
        <f t="shared" si="73"/>
        <v>231.91025597816216</v>
      </c>
      <c r="BM157" s="155">
        <f t="shared" si="74"/>
        <v>236.78037135370357</v>
      </c>
      <c r="BN157" s="155">
        <f t="shared" si="75"/>
        <v>241.75275915213129</v>
      </c>
      <c r="BO157" s="155">
        <f t="shared" si="76"/>
        <v>246.82956709432597</v>
      </c>
      <c r="BP157" s="155">
        <f t="shared" si="77"/>
        <v>174.2717498624603</v>
      </c>
    </row>
    <row r="158" spans="1:68">
      <c r="A158" s="155" t="s">
        <v>294</v>
      </c>
      <c r="B158" s="155" t="s">
        <v>1345</v>
      </c>
      <c r="C158" s="155" t="s">
        <v>207</v>
      </c>
      <c r="D158" s="155">
        <v>5</v>
      </c>
      <c r="E158" s="189">
        <v>0</v>
      </c>
      <c r="F158" s="67">
        <v>0</v>
      </c>
      <c r="G158" s="67">
        <v>0</v>
      </c>
      <c r="H158" s="67">
        <v>0</v>
      </c>
      <c r="I158" s="67">
        <v>0</v>
      </c>
      <c r="J158" s="67">
        <v>0</v>
      </c>
      <c r="K158" s="67">
        <v>34.659599999999998</v>
      </c>
      <c r="L158" s="67">
        <v>346.49997999999999</v>
      </c>
      <c r="M158" s="67">
        <v>1039.5</v>
      </c>
      <c r="N158" s="67">
        <v>1386.0000399999999</v>
      </c>
      <c r="O158" s="67">
        <v>495.00002000000001</v>
      </c>
      <c r="Q158" s="201" t="s">
        <v>294</v>
      </c>
      <c r="R158" s="201" t="s">
        <v>1345</v>
      </c>
      <c r="S158" s="201" t="s">
        <v>207</v>
      </c>
      <c r="T158" s="76">
        <f>SUM($E158:F158)</f>
        <v>0</v>
      </c>
      <c r="U158" s="76">
        <f>SUM($E158:G158)</f>
        <v>0</v>
      </c>
      <c r="V158" s="76">
        <f>SUM($E158:H158)</f>
        <v>0</v>
      </c>
      <c r="W158" s="76">
        <f>SUM($E158:I158)</f>
        <v>0</v>
      </c>
      <c r="X158" s="76">
        <f>SUM($E158:J158)</f>
        <v>0</v>
      </c>
      <c r="Y158" s="76">
        <f>SUM($E158:K158)</f>
        <v>34.659599999999998</v>
      </c>
      <c r="Z158" s="76">
        <f>SUM($E158:L158)</f>
        <v>381.15958000000001</v>
      </c>
      <c r="AA158" s="76">
        <f>SUM($E158:M158)</f>
        <v>1420.65958</v>
      </c>
      <c r="AB158" s="76">
        <f>SUM($E158:N158)</f>
        <v>2806.6596199999999</v>
      </c>
      <c r="AC158" s="76">
        <f>SUM($E158:O158)</f>
        <v>3301.6596399999999</v>
      </c>
      <c r="AE158" s="76">
        <f t="shared" si="56"/>
        <v>0</v>
      </c>
      <c r="AF158" s="76">
        <f t="shared" si="57"/>
        <v>0</v>
      </c>
      <c r="AG158" s="76">
        <f t="shared" si="58"/>
        <v>0</v>
      </c>
      <c r="AH158" s="76">
        <f t="shared" si="59"/>
        <v>0</v>
      </c>
      <c r="AI158" s="76">
        <f t="shared" si="60"/>
        <v>0</v>
      </c>
      <c r="AJ158" s="76">
        <f t="shared" si="61"/>
        <v>38.454950506277619</v>
      </c>
      <c r="AK158" s="76">
        <f t="shared" si="62"/>
        <v>431.77877737640739</v>
      </c>
      <c r="AL158" s="76">
        <f t="shared" si="63"/>
        <v>1643.1235450186257</v>
      </c>
      <c r="AM158" s="76">
        <f t="shared" si="64"/>
        <v>3314.3295053618708</v>
      </c>
      <c r="AN158" s="76">
        <f t="shared" si="65"/>
        <v>3980.741529571817</v>
      </c>
      <c r="AP158" s="201" t="s">
        <v>294</v>
      </c>
      <c r="AQ158" s="201" t="s">
        <v>207</v>
      </c>
      <c r="AR158" s="155" cm="1">
        <f t="array" ref="AR158">_xlfn.IFS($AQ158=$AP$1,$AQ$1*AE158,$AQ158=$AP$2,$AQ$2*AE158,$AQ158=$AP$3,$AQ$3*AE158,$AQ158=$AP$4,$AQ$4*AE158)</f>
        <v>0</v>
      </c>
      <c r="AS158" s="155" cm="1">
        <f t="array" ref="AS158">_xlfn.IFS($AQ158=$AP$1,$AQ$1*AF158,$AQ158=$AP$2,$AQ$2*AF158,$AQ158=$AP$3,$AQ$3*AF158,$AQ158=$AP$4,$AQ$4*AF158)</f>
        <v>0</v>
      </c>
      <c r="AT158" s="155" cm="1">
        <f t="array" ref="AT158">_xlfn.IFS($AQ158=$AP$1,$AQ$1*AG158,$AQ158=$AP$2,$AQ$2*AG158,$AQ158=$AP$3,$AQ$3*AG158,$AQ158=$AP$4,$AQ$4*AG158)</f>
        <v>0</v>
      </c>
      <c r="AU158" s="155" cm="1">
        <f t="array" ref="AU158">_xlfn.IFS($AQ158=$AP$1,$AQ$1*AH158,$AQ158=$AP$2,$AQ$2*AH158,$AQ158=$AP$3,$AQ$3*AH158,$AQ158=$AP$4,$AQ$4*AH158)</f>
        <v>0</v>
      </c>
      <c r="AV158" s="155" cm="1">
        <f t="array" ref="AV158">_xlfn.IFS($AQ158=$AP$1,$AQ$1*AI158,$AQ158=$AP$2,$AQ$2*AI158,$AQ158=$AP$3,$AQ$3*AI158,$AQ158=$AP$4,$AQ$4*AI158)</f>
        <v>0</v>
      </c>
      <c r="AW158" s="155" cm="1">
        <f t="array" ref="AW158">_xlfn.IFS($AQ158=$AP$1,$AQ$1*AJ158,$AQ158=$AP$2,$AQ$2*AJ158,$AQ158=$AP$3,$AQ$3*AJ158,$AQ158=$AP$4,$AQ$4*AJ158)</f>
        <v>3.0991647503298783</v>
      </c>
      <c r="AX158" s="155" cm="1">
        <f t="array" ref="AX158">_xlfn.IFS($AQ158=$AP$1,$AQ$1*AK158,$AQ158=$AP$2,$AQ$2*AK158,$AQ158=$AP$3,$AQ$3*AK158,$AQ158=$AP$4,$AQ$4*AK158)</f>
        <v>34.79795316774743</v>
      </c>
      <c r="AY158" s="155" cm="1">
        <f t="array" ref="AY158">_xlfn.IFS($AQ158=$AP$1,$AQ$1*AL158,$AQ158=$AP$2,$AQ$2*AL158,$AQ158=$AP$3,$AQ$3*AL158,$AQ158=$AP$4,$AQ$4*AL158)</f>
        <v>132.42275712531458</v>
      </c>
      <c r="AZ158" s="155" cm="1">
        <f t="array" ref="AZ158">_xlfn.IFS($AQ158=$AP$1,$AQ$1*AM158,$AQ158=$AP$2,$AQ$2*AM158,$AQ158=$AP$3,$AQ$3*AM158,$AQ158=$AP$4,$AQ$4*AM158)</f>
        <v>267.10873473413949</v>
      </c>
      <c r="BA158" s="155" cm="1">
        <f t="array" ref="BA158">_xlfn.IFS($AQ158=$AP$1,$AQ$1*AN158,$AQ158=$AP$2,$AQ$2*AN158,$AQ158=$AP$3,$AQ$3*AN158,$AQ158=$AP$4,$AQ$4*AN158)</f>
        <v>320.81627114847686</v>
      </c>
      <c r="BB158" s="155">
        <f>Table2[[#This Row],[FINAL Project System Capacity (MW)]]</f>
        <v>5</v>
      </c>
      <c r="BC158" s="155" t="str">
        <f>Table2[[#This Row],[FN Parent  '#]]</f>
        <v>Individual Project</v>
      </c>
      <c r="BD158" s="155">
        <f t="shared" si="66"/>
        <v>5</v>
      </c>
      <c r="BE158" s="155">
        <f t="shared" si="78"/>
        <v>5</v>
      </c>
      <c r="BF158" s="155">
        <f t="shared" si="67"/>
        <v>0</v>
      </c>
      <c r="BG158" s="155">
        <f t="shared" si="68"/>
        <v>0</v>
      </c>
      <c r="BH158" s="155">
        <f t="shared" si="69"/>
        <v>0</v>
      </c>
      <c r="BI158" s="155">
        <f t="shared" si="70"/>
        <v>0</v>
      </c>
      <c r="BJ158" s="155">
        <f t="shared" si="71"/>
        <v>0</v>
      </c>
      <c r="BK158" s="155">
        <f t="shared" si="72"/>
        <v>0.61983295006597561</v>
      </c>
      <c r="BL158" s="155">
        <f t="shared" si="73"/>
        <v>6.9595906335494861</v>
      </c>
      <c r="BM158" s="155">
        <f t="shared" si="74"/>
        <v>26.484551425062914</v>
      </c>
      <c r="BN158" s="155">
        <f t="shared" si="75"/>
        <v>53.421746946827895</v>
      </c>
      <c r="BO158" s="155">
        <f t="shared" si="76"/>
        <v>64.163254229695369</v>
      </c>
      <c r="BP158" s="155">
        <f t="shared" si="77"/>
        <v>11.710457909816734</v>
      </c>
    </row>
    <row r="159" spans="1:68">
      <c r="A159" s="155" t="s">
        <v>296</v>
      </c>
      <c r="B159" s="155" t="s">
        <v>1195</v>
      </c>
      <c r="C159" s="155" t="s">
        <v>207</v>
      </c>
      <c r="D159" s="155">
        <v>5.3</v>
      </c>
      <c r="E159" s="189">
        <v>0</v>
      </c>
      <c r="F159" s="67">
        <v>0</v>
      </c>
      <c r="G159" s="67">
        <v>0</v>
      </c>
      <c r="H159" s="67">
        <v>0</v>
      </c>
      <c r="I159" s="67">
        <v>122</v>
      </c>
      <c r="J159" s="67">
        <v>1617</v>
      </c>
      <c r="K159" s="67">
        <v>583</v>
      </c>
      <c r="L159" s="67">
        <v>1442</v>
      </c>
      <c r="M159" s="67">
        <v>9579</v>
      </c>
      <c r="N159" s="67">
        <v>9579</v>
      </c>
      <c r="O159" s="67">
        <v>5794.0000000000018</v>
      </c>
      <c r="Q159" s="202" t="s">
        <v>296</v>
      </c>
      <c r="R159" s="202" t="s">
        <v>1195</v>
      </c>
      <c r="S159" s="202" t="s">
        <v>207</v>
      </c>
      <c r="T159" s="76">
        <f>SUM($E159:F159)</f>
        <v>0</v>
      </c>
      <c r="U159" s="76">
        <f>SUM($E159:G159)</f>
        <v>0</v>
      </c>
      <c r="V159" s="76">
        <f>SUM($E159:H159)</f>
        <v>0</v>
      </c>
      <c r="W159" s="76">
        <f>SUM($E159:I159)</f>
        <v>122</v>
      </c>
      <c r="X159" s="76">
        <f>SUM($E159:J159)</f>
        <v>1739</v>
      </c>
      <c r="Y159" s="76">
        <f>SUM($E159:K159)</f>
        <v>2322</v>
      </c>
      <c r="Z159" s="76">
        <f>SUM($E159:L159)</f>
        <v>3764</v>
      </c>
      <c r="AA159" s="76">
        <f>SUM($E159:M159)</f>
        <v>13343</v>
      </c>
      <c r="AB159" s="76">
        <f>SUM($E159:N159)</f>
        <v>22922</v>
      </c>
      <c r="AC159" s="76">
        <f>SUM($E159:O159)</f>
        <v>28716</v>
      </c>
      <c r="AE159" s="76">
        <f t="shared" si="56"/>
        <v>0</v>
      </c>
      <c r="AF159" s="76">
        <f t="shared" si="57"/>
        <v>0</v>
      </c>
      <c r="AG159" s="76">
        <f t="shared" si="58"/>
        <v>0</v>
      </c>
      <c r="AH159" s="76">
        <f t="shared" si="59"/>
        <v>129.84853584199996</v>
      </c>
      <c r="AI159" s="76">
        <f t="shared" si="60"/>
        <v>1889.742151718458</v>
      </c>
      <c r="AJ159" s="76">
        <f t="shared" si="61"/>
        <v>2576.2673278276907</v>
      </c>
      <c r="AK159" s="76">
        <f t="shared" si="62"/>
        <v>4263.8711010354173</v>
      </c>
      <c r="AL159" s="76">
        <f t="shared" si="63"/>
        <v>15432.407432316419</v>
      </c>
      <c r="AM159" s="76">
        <f t="shared" si="64"/>
        <v>27068.141922355659</v>
      </c>
      <c r="AN159" s="76">
        <f t="shared" si="65"/>
        <v>34622.276741761394</v>
      </c>
      <c r="AP159" s="202" t="s">
        <v>296</v>
      </c>
      <c r="AQ159" s="202" t="s">
        <v>207</v>
      </c>
      <c r="AR159" s="155" cm="1">
        <f t="array" ref="AR159">_xlfn.IFS($AQ159=$AP$1,$AQ$1*AE159,$AQ159=$AP$2,$AQ$2*AE159,$AQ159=$AP$3,$AQ$3*AE159,$AQ159=$AP$4,$AQ$4*AE159)</f>
        <v>0</v>
      </c>
      <c r="AS159" s="155" cm="1">
        <f t="array" ref="AS159">_xlfn.IFS($AQ159=$AP$1,$AQ$1*AF159,$AQ159=$AP$2,$AQ$2*AF159,$AQ159=$AP$3,$AQ$3*AF159,$AQ159=$AP$4,$AQ$4*AF159)</f>
        <v>0</v>
      </c>
      <c r="AT159" s="155" cm="1">
        <f t="array" ref="AT159">_xlfn.IFS($AQ159=$AP$1,$AQ$1*AG159,$AQ159=$AP$2,$AQ$2*AG159,$AQ159=$AP$3,$AQ$3*AG159,$AQ159=$AP$4,$AQ$4*AG159)</f>
        <v>0</v>
      </c>
      <c r="AU159" s="155" cm="1">
        <f t="array" ref="AU159">_xlfn.IFS($AQ159=$AP$1,$AQ$1*AH159,$AQ159=$AP$2,$AQ$2*AH159,$AQ159=$AP$3,$AQ$3*AH159,$AQ159=$AP$4,$AQ$4*AH159)</f>
        <v>10.464764610678104</v>
      </c>
      <c r="AV159" s="155" cm="1">
        <f t="array" ref="AV159">_xlfn.IFS($AQ159=$AP$1,$AQ$1*AI159,$AQ159=$AP$2,$AQ$2*AI159,$AQ159=$AP$3,$AQ$3*AI159,$AQ159=$AP$4,$AQ$4*AI159)</f>
        <v>152.29826554743093</v>
      </c>
      <c r="AW159" s="155" cm="1">
        <f t="array" ref="AW159">_xlfn.IFS($AQ159=$AP$1,$AQ$1*AJ159,$AQ159=$AP$2,$AQ$2*AJ159,$AQ159=$AP$3,$AQ$3*AJ159,$AQ159=$AP$4,$AQ$4*AJ159)</f>
        <v>207.62676286702609</v>
      </c>
      <c r="AX159" s="155" cm="1">
        <f t="array" ref="AX159">_xlfn.IFS($AQ159=$AP$1,$AQ$1*AK159,$AQ159=$AP$2,$AQ$2*AK159,$AQ159=$AP$3,$AQ$3*AK159,$AQ159=$AP$4,$AQ$4*AK159)</f>
        <v>343.63427445114013</v>
      </c>
      <c r="AY159" s="155" cm="1">
        <f t="array" ref="AY159">_xlfn.IFS($AQ159=$AP$1,$AQ$1*AL159,$AQ159=$AP$2,$AQ$2*AL159,$AQ159=$AP$3,$AQ$3*AL159,$AQ159=$AP$4,$AQ$4*AL159)</f>
        <v>1243.7299358675864</v>
      </c>
      <c r="AZ159" s="155" cm="1">
        <f t="array" ref="AZ159">_xlfn.IFS($AQ159=$AP$1,$AQ$1*AM159,$AQ159=$AP$2,$AQ$2*AM159,$AQ159=$AP$3,$AQ$3*AM159,$AQ159=$AP$4,$AQ$4*AM159)</f>
        <v>2181.4780723484901</v>
      </c>
      <c r="BA159" s="155" cm="1">
        <f t="array" ref="BA159">_xlfn.IFS($AQ159=$AP$1,$AQ$1*AN159,$AQ159=$AP$2,$AQ$2*AN159,$AQ159=$AP$3,$AQ$3*AN159,$AQ159=$AP$4,$AQ$4*AN159)</f>
        <v>2790.2815695138283</v>
      </c>
      <c r="BB159" s="155">
        <f>Table2[[#This Row],[FINAL Project System Capacity (MW)]]</f>
        <v>5.3</v>
      </c>
      <c r="BC159" s="155" t="str">
        <f>Table2[[#This Row],[FN Parent  '#]]</f>
        <v>FN011534</v>
      </c>
      <c r="BD159" s="155">
        <f t="shared" si="66"/>
        <v>5.3</v>
      </c>
      <c r="BE159" s="155">
        <f t="shared" si="78"/>
        <v>5.3</v>
      </c>
      <c r="BF159" s="155">
        <f t="shared" si="67"/>
        <v>0</v>
      </c>
      <c r="BG159" s="155">
        <f t="shared" si="68"/>
        <v>0</v>
      </c>
      <c r="BH159" s="155">
        <f t="shared" si="69"/>
        <v>0</v>
      </c>
      <c r="BI159" s="155">
        <f t="shared" si="70"/>
        <v>1.9744838888071896</v>
      </c>
      <c r="BJ159" s="155">
        <f t="shared" si="71"/>
        <v>28.735521801402061</v>
      </c>
      <c r="BK159" s="155">
        <f t="shared" si="72"/>
        <v>39.174860918306813</v>
      </c>
      <c r="BL159" s="155">
        <f t="shared" si="73"/>
        <v>64.836655556818897</v>
      </c>
      <c r="BM159" s="155">
        <f t="shared" si="74"/>
        <v>234.66602563539368</v>
      </c>
      <c r="BN159" s="155">
        <f t="shared" si="75"/>
        <v>411.59963629216793</v>
      </c>
      <c r="BO159" s="155">
        <f t="shared" si="76"/>
        <v>526.46822066298648</v>
      </c>
      <c r="BP159" s="155">
        <f t="shared" si="77"/>
        <v>102.5059232420647</v>
      </c>
    </row>
    <row r="160" spans="1:68">
      <c r="A160" s="155" t="s">
        <v>316</v>
      </c>
      <c r="B160" s="155" t="s">
        <v>1187</v>
      </c>
      <c r="C160" s="155" t="s">
        <v>208</v>
      </c>
      <c r="D160" s="155">
        <v>20</v>
      </c>
      <c r="E160" s="189">
        <v>0</v>
      </c>
      <c r="F160" s="67">
        <v>0</v>
      </c>
      <c r="G160" s="67">
        <v>0</v>
      </c>
      <c r="H160" s="67">
        <v>0</v>
      </c>
      <c r="I160" s="67">
        <v>149</v>
      </c>
      <c r="J160" s="67">
        <v>4224</v>
      </c>
      <c r="K160" s="67">
        <v>3963.96</v>
      </c>
      <c r="L160" s="67">
        <v>3875.85</v>
      </c>
      <c r="M160" s="67">
        <v>0</v>
      </c>
      <c r="N160" s="67">
        <v>0</v>
      </c>
      <c r="O160" s="67">
        <v>0</v>
      </c>
      <c r="Q160" s="201" t="s">
        <v>316</v>
      </c>
      <c r="R160" s="201" t="s">
        <v>1187</v>
      </c>
      <c r="S160" s="201" t="s">
        <v>208</v>
      </c>
      <c r="T160" s="76">
        <f>SUM($E160:F161)</f>
        <v>0</v>
      </c>
      <c r="U160" s="76">
        <f>SUM($E160:G161)</f>
        <v>0</v>
      </c>
      <c r="V160" s="76">
        <f>SUM($E160:H161)</f>
        <v>0</v>
      </c>
      <c r="W160" s="76">
        <f>SUM($E160:I161)</f>
        <v>149</v>
      </c>
      <c r="X160" s="76">
        <f>SUM($E160:J161)</f>
        <v>4373</v>
      </c>
      <c r="Y160" s="76">
        <f>SUM($E160:K161)</f>
        <v>8336.9599999999991</v>
      </c>
      <c r="Z160" s="76">
        <f>SUM($E160:L161)</f>
        <v>12212.81</v>
      </c>
      <c r="AA160" s="76">
        <f>SUM($E160:M161)</f>
        <v>12404.81</v>
      </c>
      <c r="AB160" s="76">
        <f>SUM($E160:N161)</f>
        <v>13143.81</v>
      </c>
      <c r="AC160" s="76">
        <f>SUM($E160:O161)</f>
        <v>14255.81</v>
      </c>
      <c r="AE160" s="76">
        <f t="shared" si="56"/>
        <v>0</v>
      </c>
      <c r="AF160" s="76">
        <f t="shared" si="57"/>
        <v>0</v>
      </c>
      <c r="AG160" s="76">
        <f t="shared" si="58"/>
        <v>0</v>
      </c>
      <c r="AH160" s="76">
        <f t="shared" si="59"/>
        <v>158.58550688899996</v>
      </c>
      <c r="AI160" s="76">
        <f t="shared" si="60"/>
        <v>4752.0658018774102</v>
      </c>
      <c r="AJ160" s="76">
        <f t="shared" si="61"/>
        <v>9249.8870204161685</v>
      </c>
      <c r="AK160" s="76">
        <f t="shared" si="62"/>
        <v>13834.709782528256</v>
      </c>
      <c r="AL160" s="76">
        <f t="shared" si="63"/>
        <v>14347.304357376379</v>
      </c>
      <c r="AM160" s="76">
        <f t="shared" si="64"/>
        <v>15521.268409409193</v>
      </c>
      <c r="AN160" s="76">
        <f t="shared" si="65"/>
        <v>17187.930038931936</v>
      </c>
      <c r="AP160" s="201" t="s">
        <v>316</v>
      </c>
      <c r="AQ160" s="201" t="s">
        <v>208</v>
      </c>
      <c r="AR160" s="155" cm="1">
        <f t="array" ref="AR160">_xlfn.IFS($AQ160=$AP$1,$AQ$1*AE160,$AQ160=$AP$2,$AQ$2*AE160,$AQ160=$AP$3,$AQ$3*AE160,$AQ160=$AP$4,$AQ$4*AE160)</f>
        <v>0</v>
      </c>
      <c r="AS160" s="155" cm="1">
        <f t="array" ref="AS160">_xlfn.IFS($AQ160=$AP$1,$AQ$1*AF160,$AQ160=$AP$2,$AQ$2*AF160,$AQ160=$AP$3,$AQ$3*AF160,$AQ160=$AP$4,$AQ$4*AF160)</f>
        <v>0</v>
      </c>
      <c r="AT160" s="155" cm="1">
        <f t="array" ref="AT160">_xlfn.IFS($AQ160=$AP$1,$AQ$1*AG160,$AQ160=$AP$2,$AQ$2*AG160,$AQ160=$AP$3,$AQ$3*AG160,$AQ160=$AP$4,$AQ$4*AG160)</f>
        <v>0</v>
      </c>
      <c r="AU160" s="155" cm="1">
        <f t="array" ref="AU160">_xlfn.IFS($AQ160=$AP$1,$AQ$1*AH160,$AQ160=$AP$2,$AQ$2*AH160,$AQ160=$AP$3,$AQ$3*AH160,$AQ160=$AP$4,$AQ$4*AH160)</f>
        <v>22.406967646732578</v>
      </c>
      <c r="AV160" s="155" cm="1">
        <f t="array" ref="AV160">_xlfn.IFS($AQ160=$AP$1,$AQ$1*AI160,$AQ160=$AP$2,$AQ$2*AI160,$AQ160=$AP$3,$AQ$3*AI160,$AQ160=$AP$4,$AQ$4*AI160)</f>
        <v>671.43200388633511</v>
      </c>
      <c r="AW160" s="155" cm="1">
        <f t="array" ref="AW160">_xlfn.IFS($AQ160=$AP$1,$AQ$1*AJ160,$AQ160=$AP$2,$AQ$2*AJ160,$AQ160=$AP$3,$AQ$3*AJ160,$AQ160=$AP$4,$AQ$4*AJ160)</f>
        <v>1306.9411150381304</v>
      </c>
      <c r="AX160" s="155" cm="1">
        <f t="array" ref="AX160">_xlfn.IFS($AQ160=$AP$1,$AQ$1*AK160,$AQ160=$AP$2,$AQ$2*AK160,$AQ160=$AP$3,$AQ$3*AK160,$AQ160=$AP$4,$AQ$4*AK160)</f>
        <v>1954.742905453661</v>
      </c>
      <c r="AY160" s="155" cm="1">
        <f t="array" ref="AY160">_xlfn.IFS($AQ160=$AP$1,$AQ$1*AL160,$AQ160=$AP$2,$AQ$2*AL160,$AQ160=$AP$3,$AQ$3*AL160,$AQ160=$AP$4,$AQ$4*AL160)</f>
        <v>2027.1687549516973</v>
      </c>
      <c r="AZ160" s="155" cm="1">
        <f t="array" ref="AZ160">_xlfn.IFS($AQ160=$AP$1,$AQ$1*AM160,$AQ160=$AP$2,$AQ$2*AM160,$AQ160=$AP$3,$AQ$3*AM160,$AQ160=$AP$4,$AQ$4*AM160)</f>
        <v>2193.0412552094808</v>
      </c>
      <c r="BA160" s="155" cm="1">
        <f t="array" ref="BA160">_xlfn.IFS($AQ160=$AP$1,$AQ$1*AN160,$AQ160=$AP$2,$AQ$2*AN160,$AQ160=$AP$3,$AQ$3*AN160,$AQ160=$AP$4,$AQ$4*AN160)</f>
        <v>2428.5283053401449</v>
      </c>
      <c r="BB160" s="155">
        <f>Table2[[#This Row],[FINAL Project System Capacity (MW)]]</f>
        <v>20</v>
      </c>
      <c r="BC160" s="155" t="str">
        <f>Table2[[#This Row],[FN Parent  '#]]</f>
        <v>FN011344</v>
      </c>
      <c r="BD160" s="155">
        <f t="shared" si="66"/>
        <v>20</v>
      </c>
      <c r="BE160" s="155">
        <f t="shared" si="78"/>
        <v>20</v>
      </c>
      <c r="BF160" s="155">
        <f t="shared" si="67"/>
        <v>0</v>
      </c>
      <c r="BG160" s="155">
        <f t="shared" si="68"/>
        <v>0</v>
      </c>
      <c r="BH160" s="155">
        <f t="shared" si="69"/>
        <v>0</v>
      </c>
      <c r="BI160" s="155">
        <f t="shared" si="70"/>
        <v>1.1203483823366289</v>
      </c>
      <c r="BJ160" s="155">
        <f t="shared" si="71"/>
        <v>33.571600194316758</v>
      </c>
      <c r="BK160" s="155">
        <f t="shared" si="72"/>
        <v>65.347055751906524</v>
      </c>
      <c r="BL160" s="155">
        <f t="shared" si="73"/>
        <v>97.737145272683051</v>
      </c>
      <c r="BM160" s="155">
        <f t="shared" si="74"/>
        <v>101.35843774758487</v>
      </c>
      <c r="BN160" s="155">
        <f t="shared" si="75"/>
        <v>109.65206276047404</v>
      </c>
      <c r="BO160" s="155">
        <f t="shared" si="76"/>
        <v>121.42641526700724</v>
      </c>
      <c r="BP160" s="155">
        <f t="shared" si="77"/>
        <v>44.231462610495925</v>
      </c>
    </row>
    <row r="161" spans="1:68">
      <c r="A161" s="155" t="s">
        <v>316</v>
      </c>
      <c r="B161" s="155" t="s">
        <v>1187</v>
      </c>
      <c r="C161" s="155" t="s">
        <v>208</v>
      </c>
      <c r="D161" s="155">
        <v>20</v>
      </c>
      <c r="E161" s="189">
        <v>0</v>
      </c>
      <c r="F161" s="67">
        <v>0</v>
      </c>
      <c r="G161" s="67">
        <v>0</v>
      </c>
      <c r="H161" s="67">
        <v>0</v>
      </c>
      <c r="I161" s="67">
        <v>0</v>
      </c>
      <c r="J161" s="67">
        <v>0</v>
      </c>
      <c r="K161" s="67">
        <v>0</v>
      </c>
      <c r="L161" s="67">
        <v>0</v>
      </c>
      <c r="M161" s="67">
        <v>192</v>
      </c>
      <c r="N161" s="67">
        <v>739</v>
      </c>
      <c r="O161" s="67">
        <v>1111.9999999999998</v>
      </c>
      <c r="Q161" s="202" t="s">
        <v>316</v>
      </c>
      <c r="R161" s="202" t="s">
        <v>1187</v>
      </c>
      <c r="S161" s="202" t="s">
        <v>208</v>
      </c>
      <c r="U161" s="155"/>
      <c r="V161" s="155"/>
      <c r="W161" s="155"/>
      <c r="X161" s="155"/>
      <c r="Y161" s="155"/>
      <c r="Z161" s="155"/>
      <c r="AA161" s="155"/>
      <c r="AB161" s="155"/>
      <c r="AC161" s="155"/>
      <c r="AE161" s="76">
        <f t="shared" si="56"/>
        <v>0</v>
      </c>
      <c r="AF161" s="76">
        <f t="shared" si="57"/>
        <v>0</v>
      </c>
      <c r="AG161" s="76">
        <f t="shared" si="58"/>
        <v>0</v>
      </c>
      <c r="AH161" s="76">
        <f t="shared" si="59"/>
        <v>0</v>
      </c>
      <c r="AI161" s="76">
        <f t="shared" si="60"/>
        <v>0</v>
      </c>
      <c r="AJ161" s="76">
        <f t="shared" si="61"/>
        <v>0</v>
      </c>
      <c r="AK161" s="76">
        <f t="shared" si="62"/>
        <v>0</v>
      </c>
      <c r="AL161" s="76">
        <f t="shared" si="63"/>
        <v>0</v>
      </c>
      <c r="AM161" s="76">
        <f t="shared" si="64"/>
        <v>0</v>
      </c>
      <c r="AN161" s="76">
        <f t="shared" si="65"/>
        <v>0</v>
      </c>
      <c r="AP161" s="202" t="s">
        <v>316</v>
      </c>
      <c r="AQ161" s="202" t="s">
        <v>208</v>
      </c>
      <c r="AR161" s="155" cm="1">
        <f t="array" ref="AR161">_xlfn.IFS($AQ161=$AP$1,$AQ$1*AE161,$AQ161=$AP$2,$AQ$2*AE161,$AQ161=$AP$3,$AQ$3*AE161,$AQ161=$AP$4,$AQ$4*AE161)</f>
        <v>0</v>
      </c>
      <c r="AS161" s="155" cm="1">
        <f t="array" ref="AS161">_xlfn.IFS($AQ161=$AP$1,$AQ$1*AF161,$AQ161=$AP$2,$AQ$2*AF161,$AQ161=$AP$3,$AQ$3*AF161,$AQ161=$AP$4,$AQ$4*AF161)</f>
        <v>0</v>
      </c>
      <c r="AT161" s="155" cm="1">
        <f t="array" ref="AT161">_xlfn.IFS($AQ161=$AP$1,$AQ$1*AG161,$AQ161=$AP$2,$AQ$2*AG161,$AQ161=$AP$3,$AQ$3*AG161,$AQ161=$AP$4,$AQ$4*AG161)</f>
        <v>0</v>
      </c>
      <c r="AU161" s="155" cm="1">
        <f t="array" ref="AU161">_xlfn.IFS($AQ161=$AP$1,$AQ$1*AH161,$AQ161=$AP$2,$AQ$2*AH161,$AQ161=$AP$3,$AQ$3*AH161,$AQ161=$AP$4,$AQ$4*AH161)</f>
        <v>0</v>
      </c>
      <c r="AV161" s="155" cm="1">
        <f t="array" ref="AV161">_xlfn.IFS($AQ161=$AP$1,$AQ$1*AI161,$AQ161=$AP$2,$AQ$2*AI161,$AQ161=$AP$3,$AQ$3*AI161,$AQ161=$AP$4,$AQ$4*AI161)</f>
        <v>0</v>
      </c>
      <c r="AW161" s="155" cm="1">
        <f t="array" ref="AW161">_xlfn.IFS($AQ161=$AP$1,$AQ$1*AJ161,$AQ161=$AP$2,$AQ$2*AJ161,$AQ161=$AP$3,$AQ$3*AJ161,$AQ161=$AP$4,$AQ$4*AJ161)</f>
        <v>0</v>
      </c>
      <c r="AX161" s="155" cm="1">
        <f t="array" ref="AX161">_xlfn.IFS($AQ161=$AP$1,$AQ$1*AK161,$AQ161=$AP$2,$AQ$2*AK161,$AQ161=$AP$3,$AQ$3*AK161,$AQ161=$AP$4,$AQ$4*AK161)</f>
        <v>0</v>
      </c>
      <c r="AY161" s="155" cm="1">
        <f t="array" ref="AY161">_xlfn.IFS($AQ161=$AP$1,$AQ$1*AL161,$AQ161=$AP$2,$AQ$2*AL161,$AQ161=$AP$3,$AQ$3*AL161,$AQ161=$AP$4,$AQ$4*AL161)</f>
        <v>0</v>
      </c>
      <c r="AZ161" s="155" cm="1">
        <f t="array" ref="AZ161">_xlfn.IFS($AQ161=$AP$1,$AQ$1*AM161,$AQ161=$AP$2,$AQ$2*AM161,$AQ161=$AP$3,$AQ$3*AM161,$AQ161=$AP$4,$AQ$4*AM161)</f>
        <v>0</v>
      </c>
      <c r="BA161" s="155" cm="1">
        <f t="array" ref="BA161">_xlfn.IFS($AQ161=$AP$1,$AQ$1*AN161,$AQ161=$AP$2,$AQ$2*AN161,$AQ161=$AP$3,$AQ$3*AN161,$AQ161=$AP$4,$AQ$4*AN161)</f>
        <v>0</v>
      </c>
      <c r="BB161" s="155"/>
      <c r="BC161" s="155" t="str">
        <f>Table2[[#This Row],[FN Parent  '#]]</f>
        <v>FN011344</v>
      </c>
      <c r="BD161" s="155">
        <f t="shared" si="66"/>
        <v>0</v>
      </c>
      <c r="BF161" s="155" t="str">
        <f t="shared" si="67"/>
        <v/>
      </c>
      <c r="BG161" s="155" t="str">
        <f t="shared" si="68"/>
        <v/>
      </c>
      <c r="BH161" s="155" t="str">
        <f t="shared" si="69"/>
        <v/>
      </c>
      <c r="BI161" s="155" t="str">
        <f t="shared" si="70"/>
        <v/>
      </c>
      <c r="BJ161" s="155" t="str">
        <f t="shared" si="71"/>
        <v/>
      </c>
      <c r="BK161" s="155" t="str">
        <f t="shared" si="72"/>
        <v/>
      </c>
      <c r="BL161" s="155" t="str">
        <f t="shared" si="73"/>
        <v/>
      </c>
      <c r="BM161" s="155" t="str">
        <f t="shared" si="74"/>
        <v/>
      </c>
      <c r="BN161" s="155" t="str">
        <f t="shared" si="75"/>
        <v/>
      </c>
      <c r="BO161" s="155" t="str">
        <f t="shared" si="76"/>
        <v/>
      </c>
      <c r="BP161" s="155">
        <f t="shared" si="77"/>
        <v>0</v>
      </c>
    </row>
    <row r="162" spans="1:68">
      <c r="A162" s="155" t="s">
        <v>298</v>
      </c>
      <c r="B162" s="155" t="s">
        <v>1345</v>
      </c>
      <c r="C162" s="155" t="s">
        <v>207</v>
      </c>
      <c r="D162" s="155">
        <v>19.399999999999999</v>
      </c>
      <c r="E162" s="189">
        <v>0</v>
      </c>
      <c r="F162" s="67">
        <v>0</v>
      </c>
      <c r="G162" s="67">
        <v>0</v>
      </c>
      <c r="H162" s="67">
        <v>0</v>
      </c>
      <c r="I162" s="67">
        <v>100</v>
      </c>
      <c r="J162" s="67">
        <v>1330</v>
      </c>
      <c r="K162" s="67">
        <v>480</v>
      </c>
      <c r="L162" s="67">
        <v>1187</v>
      </c>
      <c r="M162" s="67">
        <v>7881</v>
      </c>
      <c r="N162" s="67">
        <v>7881</v>
      </c>
      <c r="O162" s="67">
        <v>4767</v>
      </c>
      <c r="Q162" s="201" t="s">
        <v>298</v>
      </c>
      <c r="R162" s="201" t="s">
        <v>1345</v>
      </c>
      <c r="S162" s="201" t="s">
        <v>207</v>
      </c>
      <c r="T162" s="76">
        <f>SUM($E162:F162)</f>
        <v>0</v>
      </c>
      <c r="U162" s="76">
        <f>SUM($E162:G162)</f>
        <v>0</v>
      </c>
      <c r="V162" s="76">
        <f>SUM($E162:H162)</f>
        <v>0</v>
      </c>
      <c r="W162" s="76">
        <f>SUM($E162:I162)</f>
        <v>100</v>
      </c>
      <c r="X162" s="76">
        <f>SUM($E162:J162)</f>
        <v>1430</v>
      </c>
      <c r="Y162" s="76">
        <f>SUM($E162:K162)</f>
        <v>1910</v>
      </c>
      <c r="Z162" s="76">
        <f>SUM($E162:L162)</f>
        <v>3097</v>
      </c>
      <c r="AA162" s="76">
        <f>SUM($E162:M162)</f>
        <v>10978</v>
      </c>
      <c r="AB162" s="76">
        <f>SUM($E162:N162)</f>
        <v>18859</v>
      </c>
      <c r="AC162" s="76">
        <f>SUM($E162:O162)</f>
        <v>23626</v>
      </c>
      <c r="AE162" s="76">
        <f t="shared" si="56"/>
        <v>0</v>
      </c>
      <c r="AF162" s="76">
        <f t="shared" si="57"/>
        <v>0</v>
      </c>
      <c r="AG162" s="76">
        <f t="shared" si="58"/>
        <v>0</v>
      </c>
      <c r="AH162" s="76">
        <f t="shared" si="59"/>
        <v>106.43322609999997</v>
      </c>
      <c r="AI162" s="76">
        <f t="shared" si="60"/>
        <v>1553.9570310278293</v>
      </c>
      <c r="AJ162" s="76">
        <f t="shared" si="61"/>
        <v>2119.1518501941814</v>
      </c>
      <c r="AK162" s="76">
        <f t="shared" si="62"/>
        <v>3508.2913921112349</v>
      </c>
      <c r="AL162" s="76">
        <f t="shared" si="63"/>
        <v>12697.067285615653</v>
      </c>
      <c r="AM162" s="76">
        <f t="shared" si="64"/>
        <v>22270.22461014333</v>
      </c>
      <c r="AN162" s="76">
        <f t="shared" si="65"/>
        <v>28485.370883857595</v>
      </c>
      <c r="AP162" s="201" t="s">
        <v>298</v>
      </c>
      <c r="AQ162" s="201" t="s">
        <v>207</v>
      </c>
      <c r="AR162" s="155" cm="1">
        <f t="array" ref="AR162">_xlfn.IFS($AQ162=$AP$1,$AQ$1*AE162,$AQ162=$AP$2,$AQ$2*AE162,$AQ162=$AP$3,$AQ$3*AE162,$AQ162=$AP$4,$AQ$4*AE162)</f>
        <v>0</v>
      </c>
      <c r="AS162" s="155" cm="1">
        <f t="array" ref="AS162">_xlfn.IFS($AQ162=$AP$1,$AQ$1*AF162,$AQ162=$AP$2,$AQ$2*AF162,$AQ162=$AP$3,$AQ$3*AF162,$AQ162=$AP$4,$AQ$4*AF162)</f>
        <v>0</v>
      </c>
      <c r="AT162" s="155" cm="1">
        <f t="array" ref="AT162">_xlfn.IFS($AQ162=$AP$1,$AQ$1*AG162,$AQ162=$AP$2,$AQ$2*AG162,$AQ162=$AP$3,$AQ$3*AG162,$AQ162=$AP$4,$AQ$4*AG162)</f>
        <v>0</v>
      </c>
      <c r="AU162" s="155" cm="1">
        <f t="array" ref="AU162">_xlfn.IFS($AQ162=$AP$1,$AQ$1*AH162,$AQ162=$AP$2,$AQ$2*AH162,$AQ162=$AP$3,$AQ$3*AH162,$AQ162=$AP$4,$AQ$4*AH162)</f>
        <v>8.5776759103918891</v>
      </c>
      <c r="AV162" s="155" cm="1">
        <f t="array" ref="AV162">_xlfn.IFS($AQ162=$AP$1,$AQ$1*AI162,$AQ162=$AP$2,$AQ$2*AI162,$AQ162=$AP$3,$AQ$3*AI162,$AQ162=$AP$4,$AQ$4*AI162)</f>
        <v>125.23664159449467</v>
      </c>
      <c r="AW162" s="155" cm="1">
        <f t="array" ref="AW162">_xlfn.IFS($AQ162=$AP$1,$AQ$1*AJ162,$AQ162=$AP$2,$AQ$2*AJ162,$AQ162=$AP$3,$AQ$3*AJ162,$AQ162=$AP$4,$AQ$4*AJ162)</f>
        <v>170.78687212576222</v>
      </c>
      <c r="AX162" s="155" cm="1">
        <f t="array" ref="AX162">_xlfn.IFS($AQ162=$AP$1,$AQ$1*AK162,$AQ162=$AP$2,$AQ$2*AK162,$AQ162=$AP$3,$AQ$3*AK162,$AQ162=$AP$4,$AQ$4*AK162)</f>
        <v>282.7405281549365</v>
      </c>
      <c r="AY162" s="155" cm="1">
        <f t="array" ref="AY162">_xlfn.IFS($AQ162=$AP$1,$AQ$1*AL162,$AQ162=$AP$2,$AQ$2*AL162,$AQ162=$AP$3,$AQ$3*AL162,$AQ162=$AP$4,$AQ$4*AL162)</f>
        <v>1023.2831624038346</v>
      </c>
      <c r="AZ162" s="155" cm="1">
        <f t="array" ref="AZ162">_xlfn.IFS($AQ162=$AP$1,$AQ$1*AM162,$AQ162=$AP$2,$AQ$2*AM162,$AQ162=$AP$3,$AQ$3*AM162,$AQ162=$AP$4,$AQ$4*AM162)</f>
        <v>1794.8038987182697</v>
      </c>
      <c r="BA162" s="155" cm="1">
        <f t="array" ref="BA162">_xlfn.IFS($AQ162=$AP$1,$AQ$1*AN162,$AQ162=$AP$2,$AQ$2*AN162,$AQ162=$AP$3,$AQ$3*AN162,$AQ162=$AP$4,$AQ$4*AN162)</f>
        <v>2295.6955133491333</v>
      </c>
      <c r="BB162" s="155">
        <f>Table2[[#This Row],[FINAL Project System Capacity (MW)]]</f>
        <v>19.399999999999999</v>
      </c>
      <c r="BC162" s="155" t="str">
        <f>Table2[[#This Row],[FN Parent  '#]]</f>
        <v>Individual Project</v>
      </c>
      <c r="BD162" s="155">
        <f t="shared" si="66"/>
        <v>19.399999999999999</v>
      </c>
      <c r="BE162" s="155">
        <f t="shared" si="78"/>
        <v>19.399999999999999</v>
      </c>
      <c r="BF162" s="155">
        <f t="shared" si="67"/>
        <v>0</v>
      </c>
      <c r="BG162" s="155">
        <f t="shared" si="68"/>
        <v>0</v>
      </c>
      <c r="BH162" s="155">
        <f t="shared" si="69"/>
        <v>0</v>
      </c>
      <c r="BI162" s="155">
        <f t="shared" si="70"/>
        <v>0.44214824280370568</v>
      </c>
      <c r="BJ162" s="155">
        <f t="shared" si="71"/>
        <v>6.4554969894069423</v>
      </c>
      <c r="BK162" s="155">
        <f t="shared" si="72"/>
        <v>8.8034470167918677</v>
      </c>
      <c r="BL162" s="155">
        <f t="shared" si="73"/>
        <v>14.574254028604976</v>
      </c>
      <c r="BM162" s="155">
        <f t="shared" si="74"/>
        <v>52.746554763084262</v>
      </c>
      <c r="BN162" s="155">
        <f t="shared" si="75"/>
        <v>92.515664882385039</v>
      </c>
      <c r="BO162" s="155">
        <f t="shared" si="76"/>
        <v>118.33482027572853</v>
      </c>
      <c r="BP162" s="155">
        <f t="shared" si="77"/>
        <v>23.039764194216474</v>
      </c>
    </row>
    <row r="163" spans="1:68">
      <c r="A163" s="155" t="s">
        <v>299</v>
      </c>
      <c r="B163" s="155" t="s">
        <v>1345</v>
      </c>
      <c r="C163" s="155" t="s">
        <v>207</v>
      </c>
      <c r="D163" s="155">
        <v>7</v>
      </c>
      <c r="E163" s="189">
        <v>0</v>
      </c>
      <c r="F163" s="67">
        <v>0</v>
      </c>
      <c r="G163" s="67">
        <v>0</v>
      </c>
      <c r="H163" s="67">
        <v>0</v>
      </c>
      <c r="I163" s="67">
        <v>30</v>
      </c>
      <c r="J163" s="67">
        <v>644</v>
      </c>
      <c r="K163" s="67">
        <v>2540</v>
      </c>
      <c r="L163" s="67">
        <v>4950</v>
      </c>
      <c r="M163" s="67">
        <v>3465</v>
      </c>
      <c r="N163" s="67">
        <v>248</v>
      </c>
      <c r="O163" s="67">
        <v>0</v>
      </c>
      <c r="Q163" s="202" t="s">
        <v>299</v>
      </c>
      <c r="R163" s="202" t="s">
        <v>1345</v>
      </c>
      <c r="S163" s="202" t="s">
        <v>207</v>
      </c>
      <c r="T163" s="76">
        <f>SUM($E163:F163)</f>
        <v>0</v>
      </c>
      <c r="U163" s="76">
        <f>SUM($E163:G163)</f>
        <v>0</v>
      </c>
      <c r="V163" s="76">
        <f>SUM($E163:H163)</f>
        <v>0</v>
      </c>
      <c r="W163" s="76">
        <f>SUM($E163:I163)</f>
        <v>30</v>
      </c>
      <c r="X163" s="76">
        <f>SUM($E163:J163)</f>
        <v>674</v>
      </c>
      <c r="Y163" s="76">
        <f>SUM($E163:K163)</f>
        <v>3214</v>
      </c>
      <c r="Z163" s="76">
        <f>SUM($E163:L163)</f>
        <v>8164</v>
      </c>
      <c r="AA163" s="76">
        <f>SUM($E163:M163)</f>
        <v>11629</v>
      </c>
      <c r="AB163" s="76">
        <f>SUM($E163:N163)</f>
        <v>11877</v>
      </c>
      <c r="AC163" s="76">
        <f>SUM($E163:O163)</f>
        <v>11877</v>
      </c>
      <c r="AE163" s="76">
        <f t="shared" si="56"/>
        <v>0</v>
      </c>
      <c r="AF163" s="76">
        <f t="shared" si="57"/>
        <v>0</v>
      </c>
      <c r="AG163" s="76">
        <f t="shared" si="58"/>
        <v>0</v>
      </c>
      <c r="AH163" s="76">
        <f t="shared" si="59"/>
        <v>31.929967829999988</v>
      </c>
      <c r="AI163" s="76">
        <f t="shared" si="60"/>
        <v>732.42450273619363</v>
      </c>
      <c r="AJ163" s="76">
        <f t="shared" si="61"/>
        <v>3565.9445269759685</v>
      </c>
      <c r="AK163" s="76">
        <f t="shared" si="62"/>
        <v>9248.2050129790514</v>
      </c>
      <c r="AL163" s="76">
        <f t="shared" si="63"/>
        <v>13450.00869597599</v>
      </c>
      <c r="AM163" s="76">
        <f t="shared" si="64"/>
        <v>14025.31723286878</v>
      </c>
      <c r="AN163" s="76">
        <f t="shared" si="65"/>
        <v>14319.848894759021</v>
      </c>
      <c r="AP163" s="202" t="s">
        <v>299</v>
      </c>
      <c r="AQ163" s="202" t="s">
        <v>207</v>
      </c>
      <c r="AR163" s="155" cm="1">
        <f t="array" ref="AR163">_xlfn.IFS($AQ163=$AP$1,$AQ$1*AE163,$AQ163=$AP$2,$AQ$2*AE163,$AQ163=$AP$3,$AQ$3*AE163,$AQ163=$AP$4,$AQ$4*AE163)</f>
        <v>0</v>
      </c>
      <c r="AS163" s="155" cm="1">
        <f t="array" ref="AS163">_xlfn.IFS($AQ163=$AP$1,$AQ$1*AF163,$AQ163=$AP$2,$AQ$2*AF163,$AQ163=$AP$3,$AQ$3*AF163,$AQ163=$AP$4,$AQ$4*AF163)</f>
        <v>0</v>
      </c>
      <c r="AT163" s="155" cm="1">
        <f t="array" ref="AT163">_xlfn.IFS($AQ163=$AP$1,$AQ$1*AG163,$AQ163=$AP$2,$AQ$2*AG163,$AQ163=$AP$3,$AQ$3*AG163,$AQ163=$AP$4,$AQ$4*AG163)</f>
        <v>0</v>
      </c>
      <c r="AU163" s="155" cm="1">
        <f t="array" ref="AU163">_xlfn.IFS($AQ163=$AP$1,$AQ$1*AH163,$AQ163=$AP$2,$AQ$2*AH163,$AQ163=$AP$3,$AQ$3*AH163,$AQ163=$AP$4,$AQ$4*AH163)</f>
        <v>2.5733027731175664</v>
      </c>
      <c r="AV163" s="155" cm="1">
        <f t="array" ref="AV163">_xlfn.IFS($AQ163=$AP$1,$AQ$1*AI163,$AQ163=$AP$2,$AQ$2*AI163,$AQ163=$AP$3,$AQ$3*AI163,$AQ163=$AP$4,$AQ$4*AI163)</f>
        <v>59.027619884398185</v>
      </c>
      <c r="AW163" s="155" cm="1">
        <f t="array" ref="AW163">_xlfn.IFS($AQ163=$AP$1,$AQ$1*AJ163,$AQ163=$AP$2,$AQ$2*AJ163,$AQ163=$AP$3,$AQ$3*AJ163,$AQ163=$AP$4,$AQ$4*AJ163)</f>
        <v>287.38691466607321</v>
      </c>
      <c r="AX163" s="155" cm="1">
        <f t="array" ref="AX163">_xlfn.IFS($AQ163=$AP$1,$AQ$1*AK163,$AQ163=$AP$2,$AQ$2*AK163,$AQ163=$AP$3,$AQ$3*AK163,$AQ163=$AP$4,$AQ$4*AK163)</f>
        <v>745.33215106777584</v>
      </c>
      <c r="AY163" s="155" cm="1">
        <f t="array" ref="AY163">_xlfn.IFS($AQ163=$AP$1,$AQ$1*AL163,$AQ163=$AP$2,$AQ$2*AL163,$AQ163=$AP$3,$AQ$3*AL163,$AQ163=$AP$4,$AQ$4*AL163)</f>
        <v>1083.9642827103473</v>
      </c>
      <c r="AZ163" s="155" cm="1">
        <f t="array" ref="AZ163">_xlfn.IFS($AQ163=$AP$1,$AQ$1*AM163,$AQ163=$AP$2,$AQ$2*AM163,$AQ163=$AP$3,$AQ$3*AM163,$AQ163=$AP$4,$AQ$4*AM163)</f>
        <v>1130.3295988693403</v>
      </c>
      <c r="BA163" s="155" cm="1">
        <f t="array" ref="BA163">_xlfn.IFS($AQ163=$AP$1,$AQ$1*AN163,$AQ163=$AP$2,$AQ$2*AN163,$AQ163=$AP$3,$AQ$3*AN163,$AQ163=$AP$4,$AQ$4*AN163)</f>
        <v>1154.0665204455961</v>
      </c>
      <c r="BB163" s="155">
        <f>Table2[[#This Row],[FINAL Project System Capacity (MW)]]</f>
        <v>7</v>
      </c>
      <c r="BC163" s="155" t="str">
        <f>Table2[[#This Row],[FN Parent  '#]]</f>
        <v>Individual Project</v>
      </c>
      <c r="BD163" s="155">
        <f t="shared" si="66"/>
        <v>7</v>
      </c>
      <c r="BE163" s="155">
        <f t="shared" si="78"/>
        <v>7</v>
      </c>
      <c r="BF163" s="155">
        <f t="shared" si="67"/>
        <v>0</v>
      </c>
      <c r="BG163" s="155">
        <f t="shared" si="68"/>
        <v>0</v>
      </c>
      <c r="BH163" s="155">
        <f t="shared" si="69"/>
        <v>0</v>
      </c>
      <c r="BI163" s="155">
        <f t="shared" si="70"/>
        <v>0.36761468187393803</v>
      </c>
      <c r="BJ163" s="155">
        <f t="shared" si="71"/>
        <v>8.4325171263425975</v>
      </c>
      <c r="BK163" s="155">
        <f t="shared" si="72"/>
        <v>41.055273523724743</v>
      </c>
      <c r="BL163" s="155">
        <f t="shared" si="73"/>
        <v>106.47602158111083</v>
      </c>
      <c r="BM163" s="155">
        <f t="shared" si="74"/>
        <v>154.85204038719249</v>
      </c>
      <c r="BN163" s="155">
        <f t="shared" si="75"/>
        <v>161.47565698133434</v>
      </c>
      <c r="BO163" s="155">
        <f t="shared" si="76"/>
        <v>164.8666457779423</v>
      </c>
      <c r="BP163" s="155">
        <f t="shared" si="77"/>
        <v>51.712796934328686</v>
      </c>
    </row>
    <row r="164" spans="1:68">
      <c r="A164" s="155" t="s">
        <v>300</v>
      </c>
      <c r="B164" s="155" t="s">
        <v>1345</v>
      </c>
      <c r="C164" s="155" t="s">
        <v>208</v>
      </c>
      <c r="D164" s="155">
        <v>5.2</v>
      </c>
      <c r="E164" s="189">
        <v>0</v>
      </c>
      <c r="F164" s="67">
        <v>0</v>
      </c>
      <c r="G164" s="67">
        <v>0</v>
      </c>
      <c r="H164" s="67">
        <v>0</v>
      </c>
      <c r="I164" s="67">
        <v>0</v>
      </c>
      <c r="J164" s="67">
        <v>1292.2429999999999</v>
      </c>
      <c r="K164" s="67">
        <v>3952.1060000000002</v>
      </c>
      <c r="L164" s="67">
        <v>5946.1229999999996</v>
      </c>
      <c r="M164" s="67">
        <v>2596.4920000000002</v>
      </c>
      <c r="N164" s="67">
        <v>1018.059</v>
      </c>
      <c r="O164" s="67">
        <v>0</v>
      </c>
      <c r="Q164" s="201" t="s">
        <v>300</v>
      </c>
      <c r="R164" s="201" t="s">
        <v>1345</v>
      </c>
      <c r="S164" s="201" t="s">
        <v>208</v>
      </c>
      <c r="T164" s="76">
        <f>SUM($E164:F164)</f>
        <v>0</v>
      </c>
      <c r="U164" s="76">
        <f>SUM($E164:G164)</f>
        <v>0</v>
      </c>
      <c r="V164" s="76">
        <f>SUM($E164:H164)</f>
        <v>0</v>
      </c>
      <c r="W164" s="76">
        <f>SUM($E164:I164)</f>
        <v>0</v>
      </c>
      <c r="X164" s="76">
        <f>SUM($E164:J164)</f>
        <v>1292.2429999999999</v>
      </c>
      <c r="Y164" s="76">
        <f>SUM($E164:K164)</f>
        <v>5244.3490000000002</v>
      </c>
      <c r="Z164" s="76">
        <f>SUM($E164:L164)</f>
        <v>11190.472</v>
      </c>
      <c r="AA164" s="76">
        <f>SUM($E164:M164)</f>
        <v>13786.964</v>
      </c>
      <c r="AB164" s="76">
        <f>SUM($E164:N164)</f>
        <v>14805.022999999999</v>
      </c>
      <c r="AC164" s="76">
        <f>SUM($E164:O164)</f>
        <v>14805.022999999999</v>
      </c>
      <c r="AE164" s="76">
        <f t="shared" si="56"/>
        <v>0</v>
      </c>
      <c r="AF164" s="76">
        <f t="shared" si="57"/>
        <v>0</v>
      </c>
      <c r="AG164" s="76">
        <f t="shared" si="58"/>
        <v>0</v>
      </c>
      <c r="AH164" s="76">
        <f t="shared" si="59"/>
        <v>0</v>
      </c>
      <c r="AI164" s="76">
        <f t="shared" si="60"/>
        <v>1404.2588081444021</v>
      </c>
      <c r="AJ164" s="76">
        <f t="shared" si="61"/>
        <v>5818.6240243005268</v>
      </c>
      <c r="AK164" s="76">
        <f t="shared" si="62"/>
        <v>12676.602063694478</v>
      </c>
      <c r="AL164" s="76">
        <f t="shared" si="63"/>
        <v>15945.89265552566</v>
      </c>
      <c r="AM164" s="76">
        <f t="shared" si="64"/>
        <v>17482.962382328755</v>
      </c>
      <c r="AN164" s="76">
        <f t="shared" si="65"/>
        <v>17850.104592357657</v>
      </c>
      <c r="AP164" s="201" t="s">
        <v>300</v>
      </c>
      <c r="AQ164" s="201" t="s">
        <v>208</v>
      </c>
      <c r="AR164" s="155" cm="1">
        <f t="array" ref="AR164">_xlfn.IFS($AQ164=$AP$1,$AQ$1*AE164,$AQ164=$AP$2,$AQ$2*AE164,$AQ164=$AP$3,$AQ$3*AE164,$AQ164=$AP$4,$AQ$4*AE164)</f>
        <v>0</v>
      </c>
      <c r="AS164" s="155" cm="1">
        <f t="array" ref="AS164">_xlfn.IFS($AQ164=$AP$1,$AQ$1*AF164,$AQ164=$AP$2,$AQ$2*AF164,$AQ164=$AP$3,$AQ$3*AF164,$AQ164=$AP$4,$AQ$4*AF164)</f>
        <v>0</v>
      </c>
      <c r="AT164" s="155" cm="1">
        <f t="array" ref="AT164">_xlfn.IFS($AQ164=$AP$1,$AQ$1*AG164,$AQ164=$AP$2,$AQ$2*AG164,$AQ164=$AP$3,$AQ$3*AG164,$AQ164=$AP$4,$AQ$4*AG164)</f>
        <v>0</v>
      </c>
      <c r="AU164" s="155" cm="1">
        <f t="array" ref="AU164">_xlfn.IFS($AQ164=$AP$1,$AQ$1*AH164,$AQ164=$AP$2,$AQ$2*AH164,$AQ164=$AP$3,$AQ$3*AH164,$AQ164=$AP$4,$AQ$4*AH164)</f>
        <v>0</v>
      </c>
      <c r="AV164" s="155" cm="1">
        <f t="array" ref="AV164">_xlfn.IFS($AQ164=$AP$1,$AQ$1*AI164,$AQ164=$AP$2,$AQ$2*AI164,$AQ164=$AP$3,$AQ$3*AI164,$AQ164=$AP$4,$AQ$4*AI164)</f>
        <v>198.41145826619925</v>
      </c>
      <c r="AW164" s="155" cm="1">
        <f t="array" ref="AW164">_xlfn.IFS($AQ164=$AP$1,$AQ$1*AJ164,$AQ164=$AP$2,$AQ$2*AJ164,$AQ164=$AP$3,$AQ$3*AJ164,$AQ164=$AP$4,$AQ$4*AJ164)</f>
        <v>822.12884908996864</v>
      </c>
      <c r="AX164" s="155" cm="1">
        <f t="array" ref="AX164">_xlfn.IFS($AQ164=$AP$1,$AQ$1*AK164,$AQ164=$AP$2,$AQ$2*AK164,$AQ164=$AP$3,$AQ$3*AK164,$AQ164=$AP$4,$AQ$4*AK164)</f>
        <v>1791.1107886455159</v>
      </c>
      <c r="AY164" s="155" cm="1">
        <f t="array" ref="AY164">_xlfn.IFS($AQ164=$AP$1,$AQ$1*AL164,$AQ164=$AP$2,$AQ$2*AL164,$AQ164=$AP$3,$AQ$3*AL164,$AQ164=$AP$4,$AQ$4*AL164)</f>
        <v>2253.0375432145979</v>
      </c>
      <c r="AZ164" s="155" cm="1">
        <f t="array" ref="AZ164">_xlfn.IFS($AQ164=$AP$1,$AQ$1*AM164,$AQ164=$AP$2,$AQ$2*AM164,$AQ164=$AP$3,$AQ$3*AM164,$AQ164=$AP$4,$AQ$4*AM164)</f>
        <v>2470.2142090706752</v>
      </c>
      <c r="BA164" s="155" cm="1">
        <f t="array" ref="BA164">_xlfn.IFS($AQ164=$AP$1,$AQ$1*AN164,$AQ164=$AP$2,$AQ$2*AN164,$AQ164=$AP$3,$AQ$3*AN164,$AQ164=$AP$4,$AQ$4*AN164)</f>
        <v>2522.0887074611592</v>
      </c>
      <c r="BB164" s="155">
        <f>Table2[[#This Row],[FINAL Project System Capacity (MW)]]</f>
        <v>5.2</v>
      </c>
      <c r="BC164" s="155" t="str">
        <f>Table2[[#This Row],[FN Parent  '#]]</f>
        <v>Individual Project</v>
      </c>
      <c r="BD164" s="155">
        <f t="shared" si="66"/>
        <v>5.2</v>
      </c>
      <c r="BE164" s="155">
        <f t="shared" si="78"/>
        <v>5.2</v>
      </c>
      <c r="BF164" s="155">
        <f t="shared" si="67"/>
        <v>0</v>
      </c>
      <c r="BG164" s="155">
        <f t="shared" si="68"/>
        <v>0</v>
      </c>
      <c r="BH164" s="155">
        <f t="shared" si="69"/>
        <v>0</v>
      </c>
      <c r="BI164" s="155">
        <f t="shared" si="70"/>
        <v>0</v>
      </c>
      <c r="BJ164" s="155">
        <f t="shared" si="71"/>
        <v>38.156049666576777</v>
      </c>
      <c r="BK164" s="155">
        <f t="shared" si="72"/>
        <v>158.10170174807089</v>
      </c>
      <c r="BL164" s="155">
        <f t="shared" si="73"/>
        <v>344.44438243182998</v>
      </c>
      <c r="BM164" s="155">
        <f t="shared" si="74"/>
        <v>433.27645061819192</v>
      </c>
      <c r="BN164" s="155">
        <f t="shared" si="75"/>
        <v>475.0411940520529</v>
      </c>
      <c r="BO164" s="155">
        <f t="shared" si="76"/>
        <v>485.01705912714596</v>
      </c>
      <c r="BP164" s="155">
        <f t="shared" si="77"/>
        <v>157.8364850448103</v>
      </c>
    </row>
    <row r="165" spans="1:68">
      <c r="A165" s="155" t="s">
        <v>301</v>
      </c>
      <c r="B165" s="155" t="s">
        <v>1345</v>
      </c>
      <c r="C165" s="155" t="s">
        <v>207</v>
      </c>
      <c r="D165" s="155">
        <v>13</v>
      </c>
      <c r="E165" s="189">
        <v>0</v>
      </c>
      <c r="F165" s="67">
        <v>0</v>
      </c>
      <c r="G165" s="67">
        <v>0</v>
      </c>
      <c r="H165" s="67">
        <v>0</v>
      </c>
      <c r="I165" s="67">
        <v>0</v>
      </c>
      <c r="J165" s="67">
        <v>109.14749999999999</v>
      </c>
      <c r="K165" s="67">
        <v>1295.2909999999999</v>
      </c>
      <c r="L165" s="67">
        <v>8601.7180000000008</v>
      </c>
      <c r="M165" s="67">
        <v>8601.7180000000008</v>
      </c>
      <c r="N165" s="67">
        <v>5255.2040000000006</v>
      </c>
      <c r="O165" s="67">
        <v>1975.5700000000002</v>
      </c>
      <c r="Q165" s="202" t="s">
        <v>301</v>
      </c>
      <c r="R165" s="202" t="s">
        <v>1345</v>
      </c>
      <c r="S165" s="202" t="s">
        <v>207</v>
      </c>
      <c r="T165" s="76">
        <f>SUM($E165:F165)</f>
        <v>0</v>
      </c>
      <c r="U165" s="76">
        <f>SUM($E165:G165)</f>
        <v>0</v>
      </c>
      <c r="V165" s="76">
        <f>SUM($E165:H165)</f>
        <v>0</v>
      </c>
      <c r="W165" s="76">
        <f>SUM($E165:I165)</f>
        <v>0</v>
      </c>
      <c r="X165" s="76">
        <f>SUM($E165:J165)</f>
        <v>109.14749999999999</v>
      </c>
      <c r="Y165" s="76">
        <f>SUM($E165:K165)</f>
        <v>1404.4385</v>
      </c>
      <c r="Z165" s="76">
        <f>SUM($E165:L165)</f>
        <v>10006.156500000001</v>
      </c>
      <c r="AA165" s="76">
        <f>SUM($E165:M165)</f>
        <v>18607.874500000002</v>
      </c>
      <c r="AB165" s="76">
        <f>SUM($E165:N165)</f>
        <v>23863.078500000003</v>
      </c>
      <c r="AC165" s="76">
        <f>SUM($E165:O165)</f>
        <v>25838.648500000003</v>
      </c>
      <c r="AE165" s="76">
        <f t="shared" si="56"/>
        <v>0</v>
      </c>
      <c r="AF165" s="76">
        <f t="shared" si="57"/>
        <v>0</v>
      </c>
      <c r="AG165" s="76">
        <f t="shared" si="58"/>
        <v>0</v>
      </c>
      <c r="AH165" s="76">
        <f t="shared" si="59"/>
        <v>0</v>
      </c>
      <c r="AI165" s="76">
        <f t="shared" si="60"/>
        <v>118.60875877210488</v>
      </c>
      <c r="AJ165" s="76">
        <f t="shared" si="61"/>
        <v>1558.2295527533722</v>
      </c>
      <c r="AK165" s="76">
        <f t="shared" si="62"/>
        <v>11335.005720719369</v>
      </c>
      <c r="AL165" s="76">
        <f t="shared" si="63"/>
        <v>21521.71930850717</v>
      </c>
      <c r="AM165" s="76">
        <f t="shared" si="64"/>
        <v>28179.443135080452</v>
      </c>
      <c r="AN165" s="76">
        <f t="shared" si="65"/>
        <v>31153.114605101619</v>
      </c>
      <c r="AP165" s="202" t="s">
        <v>301</v>
      </c>
      <c r="AQ165" s="202" t="s">
        <v>207</v>
      </c>
      <c r="AR165" s="155" cm="1">
        <f t="array" ref="AR165">_xlfn.IFS($AQ165=$AP$1,$AQ$1*AE165,$AQ165=$AP$2,$AQ$2*AE165,$AQ165=$AP$3,$AQ$3*AE165,$AQ165=$AP$4,$AQ$4*AE165)</f>
        <v>0</v>
      </c>
      <c r="AS165" s="155" cm="1">
        <f t="array" ref="AS165">_xlfn.IFS($AQ165=$AP$1,$AQ$1*AF165,$AQ165=$AP$2,$AQ$2*AF165,$AQ165=$AP$3,$AQ$3*AF165,$AQ165=$AP$4,$AQ$4*AF165)</f>
        <v>0</v>
      </c>
      <c r="AT165" s="155" cm="1">
        <f t="array" ref="AT165">_xlfn.IFS($AQ165=$AP$1,$AQ$1*AG165,$AQ165=$AP$2,$AQ$2*AG165,$AQ165=$AP$3,$AQ$3*AG165,$AQ165=$AP$4,$AQ$4*AG165)</f>
        <v>0</v>
      </c>
      <c r="AU165" s="155" cm="1">
        <f t="array" ref="AU165">_xlfn.IFS($AQ165=$AP$1,$AQ$1*AH165,$AQ165=$AP$2,$AQ$2*AH165,$AQ165=$AP$3,$AQ$3*AH165,$AQ165=$AP$4,$AQ$4*AH165)</f>
        <v>0</v>
      </c>
      <c r="AV165" s="155" cm="1">
        <f t="array" ref="AV165">_xlfn.IFS($AQ165=$AP$1,$AQ$1*AI165,$AQ165=$AP$2,$AQ$2*AI165,$AQ165=$AP$3,$AQ$3*AI165,$AQ165=$AP$4,$AQ$4*AI165)</f>
        <v>9.5589275093951791</v>
      </c>
      <c r="AW165" s="155" cm="1">
        <f t="array" ref="AW165">_xlfn.IFS($AQ165=$AP$1,$AQ$1*AJ165,$AQ165=$AP$2,$AQ$2*AJ165,$AQ165=$AP$3,$AQ$3*AJ165,$AQ165=$AP$4,$AQ$4*AJ165)</f>
        <v>125.58097304083627</v>
      </c>
      <c r="AX165" s="155" cm="1">
        <f t="array" ref="AX165">_xlfn.IFS($AQ165=$AP$1,$AQ$1*AK165,$AQ165=$AP$2,$AQ$2*AK165,$AQ165=$AP$3,$AQ$3*AK165,$AQ165=$AP$4,$AQ$4*AK165)</f>
        <v>913.5117770781244</v>
      </c>
      <c r="AY165" s="155" cm="1">
        <f t="array" ref="AY165">_xlfn.IFS($AQ165=$AP$1,$AQ$1*AL165,$AQ165=$AP$2,$AQ$2*AL165,$AQ165=$AP$3,$AQ$3*AL165,$AQ165=$AP$4,$AQ$4*AL165)</f>
        <v>1734.4802936758674</v>
      </c>
      <c r="AZ165" s="155" cm="1">
        <f t="array" ref="AZ165">_xlfn.IFS($AQ165=$AP$1,$AQ$1*AM165,$AQ165=$AP$2,$AQ$2*AM165,$AQ165=$AP$3,$AQ$3*AM165,$AQ165=$AP$4,$AQ$4*AM165)</f>
        <v>2271.0401573370868</v>
      </c>
      <c r="BA165" s="155" cm="1">
        <f t="array" ref="BA165">_xlfn.IFS($AQ165=$AP$1,$AQ$1*AN165,$AQ165=$AP$2,$AQ$2*AN165,$AQ165=$AP$3,$AQ$3*AN165,$AQ165=$AP$4,$AQ$4*AN165)</f>
        <v>2510.6945497526167</v>
      </c>
      <c r="BB165" s="155">
        <f>Table2[[#This Row],[FINAL Project System Capacity (MW)]]</f>
        <v>13</v>
      </c>
      <c r="BC165" s="155" t="str">
        <f>Table2[[#This Row],[FN Parent  '#]]</f>
        <v>Individual Project</v>
      </c>
      <c r="BD165" s="155">
        <f t="shared" si="66"/>
        <v>13</v>
      </c>
      <c r="BE165" s="155">
        <f t="shared" si="78"/>
        <v>13</v>
      </c>
      <c r="BF165" s="155">
        <f t="shared" si="67"/>
        <v>0</v>
      </c>
      <c r="BG165" s="155">
        <f t="shared" si="68"/>
        <v>0</v>
      </c>
      <c r="BH165" s="155">
        <f t="shared" si="69"/>
        <v>0</v>
      </c>
      <c r="BI165" s="155">
        <f t="shared" si="70"/>
        <v>0</v>
      </c>
      <c r="BJ165" s="155">
        <f t="shared" si="71"/>
        <v>0.73530211610732144</v>
      </c>
      <c r="BK165" s="155">
        <f t="shared" si="72"/>
        <v>9.6600748492950981</v>
      </c>
      <c r="BL165" s="155">
        <f t="shared" si="73"/>
        <v>70.270136698317259</v>
      </c>
      <c r="BM165" s="155">
        <f t="shared" si="74"/>
        <v>133.42156105198981</v>
      </c>
      <c r="BN165" s="155">
        <f t="shared" si="75"/>
        <v>174.69539671823745</v>
      </c>
      <c r="BO165" s="155">
        <f t="shared" si="76"/>
        <v>193.13034998097052</v>
      </c>
      <c r="BP165" s="155">
        <f t="shared" si="77"/>
        <v>45.995606020290744</v>
      </c>
    </row>
    <row r="166" spans="1:68">
      <c r="A166" s="197" t="s">
        <v>220</v>
      </c>
      <c r="B166" s="155" t="s">
        <v>1320</v>
      </c>
      <c r="C166" s="155" t="s">
        <v>208</v>
      </c>
      <c r="D166" s="155">
        <v>40</v>
      </c>
      <c r="E166" s="189">
        <v>0</v>
      </c>
      <c r="F166" s="67">
        <v>80</v>
      </c>
      <c r="G166" s="67">
        <v>240</v>
      </c>
      <c r="H166" s="67">
        <v>680</v>
      </c>
      <c r="I166" s="67">
        <v>690</v>
      </c>
      <c r="J166" s="67">
        <v>5301.7735599999996</v>
      </c>
      <c r="K166" s="67">
        <v>8660.18325</v>
      </c>
      <c r="L166" s="67">
        <v>4912.0931899999996</v>
      </c>
      <c r="M166" s="67">
        <v>0</v>
      </c>
      <c r="N166" s="67">
        <v>0</v>
      </c>
      <c r="O166" s="67">
        <v>0</v>
      </c>
      <c r="Q166" s="197" t="s">
        <v>220</v>
      </c>
      <c r="R166" s="201" t="s">
        <v>1320</v>
      </c>
      <c r="S166" s="201" t="s">
        <v>208</v>
      </c>
      <c r="T166" s="76">
        <f>SUM($E166:F166)</f>
        <v>80</v>
      </c>
      <c r="U166" s="76">
        <f>SUM($E166:G166)</f>
        <v>320</v>
      </c>
      <c r="V166" s="76">
        <f>SUM($E166:H166)</f>
        <v>1000</v>
      </c>
      <c r="W166" s="76">
        <f>SUM($E166:I166)</f>
        <v>1690</v>
      </c>
      <c r="X166" s="76">
        <f>SUM($E166:J166)</f>
        <v>6991.7735599999996</v>
      </c>
      <c r="Y166" s="76">
        <f>SUM($E166:K166)</f>
        <v>15651.95681</v>
      </c>
      <c r="Z166" s="76">
        <f>SUM($E166:L166)</f>
        <v>20564.05</v>
      </c>
      <c r="AA166" s="76">
        <f>SUM($E166:M166)</f>
        <v>20564.05</v>
      </c>
      <c r="AB166" s="76">
        <f>SUM($E166:N166)</f>
        <v>20564.05</v>
      </c>
      <c r="AC166" s="76">
        <f>SUM($E166:O166)</f>
        <v>20564.05</v>
      </c>
      <c r="AE166" s="76">
        <f t="shared" si="56"/>
        <v>80</v>
      </c>
      <c r="AF166" s="76">
        <f t="shared" si="57"/>
        <v>326.71999999999997</v>
      </c>
      <c r="AG166" s="76">
        <f t="shared" si="58"/>
        <v>1042.4409999999998</v>
      </c>
      <c r="AH166" s="76">
        <f t="shared" si="59"/>
        <v>1798.7215210899994</v>
      </c>
      <c r="AI166" s="76">
        <f t="shared" si="60"/>
        <v>7597.8431349066259</v>
      </c>
      <c r="AJ166" s="76">
        <f t="shared" si="61"/>
        <v>17365.902216267496</v>
      </c>
      <c r="AK166" s="76">
        <f t="shared" si="62"/>
        <v>23295.020859523745</v>
      </c>
      <c r="AL166" s="76">
        <f t="shared" si="63"/>
        <v>23784.216297573741</v>
      </c>
      <c r="AM166" s="76">
        <f t="shared" si="64"/>
        <v>24283.684839822785</v>
      </c>
      <c r="AN166" s="76">
        <f t="shared" si="65"/>
        <v>24793.64222145906</v>
      </c>
      <c r="AP166" s="197" t="s">
        <v>220</v>
      </c>
      <c r="AQ166" s="201" t="s">
        <v>208</v>
      </c>
      <c r="AR166" s="155" cm="1">
        <f t="array" ref="AR166">_xlfn.IFS($AQ166=$AP$1,$AQ$1*AE166,$AQ166=$AP$2,$AQ$2*AE166,$AQ166=$AP$3,$AQ$3*AE166,$AQ166=$AP$4,$AQ$4*AE166)</f>
        <v>11.303412568421436</v>
      </c>
      <c r="AS166" s="155" cm="1">
        <f t="array" ref="AS166">_xlfn.IFS($AQ166=$AP$1,$AQ$1*AF166,$AQ166=$AP$2,$AQ$2*AF166,$AQ166=$AP$3,$AQ$3*AF166,$AQ166=$AP$4,$AQ$4*AF166)</f>
        <v>46.163136929433144</v>
      </c>
      <c r="AT166" s="155" cm="1">
        <f t="array" ref="AT166">_xlfn.IFS($AQ166=$AP$1,$AQ$1*AG166,$AQ166=$AP$2,$AQ$2*AG166,$AQ166=$AP$3,$AQ$3*AG166,$AQ166=$AP$4,$AQ$4*AG166)</f>
        <v>147.2892587654726</v>
      </c>
      <c r="AU166" s="155" cm="1">
        <f t="array" ref="AU166">_xlfn.IFS($AQ166=$AP$1,$AQ$1*AH166,$AQ166=$AP$2,$AQ$2*AH166,$AQ166=$AP$3,$AQ$3*AH166,$AQ166=$AP$4,$AQ$4*AH166)</f>
        <v>254.14614310723528</v>
      </c>
      <c r="AV166" s="155" cm="1">
        <f t="array" ref="AV166">_xlfn.IFS($AQ166=$AP$1,$AQ$1*AI166,$AQ166=$AP$2,$AQ$2*AI166,$AQ166=$AP$3,$AQ$3*AI166,$AQ166=$AP$4,$AQ$4*AI166)</f>
        <v>1073.5194447999759</v>
      </c>
      <c r="AW166" s="155" cm="1">
        <f t="array" ref="AW166">_xlfn.IFS($AQ166=$AP$1,$AQ$1*AJ166,$AQ166=$AP$2,$AQ$2*AJ166,$AQ166=$AP$3,$AQ$3*AJ166,$AQ166=$AP$4,$AQ$4*AJ166)</f>
        <v>2453.6744671666961</v>
      </c>
      <c r="AX166" s="155" cm="1">
        <f t="array" ref="AX166">_xlfn.IFS($AQ166=$AP$1,$AQ$1*AK166,$AQ166=$AP$2,$AQ$2*AK166,$AQ166=$AP$3,$AQ$3*AK166,$AQ166=$AP$4,$AQ$4*AK166)</f>
        <v>3291.4153945647527</v>
      </c>
      <c r="AY166" s="155" cm="1">
        <f t="array" ref="AY166">_xlfn.IFS($AQ166=$AP$1,$AQ$1*AL166,$AQ166=$AP$2,$AQ$2*AL166,$AQ166=$AP$3,$AQ$3*AL166,$AQ166=$AP$4,$AQ$4*AL166)</f>
        <v>3360.5351178506121</v>
      </c>
      <c r="AZ166" s="155" cm="1">
        <f t="array" ref="AZ166">_xlfn.IFS($AQ166=$AP$1,$AQ$1*AM166,$AQ166=$AP$2,$AQ$2*AM166,$AQ166=$AP$3,$AQ$3*AM166,$AQ166=$AP$4,$AQ$4*AM166)</f>
        <v>3431.1063553254744</v>
      </c>
      <c r="BA166" s="155" cm="1">
        <f t="array" ref="BA166">_xlfn.IFS($AQ166=$AP$1,$AQ$1*AN166,$AQ166=$AP$2,$AQ$2*AN166,$AQ166=$AP$3,$AQ$3*AN166,$AQ166=$AP$4,$AQ$4*AN166)</f>
        <v>3503.1595887873091</v>
      </c>
      <c r="BB166" s="155">
        <f>Table2[[#This Row],[FINAL Project System Capacity (MW)]]</f>
        <v>40</v>
      </c>
      <c r="BC166" s="155" t="str">
        <f>Table2[[#This Row],[FN Parent  '#]]</f>
        <v>FN014043</v>
      </c>
      <c r="BD166" s="155">
        <f t="shared" si="66"/>
        <v>40</v>
      </c>
      <c r="BE166" s="155">
        <f t="shared" si="78"/>
        <v>40</v>
      </c>
      <c r="BF166" s="155">
        <f t="shared" si="67"/>
        <v>0.2825853142105359</v>
      </c>
      <c r="BG166" s="155">
        <f t="shared" si="68"/>
        <v>1.1540784232358285</v>
      </c>
      <c r="BH166" s="155">
        <f t="shared" si="69"/>
        <v>3.682231469136815</v>
      </c>
      <c r="BI166" s="155">
        <f t="shared" si="70"/>
        <v>6.3536535776808822</v>
      </c>
      <c r="BJ166" s="155">
        <f t="shared" si="71"/>
        <v>26.837986119999396</v>
      </c>
      <c r="BK166" s="155">
        <f t="shared" si="72"/>
        <v>61.341861679167401</v>
      </c>
      <c r="BL166" s="155">
        <f t="shared" si="73"/>
        <v>82.285384864118811</v>
      </c>
      <c r="BM166" s="155">
        <f t="shared" si="74"/>
        <v>84.013377946265308</v>
      </c>
      <c r="BN166" s="155">
        <f t="shared" si="75"/>
        <v>85.777658883136866</v>
      </c>
      <c r="BO166" s="155">
        <f t="shared" si="76"/>
        <v>87.578989719682724</v>
      </c>
      <c r="BP166" s="155">
        <f t="shared" si="77"/>
        <v>37.203539337893083</v>
      </c>
    </row>
    <row r="167" spans="1:68">
      <c r="A167" s="155" t="s">
        <v>249</v>
      </c>
      <c r="B167" s="155" t="s">
        <v>1178</v>
      </c>
      <c r="C167" s="155" t="s">
        <v>207</v>
      </c>
      <c r="D167" s="155">
        <v>15</v>
      </c>
      <c r="E167" s="189">
        <v>0</v>
      </c>
      <c r="F167" s="67">
        <v>0</v>
      </c>
      <c r="G167" s="67">
        <v>0</v>
      </c>
      <c r="H167" s="67">
        <v>0</v>
      </c>
      <c r="I167" s="67">
        <v>0</v>
      </c>
      <c r="J167" s="67">
        <v>0</v>
      </c>
      <c r="K167" s="67">
        <v>0</v>
      </c>
      <c r="L167" s="67">
        <v>2000</v>
      </c>
      <c r="M167" s="67">
        <v>0</v>
      </c>
      <c r="N167" s="67">
        <v>0</v>
      </c>
      <c r="O167" s="67">
        <v>0</v>
      </c>
      <c r="Q167" s="202" t="s">
        <v>249</v>
      </c>
      <c r="R167" s="202" t="s">
        <v>1178</v>
      </c>
      <c r="S167" s="202" t="s">
        <v>207</v>
      </c>
      <c r="T167" s="76">
        <f>SUM($E167:F167)</f>
        <v>0</v>
      </c>
      <c r="U167" s="76">
        <f>SUM($E167:G167)</f>
        <v>0</v>
      </c>
      <c r="V167" s="76">
        <f>SUM($E167:H167)</f>
        <v>0</v>
      </c>
      <c r="W167" s="76">
        <f>SUM($E167:I167)</f>
        <v>0</v>
      </c>
      <c r="X167" s="76">
        <f>SUM($E167:J167)</f>
        <v>0</v>
      </c>
      <c r="Y167" s="76">
        <f>SUM($E167:K167)</f>
        <v>0</v>
      </c>
      <c r="Z167" s="76">
        <f>SUM($E167:L167)</f>
        <v>2000</v>
      </c>
      <c r="AA167" s="76">
        <f>SUM($E167:M167)</f>
        <v>2000</v>
      </c>
      <c r="AB167" s="76">
        <f>SUM($E167:N167)</f>
        <v>2000</v>
      </c>
      <c r="AC167" s="76">
        <f>SUM($E167:O167)</f>
        <v>2000</v>
      </c>
      <c r="AE167" s="76">
        <f t="shared" si="56"/>
        <v>0</v>
      </c>
      <c r="AF167" s="76">
        <f t="shared" si="57"/>
        <v>0</v>
      </c>
      <c r="AG167" s="76">
        <f t="shared" si="58"/>
        <v>0</v>
      </c>
      <c r="AH167" s="76">
        <f t="shared" si="59"/>
        <v>0</v>
      </c>
      <c r="AI167" s="76">
        <f t="shared" si="60"/>
        <v>0</v>
      </c>
      <c r="AJ167" s="76">
        <f t="shared" si="61"/>
        <v>0</v>
      </c>
      <c r="AK167" s="76">
        <f t="shared" si="62"/>
        <v>2265.6063236107425</v>
      </c>
      <c r="AL167" s="76">
        <f t="shared" si="63"/>
        <v>2313.1840564065678</v>
      </c>
      <c r="AM167" s="76">
        <f t="shared" si="64"/>
        <v>2361.7609215911057</v>
      </c>
      <c r="AN167" s="76">
        <f t="shared" si="65"/>
        <v>2411.3579009445184</v>
      </c>
      <c r="AP167" s="202" t="s">
        <v>249</v>
      </c>
      <c r="AQ167" s="202" t="s">
        <v>207</v>
      </c>
      <c r="AR167" s="155" cm="1">
        <f t="array" ref="AR167">_xlfn.IFS($AQ167=$AP$1,$AQ$1*AE167,$AQ167=$AP$2,$AQ$2*AE167,$AQ167=$AP$3,$AQ$3*AE167,$AQ167=$AP$4,$AQ$4*AE167)</f>
        <v>0</v>
      </c>
      <c r="AS167" s="155" cm="1">
        <f t="array" ref="AS167">_xlfn.IFS($AQ167=$AP$1,$AQ$1*AF167,$AQ167=$AP$2,$AQ$2*AF167,$AQ167=$AP$3,$AQ$3*AF167,$AQ167=$AP$4,$AQ$4*AF167)</f>
        <v>0</v>
      </c>
      <c r="AT167" s="155" cm="1">
        <f t="array" ref="AT167">_xlfn.IFS($AQ167=$AP$1,$AQ$1*AG167,$AQ167=$AP$2,$AQ$2*AG167,$AQ167=$AP$3,$AQ$3*AG167,$AQ167=$AP$4,$AQ$4*AG167)</f>
        <v>0</v>
      </c>
      <c r="AU167" s="155" cm="1">
        <f t="array" ref="AU167">_xlfn.IFS($AQ167=$AP$1,$AQ$1*AH167,$AQ167=$AP$2,$AQ$2*AH167,$AQ167=$AP$3,$AQ$3*AH167,$AQ167=$AP$4,$AQ$4*AH167)</f>
        <v>0</v>
      </c>
      <c r="AV167" s="155" cm="1">
        <f t="array" ref="AV167">_xlfn.IFS($AQ167=$AP$1,$AQ$1*AI167,$AQ167=$AP$2,$AQ$2*AI167,$AQ167=$AP$3,$AQ$3*AI167,$AQ167=$AP$4,$AQ$4*AI167)</f>
        <v>0</v>
      </c>
      <c r="AW167" s="155" cm="1">
        <f t="array" ref="AW167">_xlfn.IFS($AQ167=$AP$1,$AQ$1*AJ167,$AQ167=$AP$2,$AQ$2*AJ167,$AQ167=$AP$3,$AQ$3*AJ167,$AQ167=$AP$4,$AQ$4*AJ167)</f>
        <v>0</v>
      </c>
      <c r="AX167" s="155" cm="1">
        <f t="array" ref="AX167">_xlfn.IFS($AQ167=$AP$1,$AQ$1*AK167,$AQ167=$AP$2,$AQ$2*AK167,$AQ167=$AP$3,$AQ$3*AK167,$AQ167=$AP$4,$AQ$4*AK167)</f>
        <v>182.58994391665257</v>
      </c>
      <c r="AY167" s="155" cm="1">
        <f t="array" ref="AY167">_xlfn.IFS($AQ167=$AP$1,$AQ$1*AL167,$AQ167=$AP$2,$AQ$2*AL167,$AQ167=$AP$3,$AQ$3*AL167,$AQ167=$AP$4,$AQ$4*AL167)</f>
        <v>186.42433273890225</v>
      </c>
      <c r="AZ167" s="155" cm="1">
        <f t="array" ref="AZ167">_xlfn.IFS($AQ167=$AP$1,$AQ$1*AM167,$AQ167=$AP$2,$AQ$2*AM167,$AQ167=$AP$3,$AQ$3*AM167,$AQ167=$AP$4,$AQ$4*AM167)</f>
        <v>190.3392437264192</v>
      </c>
      <c r="BA167" s="155" cm="1">
        <f t="array" ref="BA167">_xlfn.IFS($AQ167=$AP$1,$AQ$1*AN167,$AQ167=$AP$2,$AQ$2*AN167,$AQ167=$AP$3,$AQ$3*AN167,$AQ167=$AP$4,$AQ$4*AN167)</f>
        <v>194.33636784467396</v>
      </c>
      <c r="BB167" s="155">
        <f>Table2[[#This Row],[FINAL Project System Capacity (MW)]]</f>
        <v>15</v>
      </c>
      <c r="BC167" s="155" t="str">
        <f>Table2[[#This Row],[FN Parent  '#]]</f>
        <v>FN011290</v>
      </c>
      <c r="BD167" s="155">
        <f t="shared" si="66"/>
        <v>15</v>
      </c>
      <c r="BE167" s="155">
        <f t="shared" si="78"/>
        <v>15</v>
      </c>
      <c r="BF167" s="155">
        <f t="shared" si="67"/>
        <v>0</v>
      </c>
      <c r="BG167" s="155">
        <f t="shared" si="68"/>
        <v>0</v>
      </c>
      <c r="BH167" s="155">
        <f t="shared" si="69"/>
        <v>0</v>
      </c>
      <c r="BI167" s="155">
        <f t="shared" si="70"/>
        <v>0</v>
      </c>
      <c r="BJ167" s="155">
        <f t="shared" si="71"/>
        <v>0</v>
      </c>
      <c r="BK167" s="155">
        <f t="shared" si="72"/>
        <v>0</v>
      </c>
      <c r="BL167" s="155">
        <f t="shared" si="73"/>
        <v>12.172662927776837</v>
      </c>
      <c r="BM167" s="155">
        <f t="shared" si="74"/>
        <v>12.42828884926015</v>
      </c>
      <c r="BN167" s="155">
        <f t="shared" si="75"/>
        <v>12.689282915094614</v>
      </c>
      <c r="BO167" s="155">
        <f t="shared" si="76"/>
        <v>12.955757856311598</v>
      </c>
      <c r="BP167" s="155">
        <f t="shared" si="77"/>
        <v>4.046717417646887</v>
      </c>
    </row>
    <row r="168" spans="1:68">
      <c r="A168" s="155" t="s">
        <v>263</v>
      </c>
      <c r="B168" s="155" t="s">
        <v>1234</v>
      </c>
      <c r="C168" s="155" t="s">
        <v>208</v>
      </c>
      <c r="D168" s="155">
        <v>80</v>
      </c>
      <c r="E168" s="189">
        <v>55.995320000000007</v>
      </c>
      <c r="F168" s="67">
        <v>0</v>
      </c>
      <c r="G168" s="67">
        <v>42.953629999999997</v>
      </c>
      <c r="H168" s="67">
        <v>103.64569</v>
      </c>
      <c r="I168" s="67">
        <v>2560.4735099999998</v>
      </c>
      <c r="J168" s="67">
        <v>8950.7709400000003</v>
      </c>
      <c r="K168" s="67">
        <v>2389.65236</v>
      </c>
      <c r="L168" s="67">
        <v>3</v>
      </c>
      <c r="M168" s="67">
        <v>0</v>
      </c>
      <c r="N168" s="67">
        <v>0</v>
      </c>
      <c r="O168" s="67">
        <v>0</v>
      </c>
      <c r="Q168" s="201" t="s">
        <v>263</v>
      </c>
      <c r="R168" s="201" t="s">
        <v>1234</v>
      </c>
      <c r="S168" s="201" t="s">
        <v>208</v>
      </c>
      <c r="T168" s="76">
        <f>SUM($E168:F168)</f>
        <v>55.995320000000007</v>
      </c>
      <c r="U168" s="76">
        <f>SUM($E168:G168)</f>
        <v>98.948949999999996</v>
      </c>
      <c r="V168" s="76">
        <f>SUM($E168:H168)</f>
        <v>202.59464</v>
      </c>
      <c r="W168" s="76">
        <f>SUM($E168:I168)</f>
        <v>2763.0681499999996</v>
      </c>
      <c r="X168" s="76">
        <f>SUM($E168:J168)</f>
        <v>11713.839089999999</v>
      </c>
      <c r="Y168" s="76">
        <f>SUM($E168:K168)</f>
        <v>14103.49145</v>
      </c>
      <c r="Z168" s="76">
        <f>SUM($E168:L168)</f>
        <v>14106.49145</v>
      </c>
      <c r="AA168" s="76">
        <f>SUM($E168:M168)</f>
        <v>14106.49145</v>
      </c>
      <c r="AB168" s="76">
        <f>SUM($E168:N168)</f>
        <v>14106.49145</v>
      </c>
      <c r="AC168" s="76">
        <f>SUM($E168:O168)</f>
        <v>14106.49145</v>
      </c>
      <c r="AE168" s="76">
        <f t="shared" si="56"/>
        <v>55.995320000000007</v>
      </c>
      <c r="AF168" s="76">
        <f t="shared" si="57"/>
        <v>101.02687794999999</v>
      </c>
      <c r="AG168" s="76">
        <f t="shared" si="58"/>
        <v>211.19295911623993</v>
      </c>
      <c r="AH168" s="76">
        <f t="shared" si="59"/>
        <v>2940.8225713865859</v>
      </c>
      <c r="AI168" s="76">
        <f t="shared" si="60"/>
        <v>12729.232597366523</v>
      </c>
      <c r="AJ168" s="76">
        <f t="shared" si="61"/>
        <v>15647.874345793361</v>
      </c>
      <c r="AK168" s="76">
        <f t="shared" si="62"/>
        <v>15979.878116540436</v>
      </c>
      <c r="AL168" s="76">
        <f t="shared" si="63"/>
        <v>16315.455556987785</v>
      </c>
      <c r="AM168" s="76">
        <f t="shared" si="64"/>
        <v>16658.080123684525</v>
      </c>
      <c r="AN168" s="76">
        <f t="shared" si="65"/>
        <v>17007.899806281897</v>
      </c>
      <c r="AP168" s="201" t="s">
        <v>263</v>
      </c>
      <c r="AQ168" s="201" t="s">
        <v>208</v>
      </c>
      <c r="AR168" s="155" cm="1">
        <f t="array" ref="AR168">_xlfn.IFS($AQ168=$AP$1,$AQ$1*AE168,$AQ168=$AP$2,$AQ$2*AE168,$AQ168=$AP$3,$AQ$3*AE168,$AQ168=$AP$4,$AQ$4*AE168)</f>
        <v>7.9117275482597531</v>
      </c>
      <c r="AS168" s="155" cm="1">
        <f t="array" ref="AS168">_xlfn.IFS($AQ168=$AP$1,$AQ$1*AF168,$AQ168=$AP$2,$AQ$2*AF168,$AQ168=$AP$3,$AQ$3*AF168,$AQ168=$AP$4,$AQ$4*AF168)</f>
        <v>14.274356024605103</v>
      </c>
      <c r="AT168" s="155" cm="1">
        <f t="array" ref="AT168">_xlfn.IFS($AQ168=$AP$1,$AQ$1*AG168,$AQ168=$AP$2,$AQ$2*AG168,$AQ168=$AP$3,$AQ$3*AG168,$AQ168=$AP$4,$AQ$4*AG168)</f>
        <v>29.840014355457761</v>
      </c>
      <c r="AU168" s="155" cm="1">
        <f t="array" ref="AU168">_xlfn.IFS($AQ168=$AP$1,$AQ$1*AH168,$AQ168=$AP$2,$AQ$2*AH168,$AQ168=$AP$3,$AQ$3*AH168,$AQ168=$AP$4,$AQ$4*AH168)</f>
        <v>415.51663518635723</v>
      </c>
      <c r="AV168" s="155" cm="1">
        <f t="array" ref="AV168">_xlfn.IFS($AQ168=$AP$1,$AQ$1*AI168,$AQ168=$AP$2,$AQ$2*AI168,$AQ168=$AP$3,$AQ$3*AI168,$AQ168=$AP$4,$AQ$4*AI168)</f>
        <v>1798.5470965929073</v>
      </c>
      <c r="AW168" s="155" cm="1">
        <f t="array" ref="AW168">_xlfn.IFS($AQ168=$AP$1,$AQ$1*AJ168,$AQ168=$AP$2,$AQ$2*AJ168,$AQ168=$AP$3,$AQ$3*AJ168,$AQ168=$AP$4,$AQ$4*AJ168)</f>
        <v>2210.9297443665005</v>
      </c>
      <c r="AX168" s="155" cm="1">
        <f t="array" ref="AX168">_xlfn.IFS($AQ168=$AP$1,$AQ$1*AK168,$AQ168=$AP$2,$AQ$2*AK168,$AQ168=$AP$3,$AQ$3*AK168,$AQ168=$AP$4,$AQ$4*AK168)</f>
        <v>2257.8394393043227</v>
      </c>
      <c r="AY168" s="155" cm="1">
        <f t="array" ref="AY168">_xlfn.IFS($AQ168=$AP$1,$AQ$1*AL168,$AQ168=$AP$2,$AQ$2*AL168,$AQ168=$AP$3,$AQ$3*AL168,$AQ168=$AP$4,$AQ$4*AL168)</f>
        <v>2305.2540675297137</v>
      </c>
      <c r="AZ168" s="155" cm="1">
        <f t="array" ref="AZ168">_xlfn.IFS($AQ168=$AP$1,$AQ$1*AM168,$AQ168=$AP$2,$AQ$2*AM168,$AQ168=$AP$3,$AQ$3*AM168,$AQ168=$AP$4,$AQ$4*AM168)</f>
        <v>2353.6644029478371</v>
      </c>
      <c r="BA168" s="155" cm="1">
        <f t="array" ref="BA168">_xlfn.IFS($AQ168=$AP$1,$AQ$1*AN168,$AQ168=$AP$2,$AQ$2*AN168,$AQ168=$AP$3,$AQ$3*AN168,$AQ168=$AP$4,$AQ$4*AN168)</f>
        <v>2403.0913554097415</v>
      </c>
      <c r="BB168" s="155">
        <f>Table2[[#This Row],[FINAL Project System Capacity (MW)]]</f>
        <v>80</v>
      </c>
      <c r="BC168" s="155" t="str">
        <f>Table2[[#This Row],[FN Parent  '#]]</f>
        <v>FN011946</v>
      </c>
      <c r="BD168" s="155">
        <f t="shared" si="66"/>
        <v>80</v>
      </c>
      <c r="BE168" s="155">
        <f t="shared" si="78"/>
        <v>80</v>
      </c>
      <c r="BF168" s="155">
        <f t="shared" si="67"/>
        <v>9.8896594353246908E-2</v>
      </c>
      <c r="BG168" s="155">
        <f t="shared" si="68"/>
        <v>0.1784294503075638</v>
      </c>
      <c r="BH168" s="155">
        <f t="shared" si="69"/>
        <v>0.373000179443222</v>
      </c>
      <c r="BI168" s="155">
        <f t="shared" si="70"/>
        <v>5.1939579398294651</v>
      </c>
      <c r="BJ168" s="155">
        <f t="shared" si="71"/>
        <v>22.481838707411342</v>
      </c>
      <c r="BK168" s="155">
        <f t="shared" si="72"/>
        <v>27.636621804581257</v>
      </c>
      <c r="BL168" s="155">
        <f t="shared" si="73"/>
        <v>28.222992991304032</v>
      </c>
      <c r="BM168" s="155">
        <f t="shared" si="74"/>
        <v>28.815675844121422</v>
      </c>
      <c r="BN168" s="155">
        <f t="shared" si="75"/>
        <v>29.420805036847963</v>
      </c>
      <c r="BO168" s="155">
        <f t="shared" si="76"/>
        <v>30.038641942621769</v>
      </c>
      <c r="BP168" s="155">
        <f t="shared" si="77"/>
        <v>14.932134551180372</v>
      </c>
    </row>
    <row r="169" spans="1:68">
      <c r="A169" s="155" t="s">
        <v>263</v>
      </c>
      <c r="B169" s="155" t="s">
        <v>1234</v>
      </c>
      <c r="C169" s="155" t="s">
        <v>207</v>
      </c>
      <c r="D169" s="155">
        <v>80</v>
      </c>
      <c r="E169" s="189">
        <v>0</v>
      </c>
      <c r="F169" s="67">
        <v>0</v>
      </c>
      <c r="G169" s="67">
        <v>910.20887000000005</v>
      </c>
      <c r="H169" s="67">
        <v>920.20887000000005</v>
      </c>
      <c r="I169" s="67">
        <v>1319.46514</v>
      </c>
      <c r="J169" s="67">
        <v>0</v>
      </c>
      <c r="K169" s="67">
        <v>0</v>
      </c>
      <c r="L169" s="67">
        <v>0</v>
      </c>
      <c r="M169" s="67">
        <v>0</v>
      </c>
      <c r="N169" s="67">
        <v>0</v>
      </c>
      <c r="O169" s="67">
        <v>0</v>
      </c>
      <c r="Q169" s="202" t="s">
        <v>263</v>
      </c>
      <c r="R169" s="202" t="s">
        <v>1234</v>
      </c>
      <c r="S169" s="202" t="s">
        <v>207</v>
      </c>
      <c r="T169" s="76">
        <f>SUM($E169:F170)</f>
        <v>3984.7518</v>
      </c>
      <c r="U169" s="76">
        <f>SUM($E169:G170)</f>
        <v>6734.6713400000008</v>
      </c>
      <c r="V169" s="76">
        <f>SUM($E169:H170)</f>
        <v>10556.915219999999</v>
      </c>
      <c r="W169" s="76">
        <f>SUM($E169:I170)</f>
        <v>28711.083839999999</v>
      </c>
      <c r="X169" s="76">
        <f>SUM($E169:J170)</f>
        <v>35188.350449999998</v>
      </c>
      <c r="Y169" s="76">
        <f>SUM($E169:K170)</f>
        <v>35188.350449999998</v>
      </c>
      <c r="Z169" s="76">
        <f>SUM($E169:L170)</f>
        <v>35188.350449999998</v>
      </c>
      <c r="AA169" s="76">
        <f>SUM($E169:M170)</f>
        <v>35188.350449999998</v>
      </c>
      <c r="AB169" s="76">
        <f>SUM($E169:N170)</f>
        <v>35188.350449999998</v>
      </c>
      <c r="AC169" s="76">
        <f>SUM($E169:O170)</f>
        <v>35188.350449999998</v>
      </c>
      <c r="AE169" s="76">
        <f t="shared" si="56"/>
        <v>3984.7518</v>
      </c>
      <c r="AF169" s="76">
        <f t="shared" si="57"/>
        <v>6876.0994381400005</v>
      </c>
      <c r="AG169" s="76">
        <f t="shared" si="58"/>
        <v>11004.961258852016</v>
      </c>
      <c r="AH169" s="76">
        <f t="shared" si="59"/>
        <v>30558.132779187752</v>
      </c>
      <c r="AI169" s="76">
        <f t="shared" si="60"/>
        <v>38238.590623810334</v>
      </c>
      <c r="AJ169" s="76">
        <f t="shared" si="61"/>
        <v>39041.601026910343</v>
      </c>
      <c r="AK169" s="76">
        <f t="shared" si="62"/>
        <v>39861.474648475458</v>
      </c>
      <c r="AL169" s="76">
        <f t="shared" si="63"/>
        <v>40698.565616093438</v>
      </c>
      <c r="AM169" s="76">
        <f t="shared" si="64"/>
        <v>41553.235494031396</v>
      </c>
      <c r="AN169" s="76">
        <f t="shared" si="65"/>
        <v>42425.853439406048</v>
      </c>
      <c r="AP169" s="202" t="s">
        <v>263</v>
      </c>
      <c r="AQ169" s="202" t="s">
        <v>207</v>
      </c>
      <c r="AR169" s="155" cm="1">
        <f t="array" ref="AR169">_xlfn.IFS($AQ169=$AP$1,$AQ$1*AE169,$AQ169=$AP$2,$AQ$2*AE169,$AQ169=$AP$3,$AQ$3*AE169,$AQ169=$AP$4,$AQ$4*AE169)</f>
        <v>321.139467215217</v>
      </c>
      <c r="AS169" s="155" cm="1">
        <f t="array" ref="AS169">_xlfn.IFS($AQ169=$AP$1,$AQ$1*AF169,$AQ169=$AP$2,$AQ$2*AF169,$AQ169=$AP$3,$AQ$3*AF169,$AQ169=$AP$4,$AQ$4*AF169)</f>
        <v>554.15921013778893</v>
      </c>
      <c r="AT169" s="155" cm="1">
        <f t="array" ref="AT169">_xlfn.IFS($AQ169=$AP$1,$AQ$1*AG169,$AQ169=$AP$2,$AQ$2*AG169,$AQ169=$AP$3,$AQ$3*AG169,$AQ169=$AP$4,$AQ$4*AG169)</f>
        <v>886.91280480551893</v>
      </c>
      <c r="AU169" s="155" cm="1">
        <f t="array" ref="AU169">_xlfn.IFS($AQ169=$AP$1,$AQ$1*AH169,$AQ169=$AP$2,$AQ$2*AH169,$AQ169=$AP$3,$AQ$3*AH169,$AQ169=$AP$4,$AQ$4*AH169)</f>
        <v>2462.7437221560986</v>
      </c>
      <c r="AV169" s="155" cm="1">
        <f t="array" ref="AV169">_xlfn.IFS($AQ169=$AP$1,$AQ$1*AI169,$AQ169=$AP$2,$AQ$2*AI169,$AQ169=$AP$3,$AQ$3*AI169,$AQ169=$AP$4,$AQ$4*AI169)</f>
        <v>3081.7278556700176</v>
      </c>
      <c r="AW169" s="155" cm="1">
        <f t="array" ref="AW169">_xlfn.IFS($AQ169=$AP$1,$AQ$1*AJ169,$AQ169=$AP$2,$AQ$2*AJ169,$AQ169=$AP$3,$AQ$3*AJ169,$AQ169=$AP$4,$AQ$4*AJ169)</f>
        <v>3146.4441406390874</v>
      </c>
      <c r="AX169" s="155" cm="1">
        <f t="array" ref="AX169">_xlfn.IFS($AQ169=$AP$1,$AQ$1*AK169,$AQ169=$AP$2,$AQ$2*AK169,$AQ169=$AP$3,$AQ$3*AK169,$AQ169=$AP$4,$AQ$4*AK169)</f>
        <v>3212.5194675925081</v>
      </c>
      <c r="AY169" s="155" cm="1">
        <f t="array" ref="AY169">_xlfn.IFS($AQ169=$AP$1,$AQ$1*AL169,$AQ169=$AP$2,$AQ$2*AL169,$AQ169=$AP$3,$AQ$3*AL169,$AQ169=$AP$4,$AQ$4*AL169)</f>
        <v>3279.9823764119501</v>
      </c>
      <c r="AZ169" s="155" cm="1">
        <f t="array" ref="AZ169">_xlfn.IFS($AQ169=$AP$1,$AQ$1*AM169,$AQ169=$AP$2,$AQ$2*AM169,$AQ169=$AP$3,$AQ$3*AM169,$AQ169=$AP$4,$AQ$4*AM169)</f>
        <v>3348.8620063166009</v>
      </c>
      <c r="BA169" s="155" cm="1">
        <f t="array" ref="BA169">_xlfn.IFS($AQ169=$AP$1,$AQ$1*AN169,$AQ169=$AP$2,$AQ$2*AN169,$AQ169=$AP$3,$AQ$3*AN169,$AQ169=$AP$4,$AQ$4*AN169)</f>
        <v>3419.1881084492488</v>
      </c>
      <c r="BB169" s="155">
        <f>Table2[[#This Row],[FINAL Project System Capacity (MW)]]</f>
        <v>80</v>
      </c>
      <c r="BC169" s="155" t="str">
        <f>Table2[[#This Row],[FN Parent  '#]]</f>
        <v>FN011946</v>
      </c>
      <c r="BD169" s="155">
        <f t="shared" si="66"/>
        <v>80</v>
      </c>
      <c r="BF169" s="155">
        <f t="shared" si="67"/>
        <v>4.0142433401902125</v>
      </c>
      <c r="BG169" s="155">
        <f t="shared" si="68"/>
        <v>6.9269901267223615</v>
      </c>
      <c r="BH169" s="155">
        <f t="shared" si="69"/>
        <v>11.086410060068987</v>
      </c>
      <c r="BI169" s="155">
        <f t="shared" si="70"/>
        <v>30.784296526951231</v>
      </c>
      <c r="BJ169" s="155">
        <f t="shared" si="71"/>
        <v>38.521598195875221</v>
      </c>
      <c r="BK169" s="155">
        <f t="shared" si="72"/>
        <v>39.330551757988594</v>
      </c>
      <c r="BL169" s="155">
        <f t="shared" si="73"/>
        <v>40.156493344906352</v>
      </c>
      <c r="BM169" s="155">
        <f t="shared" si="74"/>
        <v>40.999779705149379</v>
      </c>
      <c r="BN169" s="155">
        <f t="shared" si="75"/>
        <v>41.860775078957509</v>
      </c>
      <c r="BO169" s="155">
        <f t="shared" si="76"/>
        <v>42.739851355615613</v>
      </c>
      <c r="BP169" s="155">
        <f t="shared" si="77"/>
        <v>27.011834171764271</v>
      </c>
    </row>
    <row r="170" spans="1:68">
      <c r="A170" s="155" t="s">
        <v>263</v>
      </c>
      <c r="B170" s="155" t="s">
        <v>1234</v>
      </c>
      <c r="C170" s="155" t="s">
        <v>207</v>
      </c>
      <c r="D170" s="155">
        <v>80</v>
      </c>
      <c r="E170" s="189">
        <v>2960.5587599999999</v>
      </c>
      <c r="F170" s="67">
        <v>1024.1930400000001</v>
      </c>
      <c r="G170" s="67">
        <v>1839.7106699999999</v>
      </c>
      <c r="H170" s="67">
        <v>2902.0350100000001</v>
      </c>
      <c r="I170" s="67">
        <v>16834.70348</v>
      </c>
      <c r="J170" s="67">
        <v>6477.2666099999997</v>
      </c>
      <c r="K170" s="67">
        <v>0</v>
      </c>
      <c r="L170" s="67">
        <v>0</v>
      </c>
      <c r="M170" s="67">
        <v>0</v>
      </c>
      <c r="N170" s="67">
        <v>0</v>
      </c>
      <c r="O170" s="67">
        <v>0</v>
      </c>
      <c r="Q170" s="201" t="s">
        <v>263</v>
      </c>
      <c r="R170" s="201" t="s">
        <v>1234</v>
      </c>
      <c r="S170" s="201" t="s">
        <v>207</v>
      </c>
      <c r="U170" s="155"/>
      <c r="V170" s="155"/>
      <c r="W170" s="155"/>
      <c r="X170" s="155"/>
      <c r="Y170" s="155"/>
      <c r="Z170" s="155"/>
      <c r="AA170" s="155"/>
      <c r="AB170" s="155"/>
      <c r="AC170" s="155"/>
      <c r="AE170" s="76">
        <f t="shared" si="56"/>
        <v>0</v>
      </c>
      <c r="AF170" s="76">
        <f t="shared" si="57"/>
        <v>0</v>
      </c>
      <c r="AG170" s="76">
        <f t="shared" si="58"/>
        <v>0</v>
      </c>
      <c r="AH170" s="76">
        <f t="shared" si="59"/>
        <v>0</v>
      </c>
      <c r="AI170" s="76">
        <f t="shared" si="60"/>
        <v>0</v>
      </c>
      <c r="AJ170" s="76">
        <f t="shared" si="61"/>
        <v>0</v>
      </c>
      <c r="AK170" s="76">
        <f t="shared" si="62"/>
        <v>0</v>
      </c>
      <c r="AL170" s="76">
        <f t="shared" si="63"/>
        <v>0</v>
      </c>
      <c r="AM170" s="76">
        <f t="shared" si="64"/>
        <v>0</v>
      </c>
      <c r="AN170" s="76">
        <f t="shared" si="65"/>
        <v>0</v>
      </c>
      <c r="AP170" s="201" t="s">
        <v>263</v>
      </c>
      <c r="AQ170" s="201" t="s">
        <v>207</v>
      </c>
      <c r="AR170" s="155" cm="1">
        <f t="array" ref="AR170">_xlfn.IFS($AQ170=$AP$1,$AQ$1*AE170,$AQ170=$AP$2,$AQ$2*AE170,$AQ170=$AP$3,$AQ$3*AE170,$AQ170=$AP$4,$AQ$4*AE170)</f>
        <v>0</v>
      </c>
      <c r="AS170" s="155" cm="1">
        <f t="array" ref="AS170">_xlfn.IFS($AQ170=$AP$1,$AQ$1*AF170,$AQ170=$AP$2,$AQ$2*AF170,$AQ170=$AP$3,$AQ$3*AF170,$AQ170=$AP$4,$AQ$4*AF170)</f>
        <v>0</v>
      </c>
      <c r="AT170" s="155" cm="1">
        <f t="array" ref="AT170">_xlfn.IFS($AQ170=$AP$1,$AQ$1*AG170,$AQ170=$AP$2,$AQ$2*AG170,$AQ170=$AP$3,$AQ$3*AG170,$AQ170=$AP$4,$AQ$4*AG170)</f>
        <v>0</v>
      </c>
      <c r="AU170" s="155" cm="1">
        <f t="array" ref="AU170">_xlfn.IFS($AQ170=$AP$1,$AQ$1*AH170,$AQ170=$AP$2,$AQ$2*AH170,$AQ170=$AP$3,$AQ$3*AH170,$AQ170=$AP$4,$AQ$4*AH170)</f>
        <v>0</v>
      </c>
      <c r="AV170" s="155" cm="1">
        <f t="array" ref="AV170">_xlfn.IFS($AQ170=$AP$1,$AQ$1*AI170,$AQ170=$AP$2,$AQ$2*AI170,$AQ170=$AP$3,$AQ$3*AI170,$AQ170=$AP$4,$AQ$4*AI170)</f>
        <v>0</v>
      </c>
      <c r="AW170" s="155" cm="1">
        <f t="array" ref="AW170">_xlfn.IFS($AQ170=$AP$1,$AQ$1*AJ170,$AQ170=$AP$2,$AQ$2*AJ170,$AQ170=$AP$3,$AQ$3*AJ170,$AQ170=$AP$4,$AQ$4*AJ170)</f>
        <v>0</v>
      </c>
      <c r="AX170" s="155" cm="1">
        <f t="array" ref="AX170">_xlfn.IFS($AQ170=$AP$1,$AQ$1*AK170,$AQ170=$AP$2,$AQ$2*AK170,$AQ170=$AP$3,$AQ$3*AK170,$AQ170=$AP$4,$AQ$4*AK170)</f>
        <v>0</v>
      </c>
      <c r="AY170" s="155" cm="1">
        <f t="array" ref="AY170">_xlfn.IFS($AQ170=$AP$1,$AQ$1*AL170,$AQ170=$AP$2,$AQ$2*AL170,$AQ170=$AP$3,$AQ$3*AL170,$AQ170=$AP$4,$AQ$4*AL170)</f>
        <v>0</v>
      </c>
      <c r="AZ170" s="155" cm="1">
        <f t="array" ref="AZ170">_xlfn.IFS($AQ170=$AP$1,$AQ$1*AM170,$AQ170=$AP$2,$AQ$2*AM170,$AQ170=$AP$3,$AQ$3*AM170,$AQ170=$AP$4,$AQ$4*AM170)</f>
        <v>0</v>
      </c>
      <c r="BA170" s="155" cm="1">
        <f t="array" ref="BA170">_xlfn.IFS($AQ170=$AP$1,$AQ$1*AN170,$AQ170=$AP$2,$AQ$2*AN170,$AQ170=$AP$3,$AQ$3*AN170,$AQ170=$AP$4,$AQ$4*AN170)</f>
        <v>0</v>
      </c>
      <c r="BB170" s="155"/>
      <c r="BC170" s="155" t="str">
        <f>Table2[[#This Row],[FN Parent  '#]]</f>
        <v>FN011946</v>
      </c>
      <c r="BD170" s="155">
        <f t="shared" si="66"/>
        <v>0</v>
      </c>
      <c r="BF170" s="155" t="str">
        <f t="shared" si="67"/>
        <v/>
      </c>
      <c r="BG170" s="155" t="str">
        <f t="shared" si="68"/>
        <v/>
      </c>
      <c r="BH170" s="155" t="str">
        <f t="shared" si="69"/>
        <v/>
      </c>
      <c r="BI170" s="155" t="str">
        <f t="shared" si="70"/>
        <v/>
      </c>
      <c r="BJ170" s="155" t="str">
        <f t="shared" si="71"/>
        <v/>
      </c>
      <c r="BK170" s="155" t="str">
        <f t="shared" si="72"/>
        <v/>
      </c>
      <c r="BL170" s="155" t="str">
        <f t="shared" si="73"/>
        <v/>
      </c>
      <c r="BM170" s="155" t="str">
        <f t="shared" si="74"/>
        <v/>
      </c>
      <c r="BN170" s="155" t="str">
        <f t="shared" si="75"/>
        <v/>
      </c>
      <c r="BO170" s="155" t="str">
        <f t="shared" si="76"/>
        <v/>
      </c>
      <c r="BP170" s="155">
        <f t="shared" si="77"/>
        <v>0</v>
      </c>
    </row>
    <row r="171" spans="1:68">
      <c r="A171" s="155" t="s">
        <v>320</v>
      </c>
      <c r="B171" s="155" t="s">
        <v>1180</v>
      </c>
      <c r="C171" s="155" t="s">
        <v>208</v>
      </c>
      <c r="D171" s="155">
        <v>12.5</v>
      </c>
      <c r="E171" s="189">
        <v>0</v>
      </c>
      <c r="F171" s="67">
        <v>0</v>
      </c>
      <c r="G171" s="67">
        <v>0</v>
      </c>
      <c r="H171" s="67">
        <v>0</v>
      </c>
      <c r="I171" s="67">
        <v>0</v>
      </c>
      <c r="J171" s="67">
        <v>0</v>
      </c>
      <c r="K171" s="67">
        <v>0</v>
      </c>
      <c r="L171" s="67">
        <v>143</v>
      </c>
      <c r="M171" s="67">
        <v>551</v>
      </c>
      <c r="N171" s="67">
        <v>1381</v>
      </c>
      <c r="O171" s="67">
        <v>0</v>
      </c>
      <c r="Q171" s="202" t="s">
        <v>320</v>
      </c>
      <c r="R171" s="202" t="s">
        <v>1180</v>
      </c>
      <c r="S171" s="202" t="s">
        <v>208</v>
      </c>
      <c r="T171" s="76">
        <f>SUM($E171:F171)</f>
        <v>0</v>
      </c>
      <c r="U171" s="76">
        <f>SUM($E171:G171)</f>
        <v>0</v>
      </c>
      <c r="V171" s="76">
        <f>SUM($E171:H171)</f>
        <v>0</v>
      </c>
      <c r="W171" s="76">
        <f>SUM($E171:I171)</f>
        <v>0</v>
      </c>
      <c r="X171" s="76">
        <f>SUM($E171:J171)</f>
        <v>0</v>
      </c>
      <c r="Y171" s="76">
        <f>SUM($E171:K171)</f>
        <v>0</v>
      </c>
      <c r="Z171" s="76">
        <f>SUM($E171:L171)</f>
        <v>143</v>
      </c>
      <c r="AA171" s="76">
        <f>SUM($E171:M171)</f>
        <v>694</v>
      </c>
      <c r="AB171" s="76">
        <f>SUM($E171:N171)</f>
        <v>2075</v>
      </c>
      <c r="AC171" s="76">
        <f>SUM($E171:O171)</f>
        <v>2075</v>
      </c>
      <c r="AE171" s="76">
        <f t="shared" si="56"/>
        <v>0</v>
      </c>
      <c r="AF171" s="76">
        <f t="shared" si="57"/>
        <v>0</v>
      </c>
      <c r="AG171" s="76">
        <f t="shared" si="58"/>
        <v>0</v>
      </c>
      <c r="AH171" s="76">
        <f t="shared" si="59"/>
        <v>0</v>
      </c>
      <c r="AI171" s="76">
        <f t="shared" si="60"/>
        <v>0</v>
      </c>
      <c r="AJ171" s="76">
        <f t="shared" si="61"/>
        <v>0</v>
      </c>
      <c r="AK171" s="76">
        <f t="shared" si="62"/>
        <v>161.99085213816809</v>
      </c>
      <c r="AL171" s="76">
        <f t="shared" si="63"/>
        <v>802.67486757307904</v>
      </c>
      <c r="AM171" s="76">
        <f t="shared" si="64"/>
        <v>2450.3269561507718</v>
      </c>
      <c r="AN171" s="76">
        <f t="shared" si="65"/>
        <v>2501.7838222299379</v>
      </c>
      <c r="AP171" s="202" t="s">
        <v>320</v>
      </c>
      <c r="AQ171" s="202" t="s">
        <v>208</v>
      </c>
      <c r="AR171" s="155" cm="1">
        <f t="array" ref="AR171">_xlfn.IFS($AQ171=$AP$1,$AQ$1*AE171,$AQ171=$AP$2,$AQ$2*AE171,$AQ171=$AP$3,$AQ$3*AE171,$AQ171=$AP$4,$AQ$4*AE171)</f>
        <v>0</v>
      </c>
      <c r="AS171" s="155" cm="1">
        <f t="array" ref="AS171">_xlfn.IFS($AQ171=$AP$1,$AQ$1*AF171,$AQ171=$AP$2,$AQ$2*AF171,$AQ171=$AP$3,$AQ$3*AF171,$AQ171=$AP$4,$AQ$4*AF171)</f>
        <v>0</v>
      </c>
      <c r="AT171" s="155" cm="1">
        <f t="array" ref="AT171">_xlfn.IFS($AQ171=$AP$1,$AQ$1*AG171,$AQ171=$AP$2,$AQ$2*AG171,$AQ171=$AP$3,$AQ$3*AG171,$AQ171=$AP$4,$AQ$4*AG171)</f>
        <v>0</v>
      </c>
      <c r="AU171" s="155" cm="1">
        <f t="array" ref="AU171">_xlfn.IFS($AQ171=$AP$1,$AQ$1*AH171,$AQ171=$AP$2,$AQ$2*AH171,$AQ171=$AP$3,$AQ$3*AH171,$AQ171=$AP$4,$AQ$4*AH171)</f>
        <v>0</v>
      </c>
      <c r="AV171" s="155" cm="1">
        <f t="array" ref="AV171">_xlfn.IFS($AQ171=$AP$1,$AQ$1*AI171,$AQ171=$AP$2,$AQ$2*AI171,$AQ171=$AP$3,$AQ$3*AI171,$AQ171=$AP$4,$AQ$4*AI171)</f>
        <v>0</v>
      </c>
      <c r="AW171" s="155" cm="1">
        <f t="array" ref="AW171">_xlfn.IFS($AQ171=$AP$1,$AQ$1*AJ171,$AQ171=$AP$2,$AQ$2*AJ171,$AQ171=$AP$3,$AQ$3*AJ171,$AQ171=$AP$4,$AQ$4*AJ171)</f>
        <v>0</v>
      </c>
      <c r="AX171" s="155" cm="1">
        <f t="array" ref="AX171">_xlfn.IFS($AQ171=$AP$1,$AQ$1*AK171,$AQ171=$AP$2,$AQ$2*AK171,$AQ171=$AP$3,$AQ$3*AK171,$AQ171=$AP$4,$AQ$4*AK171)</f>
        <v>22.888117925348347</v>
      </c>
      <c r="AY171" s="155" cm="1">
        <f t="array" ref="AY171">_xlfn.IFS($AQ171=$AP$1,$AQ$1*AL171,$AQ171=$AP$2,$AQ$2*AL171,$AQ171=$AP$3,$AQ$3*AL171,$AQ171=$AP$4,$AQ$4*AL171)</f>
        <v>113.41206483101942</v>
      </c>
      <c r="AZ171" s="155" cm="1">
        <f t="array" ref="AZ171">_xlfn.IFS($AQ171=$AP$1,$AQ$1*AM171,$AQ171=$AP$2,$AQ$2*AM171,$AQ171=$AP$3,$AQ$3*AM171,$AQ171=$AP$4,$AQ$4*AM171)</f>
        <v>346.21320641120593</v>
      </c>
      <c r="BA171" s="155" cm="1">
        <f t="array" ref="BA171">_xlfn.IFS($AQ171=$AP$1,$AQ$1*AN171,$AQ171=$AP$2,$AQ$2*AN171,$AQ171=$AP$3,$AQ$3*AN171,$AQ171=$AP$4,$AQ$4*AN171)</f>
        <v>353.48368374584123</v>
      </c>
      <c r="BB171" s="155">
        <f>Table2[[#This Row],[FINAL Project System Capacity (MW)]]</f>
        <v>12.5</v>
      </c>
      <c r="BC171" s="155" t="str">
        <f>Table2[[#This Row],[FN Parent  '#]]</f>
        <v>FN011296</v>
      </c>
      <c r="BD171" s="155">
        <f t="shared" si="66"/>
        <v>12.5</v>
      </c>
      <c r="BE171" s="155">
        <f t="shared" si="78"/>
        <v>12.5</v>
      </c>
      <c r="BF171" s="155">
        <f t="shared" si="67"/>
        <v>0</v>
      </c>
      <c r="BG171" s="155">
        <f t="shared" si="68"/>
        <v>0</v>
      </c>
      <c r="BH171" s="155">
        <f t="shared" si="69"/>
        <v>0</v>
      </c>
      <c r="BI171" s="155">
        <f t="shared" si="70"/>
        <v>0</v>
      </c>
      <c r="BJ171" s="155">
        <f t="shared" si="71"/>
        <v>0</v>
      </c>
      <c r="BK171" s="155">
        <f t="shared" si="72"/>
        <v>0</v>
      </c>
      <c r="BL171" s="155">
        <f t="shared" si="73"/>
        <v>1.8310494340278678</v>
      </c>
      <c r="BM171" s="155">
        <f t="shared" si="74"/>
        <v>9.0729651864815537</v>
      </c>
      <c r="BN171" s="155">
        <f t="shared" si="75"/>
        <v>27.697056512896474</v>
      </c>
      <c r="BO171" s="155">
        <f t="shared" si="76"/>
        <v>28.278694699667298</v>
      </c>
      <c r="BP171" s="155">
        <f t="shared" si="77"/>
        <v>5.1322739831916273</v>
      </c>
    </row>
    <row r="172" spans="1:68">
      <c r="A172" s="155" t="s">
        <v>320</v>
      </c>
      <c r="B172" s="155" t="s">
        <v>1180</v>
      </c>
      <c r="C172" s="155" t="s">
        <v>207</v>
      </c>
      <c r="D172" s="155">
        <v>12.5</v>
      </c>
      <c r="E172" s="189">
        <v>0</v>
      </c>
      <c r="F172" s="67">
        <v>0</v>
      </c>
      <c r="G172" s="67">
        <v>0</v>
      </c>
      <c r="H172" s="67">
        <v>0</v>
      </c>
      <c r="I172" s="67">
        <v>0</v>
      </c>
      <c r="J172" s="67">
        <v>0</v>
      </c>
      <c r="K172" s="67">
        <v>0</v>
      </c>
      <c r="L172" s="67">
        <v>1980</v>
      </c>
      <c r="M172" s="67">
        <v>0</v>
      </c>
      <c r="N172" s="67">
        <v>0</v>
      </c>
      <c r="O172" s="67">
        <v>0</v>
      </c>
      <c r="Q172" s="201" t="s">
        <v>320</v>
      </c>
      <c r="R172" s="201" t="s">
        <v>1180</v>
      </c>
      <c r="S172" s="201" t="s">
        <v>207</v>
      </c>
      <c r="T172" s="76">
        <f>SUM($E172:F172)</f>
        <v>0</v>
      </c>
      <c r="U172" s="76">
        <f>SUM($E172:G172)</f>
        <v>0</v>
      </c>
      <c r="V172" s="76">
        <f>SUM($E172:H172)</f>
        <v>0</v>
      </c>
      <c r="W172" s="76">
        <f>SUM($E172:I172)</f>
        <v>0</v>
      </c>
      <c r="X172" s="76">
        <f>SUM($E172:J172)</f>
        <v>0</v>
      </c>
      <c r="Y172" s="76">
        <f>SUM($E172:K172)</f>
        <v>0</v>
      </c>
      <c r="Z172" s="76">
        <f>SUM($E172:L172)</f>
        <v>1980</v>
      </c>
      <c r="AA172" s="76">
        <f>SUM($E172:M172)</f>
        <v>1980</v>
      </c>
      <c r="AB172" s="76">
        <f>SUM($E172:N172)</f>
        <v>1980</v>
      </c>
      <c r="AC172" s="76">
        <f>SUM($E172:O172)</f>
        <v>1980</v>
      </c>
      <c r="AE172" s="76">
        <f t="shared" si="56"/>
        <v>0</v>
      </c>
      <c r="AF172" s="76">
        <f t="shared" si="57"/>
        <v>0</v>
      </c>
      <c r="AG172" s="76">
        <f t="shared" si="58"/>
        <v>0</v>
      </c>
      <c r="AH172" s="76">
        <f t="shared" si="59"/>
        <v>0</v>
      </c>
      <c r="AI172" s="76">
        <f t="shared" si="60"/>
        <v>0</v>
      </c>
      <c r="AJ172" s="76">
        <f t="shared" si="61"/>
        <v>0</v>
      </c>
      <c r="AK172" s="76">
        <f t="shared" si="62"/>
        <v>2242.950260374635</v>
      </c>
      <c r="AL172" s="76">
        <f t="shared" si="63"/>
        <v>2290.0522158425024</v>
      </c>
      <c r="AM172" s="76">
        <f t="shared" si="64"/>
        <v>2338.1433123751945</v>
      </c>
      <c r="AN172" s="76">
        <f t="shared" si="65"/>
        <v>2387.244321935073</v>
      </c>
      <c r="AP172" s="201" t="s">
        <v>320</v>
      </c>
      <c r="AQ172" s="201" t="s">
        <v>207</v>
      </c>
      <c r="AR172" s="155" cm="1">
        <f t="array" ref="AR172">_xlfn.IFS($AQ172=$AP$1,$AQ$1*AE172,$AQ172=$AP$2,$AQ$2*AE172,$AQ172=$AP$3,$AQ$3*AE172,$AQ172=$AP$4,$AQ$4*AE172)</f>
        <v>0</v>
      </c>
      <c r="AS172" s="155" cm="1">
        <f t="array" ref="AS172">_xlfn.IFS($AQ172=$AP$1,$AQ$1*AF172,$AQ172=$AP$2,$AQ$2*AF172,$AQ172=$AP$3,$AQ$3*AF172,$AQ172=$AP$4,$AQ$4*AF172)</f>
        <v>0</v>
      </c>
      <c r="AT172" s="155" cm="1">
        <f t="array" ref="AT172">_xlfn.IFS($AQ172=$AP$1,$AQ$1*AG172,$AQ172=$AP$2,$AQ$2*AG172,$AQ172=$AP$3,$AQ$3*AG172,$AQ172=$AP$4,$AQ$4*AG172)</f>
        <v>0</v>
      </c>
      <c r="AU172" s="155" cm="1">
        <f t="array" ref="AU172">_xlfn.IFS($AQ172=$AP$1,$AQ$1*AH172,$AQ172=$AP$2,$AQ$2*AH172,$AQ172=$AP$3,$AQ$3*AH172,$AQ172=$AP$4,$AQ$4*AH172)</f>
        <v>0</v>
      </c>
      <c r="AV172" s="155" cm="1">
        <f t="array" ref="AV172">_xlfn.IFS($AQ172=$AP$1,$AQ$1*AI172,$AQ172=$AP$2,$AQ$2*AI172,$AQ172=$AP$3,$AQ$3*AI172,$AQ172=$AP$4,$AQ$4*AI172)</f>
        <v>0</v>
      </c>
      <c r="AW172" s="155" cm="1">
        <f t="array" ref="AW172">_xlfn.IFS($AQ172=$AP$1,$AQ$1*AJ172,$AQ172=$AP$2,$AQ$2*AJ172,$AQ172=$AP$3,$AQ$3*AJ172,$AQ172=$AP$4,$AQ$4*AJ172)</f>
        <v>0</v>
      </c>
      <c r="AX172" s="155" cm="1">
        <f t="array" ref="AX172">_xlfn.IFS($AQ172=$AP$1,$AQ$1*AK172,$AQ172=$AP$2,$AQ$2*AK172,$AQ172=$AP$3,$AQ$3*AK172,$AQ172=$AP$4,$AQ$4*AK172)</f>
        <v>180.76404447748604</v>
      </c>
      <c r="AY172" s="155" cm="1">
        <f t="array" ref="AY172">_xlfn.IFS($AQ172=$AP$1,$AQ$1*AL172,$AQ172=$AP$2,$AQ$2*AL172,$AQ172=$AP$3,$AQ$3*AL172,$AQ172=$AP$4,$AQ$4*AL172)</f>
        <v>184.56008941151325</v>
      </c>
      <c r="AZ172" s="155" cm="1">
        <f t="array" ref="AZ172">_xlfn.IFS($AQ172=$AP$1,$AQ$1*AM172,$AQ172=$AP$2,$AQ$2*AM172,$AQ172=$AP$3,$AQ$3*AM172,$AQ172=$AP$4,$AQ$4*AM172)</f>
        <v>188.43585128915498</v>
      </c>
      <c r="BA172" s="155" cm="1">
        <f t="array" ref="BA172">_xlfn.IFS($AQ172=$AP$1,$AQ$1*AN172,$AQ172=$AP$2,$AQ$2*AN172,$AQ172=$AP$3,$AQ$3*AN172,$AQ172=$AP$4,$AQ$4*AN172)</f>
        <v>192.3930041662272</v>
      </c>
      <c r="BB172" s="155">
        <f>Table2[[#This Row],[FINAL Project System Capacity (MW)]]</f>
        <v>12.5</v>
      </c>
      <c r="BC172" s="155" t="str">
        <f>Table2[[#This Row],[FN Parent  '#]]</f>
        <v>FN011296</v>
      </c>
      <c r="BD172" s="155">
        <f t="shared" si="66"/>
        <v>12.5</v>
      </c>
      <c r="BF172" s="155">
        <f t="shared" si="67"/>
        <v>0</v>
      </c>
      <c r="BG172" s="155">
        <f t="shared" si="68"/>
        <v>0</v>
      </c>
      <c r="BH172" s="155">
        <f t="shared" si="69"/>
        <v>0</v>
      </c>
      <c r="BI172" s="155">
        <f t="shared" si="70"/>
        <v>0</v>
      </c>
      <c r="BJ172" s="155">
        <f t="shared" si="71"/>
        <v>0</v>
      </c>
      <c r="BK172" s="155">
        <f t="shared" si="72"/>
        <v>0</v>
      </c>
      <c r="BL172" s="155">
        <f t="shared" si="73"/>
        <v>14.461123558198883</v>
      </c>
      <c r="BM172" s="155">
        <f t="shared" si="74"/>
        <v>14.76480715292106</v>
      </c>
      <c r="BN172" s="155">
        <f t="shared" si="75"/>
        <v>15.074868103132399</v>
      </c>
      <c r="BO172" s="155">
        <f t="shared" si="76"/>
        <v>15.391440333298176</v>
      </c>
      <c r="BP172" s="155">
        <f t="shared" si="77"/>
        <v>4.8075002921645007</v>
      </c>
    </row>
    <row r="173" spans="1:68">
      <c r="A173" s="155" t="s">
        <v>303</v>
      </c>
      <c r="B173" s="155" t="s">
        <v>1282</v>
      </c>
      <c r="C173" s="155" t="s">
        <v>208</v>
      </c>
      <c r="D173" s="155">
        <v>60</v>
      </c>
      <c r="E173" s="189">
        <v>11.52172</v>
      </c>
      <c r="F173" s="67">
        <v>61.167000000000002</v>
      </c>
      <c r="G173" s="67">
        <v>142.892</v>
      </c>
      <c r="H173" s="67">
        <v>1500</v>
      </c>
      <c r="I173" s="67">
        <v>2555</v>
      </c>
      <c r="J173" s="67">
        <v>3725</v>
      </c>
      <c r="K173" s="67">
        <v>50</v>
      </c>
      <c r="L173" s="67">
        <v>0</v>
      </c>
      <c r="M173" s="67">
        <v>0</v>
      </c>
      <c r="N173" s="67">
        <v>0</v>
      </c>
      <c r="O173" s="67">
        <v>0</v>
      </c>
      <c r="Q173" s="202" t="s">
        <v>303</v>
      </c>
      <c r="R173" s="202" t="s">
        <v>1282</v>
      </c>
      <c r="S173" s="202" t="s">
        <v>208</v>
      </c>
      <c r="T173" s="76">
        <f>SUM($E173:F174)</f>
        <v>933.11795999999993</v>
      </c>
      <c r="U173" s="76">
        <f>SUM($E173:G174)</f>
        <v>3676.0099599999999</v>
      </c>
      <c r="V173" s="76">
        <f>SUM($E173:H174)</f>
        <v>8276.0099599999994</v>
      </c>
      <c r="W173" s="76">
        <f>SUM($E173:I174)</f>
        <v>14931.009959999999</v>
      </c>
      <c r="X173" s="76">
        <f>SUM($E173:J174)</f>
        <v>23156.009959999999</v>
      </c>
      <c r="Y173" s="76">
        <f>SUM($E173:K174)</f>
        <v>29606.009959999999</v>
      </c>
      <c r="Z173" s="76">
        <f>SUM($E173:L174)</f>
        <v>33806.009959999996</v>
      </c>
      <c r="AA173" s="76">
        <f>SUM($E173:M174)</f>
        <v>34406.009959999996</v>
      </c>
      <c r="AB173" s="76">
        <f>SUM($E173:N174)</f>
        <v>34456.009959999996</v>
      </c>
      <c r="AC173" s="76">
        <f>SUM($E173:O174)</f>
        <v>34456.009959999996</v>
      </c>
      <c r="AE173" s="76">
        <f t="shared" si="56"/>
        <v>933.11795999999993</v>
      </c>
      <c r="AF173" s="76">
        <f t="shared" si="57"/>
        <v>3753.2061691599997</v>
      </c>
      <c r="AG173" s="76">
        <f t="shared" si="58"/>
        <v>8627.2520987123571</v>
      </c>
      <c r="AH173" s="76">
        <f t="shared" si="59"/>
        <v>15891.555589740314</v>
      </c>
      <c r="AI173" s="76">
        <f t="shared" si="60"/>
        <v>25163.247893631076</v>
      </c>
      <c r="AJ173" s="76">
        <f t="shared" si="61"/>
        <v>32847.974232252025</v>
      </c>
      <c r="AK173" s="76">
        <f t="shared" si="62"/>
        <v>38295.55497071187</v>
      </c>
      <c r="AL173" s="76">
        <f t="shared" si="63"/>
        <v>39793.716842018788</v>
      </c>
      <c r="AM173" s="76">
        <f t="shared" si="64"/>
        <v>40688.428918740952</v>
      </c>
      <c r="AN173" s="76">
        <f t="shared" si="65"/>
        <v>41542.885926034505</v>
      </c>
      <c r="AP173" s="202" t="s">
        <v>303</v>
      </c>
      <c r="AQ173" s="202" t="s">
        <v>208</v>
      </c>
      <c r="AR173" s="155" cm="1">
        <f t="array" ref="AR173">_xlfn.IFS($AQ173=$AP$1,$AQ$1*AE173,$AQ173=$AP$2,$AQ$2*AE173,$AQ173=$AP$3,$AQ$3*AE173,$AQ173=$AP$4,$AQ$4*AE173)</f>
        <v>131.84271596104713</v>
      </c>
      <c r="AS173" s="155" cm="1">
        <f t="array" ref="AS173">_xlfn.IFS($AQ173=$AP$1,$AQ$1*AF173,$AQ173=$AP$2,$AQ$2*AF173,$AQ173=$AP$3,$AQ$3*AF173,$AQ173=$AP$4,$AQ$4*AF173)</f>
        <v>530.30047230450009</v>
      </c>
      <c r="AT173" s="155" cm="1">
        <f t="array" ref="AT173">_xlfn.IFS($AQ173=$AP$1,$AQ$1*AG173,$AQ173=$AP$2,$AQ$2*AG173,$AQ173=$AP$3,$AQ$3*AG173,$AQ173=$AP$4,$AQ$4*AG173)</f>
        <v>1218.9673725440684</v>
      </c>
      <c r="AU173" s="155" cm="1">
        <f t="array" ref="AU173">_xlfn.IFS($AQ173=$AP$1,$AQ$1*AH173,$AQ173=$AP$2,$AQ$2*AH173,$AQ173=$AP$3,$AQ$3*AH173,$AQ173=$AP$4,$AQ$4*AH173)</f>
        <v>2245.3601148104822</v>
      </c>
      <c r="AV173" s="155" cm="1">
        <f t="array" ref="AV173">_xlfn.IFS($AQ173=$AP$1,$AQ$1*AI173,$AQ173=$AP$2,$AQ$2*AI173,$AQ173=$AP$3,$AQ$3*AI173,$AQ173=$AP$4,$AQ$4*AI173)</f>
        <v>3555.3821562896715</v>
      </c>
      <c r="AW173" s="155" cm="1">
        <f t="array" ref="AW173">_xlfn.IFS($AQ173=$AP$1,$AQ$1*AJ173,$AQ173=$AP$2,$AQ$2*AJ173,$AQ173=$AP$3,$AQ$3*AJ173,$AQ173=$AP$4,$AQ$4*AJ173)</f>
        <v>4641.1775598002623</v>
      </c>
      <c r="AX173" s="155" cm="1">
        <f t="array" ref="AX173">_xlfn.IFS($AQ173=$AP$1,$AQ$1*AK173,$AQ173=$AP$2,$AQ$2*AK173,$AQ173=$AP$3,$AQ$3*AK173,$AQ173=$AP$4,$AQ$4*AK173)</f>
        <v>5410.8807171327317</v>
      </c>
      <c r="AY173" s="155" cm="1">
        <f t="array" ref="AY173">_xlfn.IFS($AQ173=$AP$1,$AQ$1*AL173,$AQ173=$AP$2,$AQ$2*AL173,$AQ173=$AP$3,$AQ$3*AL173,$AQ173=$AP$4,$AQ$4*AL173)</f>
        <v>5622.5599887034869</v>
      </c>
      <c r="AZ173" s="155" cm="1">
        <f t="array" ref="AZ173">_xlfn.IFS($AQ173=$AP$1,$AQ$1*AM173,$AQ173=$AP$2,$AQ$2*AM173,$AQ173=$AP$3,$AQ$3*AM173,$AQ173=$AP$4,$AQ$4*AM173)</f>
        <v>5748.9762353677334</v>
      </c>
      <c r="BA173" s="155" cm="1">
        <f t="array" ref="BA173">_xlfn.IFS($AQ173=$AP$1,$AQ$1*AN173,$AQ173=$AP$2,$AQ$2*AN173,$AQ173=$AP$3,$AQ$3*AN173,$AQ173=$AP$4,$AQ$4*AN173)</f>
        <v>5869.7047363104548</v>
      </c>
      <c r="BB173" s="155">
        <f>Table2[[#This Row],[FINAL Project System Capacity (MW)]]</f>
        <v>60</v>
      </c>
      <c r="BC173" s="155" t="str">
        <f>Table2[[#This Row],[FN Parent  '#]]</f>
        <v>FN012315</v>
      </c>
      <c r="BD173" s="155">
        <f t="shared" si="66"/>
        <v>60</v>
      </c>
      <c r="BE173" s="155">
        <f t="shared" si="78"/>
        <v>60</v>
      </c>
      <c r="BF173" s="155">
        <f t="shared" si="67"/>
        <v>2.1973785993507855</v>
      </c>
      <c r="BG173" s="155">
        <f t="shared" si="68"/>
        <v>8.8383412050750021</v>
      </c>
      <c r="BH173" s="155">
        <f t="shared" si="69"/>
        <v>20.316122875734475</v>
      </c>
      <c r="BI173" s="155">
        <f t="shared" si="70"/>
        <v>37.422668580174701</v>
      </c>
      <c r="BJ173" s="155">
        <f t="shared" si="71"/>
        <v>59.256369271494528</v>
      </c>
      <c r="BK173" s="155">
        <f t="shared" si="72"/>
        <v>77.352959330004367</v>
      </c>
      <c r="BL173" s="155">
        <f t="shared" si="73"/>
        <v>90.181345285545532</v>
      </c>
      <c r="BM173" s="155">
        <f t="shared" si="74"/>
        <v>93.70933314505811</v>
      </c>
      <c r="BN173" s="155">
        <f t="shared" si="75"/>
        <v>95.816270589462221</v>
      </c>
      <c r="BO173" s="155">
        <f t="shared" si="76"/>
        <v>97.828412271840918</v>
      </c>
      <c r="BP173" s="155">
        <f t="shared" si="77"/>
        <v>51.556706812479</v>
      </c>
    </row>
    <row r="174" spans="1:68">
      <c r="A174" s="155" t="s">
        <v>303</v>
      </c>
      <c r="B174" s="155" t="s">
        <v>1282</v>
      </c>
      <c r="C174" s="155" t="s">
        <v>208</v>
      </c>
      <c r="D174" s="155">
        <v>60</v>
      </c>
      <c r="E174" s="189">
        <v>15.04224</v>
      </c>
      <c r="F174" s="67">
        <v>845.38699999999994</v>
      </c>
      <c r="G174" s="67">
        <v>2600</v>
      </c>
      <c r="H174" s="67">
        <v>3100</v>
      </c>
      <c r="I174" s="67">
        <v>4100</v>
      </c>
      <c r="J174" s="67">
        <v>4500</v>
      </c>
      <c r="K174" s="67">
        <v>6400</v>
      </c>
      <c r="L174" s="67">
        <v>4200</v>
      </c>
      <c r="M174" s="67">
        <v>600</v>
      </c>
      <c r="N174" s="67">
        <v>50</v>
      </c>
      <c r="O174" s="67">
        <v>0</v>
      </c>
      <c r="Q174" s="201" t="s">
        <v>303</v>
      </c>
      <c r="R174" s="201" t="s">
        <v>1282</v>
      </c>
      <c r="S174" s="201" t="s">
        <v>208</v>
      </c>
      <c r="U174" s="155"/>
      <c r="V174" s="155"/>
      <c r="W174" s="155"/>
      <c r="X174" s="155"/>
      <c r="Y174" s="155"/>
      <c r="Z174" s="155"/>
      <c r="AA174" s="155"/>
      <c r="AB174" s="155"/>
      <c r="AC174" s="155"/>
      <c r="AE174" s="76">
        <f t="shared" si="56"/>
        <v>0</v>
      </c>
      <c r="AF174" s="76">
        <f t="shared" si="57"/>
        <v>0</v>
      </c>
      <c r="AG174" s="76">
        <f t="shared" si="58"/>
        <v>0</v>
      </c>
      <c r="AH174" s="76">
        <f t="shared" si="59"/>
        <v>0</v>
      </c>
      <c r="AI174" s="76">
        <f t="shared" si="60"/>
        <v>0</v>
      </c>
      <c r="AJ174" s="76">
        <f t="shared" si="61"/>
        <v>0</v>
      </c>
      <c r="AK174" s="76">
        <f t="shared" si="62"/>
        <v>0</v>
      </c>
      <c r="AL174" s="76">
        <f t="shared" si="63"/>
        <v>0</v>
      </c>
      <c r="AM174" s="76">
        <f t="shared" si="64"/>
        <v>0</v>
      </c>
      <c r="AN174" s="76">
        <f t="shared" si="65"/>
        <v>0</v>
      </c>
      <c r="AP174" s="201" t="s">
        <v>303</v>
      </c>
      <c r="AQ174" s="201" t="s">
        <v>208</v>
      </c>
      <c r="AR174" s="155" cm="1">
        <f t="array" ref="AR174">_xlfn.IFS($AQ174=$AP$1,$AQ$1*AE174,$AQ174=$AP$2,$AQ$2*AE174,$AQ174=$AP$3,$AQ$3*AE174,$AQ174=$AP$4,$AQ$4*AE174)</f>
        <v>0</v>
      </c>
      <c r="AS174" s="155" cm="1">
        <f t="array" ref="AS174">_xlfn.IFS($AQ174=$AP$1,$AQ$1*AF174,$AQ174=$AP$2,$AQ$2*AF174,$AQ174=$AP$3,$AQ$3*AF174,$AQ174=$AP$4,$AQ$4*AF174)</f>
        <v>0</v>
      </c>
      <c r="AT174" s="155" cm="1">
        <f t="array" ref="AT174">_xlfn.IFS($AQ174=$AP$1,$AQ$1*AG174,$AQ174=$AP$2,$AQ$2*AG174,$AQ174=$AP$3,$AQ$3*AG174,$AQ174=$AP$4,$AQ$4*AG174)</f>
        <v>0</v>
      </c>
      <c r="AU174" s="155" cm="1">
        <f t="array" ref="AU174">_xlfn.IFS($AQ174=$AP$1,$AQ$1*AH174,$AQ174=$AP$2,$AQ$2*AH174,$AQ174=$AP$3,$AQ$3*AH174,$AQ174=$AP$4,$AQ$4*AH174)</f>
        <v>0</v>
      </c>
      <c r="AV174" s="155" cm="1">
        <f t="array" ref="AV174">_xlfn.IFS($AQ174=$AP$1,$AQ$1*AI174,$AQ174=$AP$2,$AQ$2*AI174,$AQ174=$AP$3,$AQ$3*AI174,$AQ174=$AP$4,$AQ$4*AI174)</f>
        <v>0</v>
      </c>
      <c r="AW174" s="155" cm="1">
        <f t="array" ref="AW174">_xlfn.IFS($AQ174=$AP$1,$AQ$1*AJ174,$AQ174=$AP$2,$AQ$2*AJ174,$AQ174=$AP$3,$AQ$3*AJ174,$AQ174=$AP$4,$AQ$4*AJ174)</f>
        <v>0</v>
      </c>
      <c r="AX174" s="155" cm="1">
        <f t="array" ref="AX174">_xlfn.IFS($AQ174=$AP$1,$AQ$1*AK174,$AQ174=$AP$2,$AQ$2*AK174,$AQ174=$AP$3,$AQ$3*AK174,$AQ174=$AP$4,$AQ$4*AK174)</f>
        <v>0</v>
      </c>
      <c r="AY174" s="155" cm="1">
        <f t="array" ref="AY174">_xlfn.IFS($AQ174=$AP$1,$AQ$1*AL174,$AQ174=$AP$2,$AQ$2*AL174,$AQ174=$AP$3,$AQ$3*AL174,$AQ174=$AP$4,$AQ$4*AL174)</f>
        <v>0</v>
      </c>
      <c r="AZ174" s="155" cm="1">
        <f t="array" ref="AZ174">_xlfn.IFS($AQ174=$AP$1,$AQ$1*AM174,$AQ174=$AP$2,$AQ$2*AM174,$AQ174=$AP$3,$AQ$3*AM174,$AQ174=$AP$4,$AQ$4*AM174)</f>
        <v>0</v>
      </c>
      <c r="BA174" s="155" cm="1">
        <f t="array" ref="BA174">_xlfn.IFS($AQ174=$AP$1,$AQ$1*AN174,$AQ174=$AP$2,$AQ$2*AN174,$AQ174=$AP$3,$AQ$3*AN174,$AQ174=$AP$4,$AQ$4*AN174)</f>
        <v>0</v>
      </c>
      <c r="BB174" s="155"/>
      <c r="BC174" s="155" t="str">
        <f>Table2[[#This Row],[FN Parent  '#]]</f>
        <v>FN012315</v>
      </c>
      <c r="BD174" s="155">
        <f t="shared" si="66"/>
        <v>0</v>
      </c>
      <c r="BF174" s="155" t="str">
        <f t="shared" si="67"/>
        <v/>
      </c>
      <c r="BG174" s="155" t="str">
        <f t="shared" si="68"/>
        <v/>
      </c>
      <c r="BH174" s="155" t="str">
        <f t="shared" si="69"/>
        <v/>
      </c>
      <c r="BI174" s="155" t="str">
        <f t="shared" si="70"/>
        <v/>
      </c>
      <c r="BJ174" s="155" t="str">
        <f t="shared" si="71"/>
        <v/>
      </c>
      <c r="BK174" s="155" t="str">
        <f t="shared" si="72"/>
        <v/>
      </c>
      <c r="BL174" s="155" t="str">
        <f t="shared" si="73"/>
        <v/>
      </c>
      <c r="BM174" s="155" t="str">
        <f t="shared" si="74"/>
        <v/>
      </c>
      <c r="BN174" s="155" t="str">
        <f t="shared" si="75"/>
        <v/>
      </c>
      <c r="BO174" s="155" t="str">
        <f t="shared" si="76"/>
        <v/>
      </c>
      <c r="BP174" s="155">
        <f t="shared" si="77"/>
        <v>0</v>
      </c>
    </row>
    <row r="175" spans="1:68">
      <c r="A175" s="155" t="s">
        <v>303</v>
      </c>
      <c r="B175" s="155" t="s">
        <v>1282</v>
      </c>
      <c r="C175" s="155" t="s">
        <v>207</v>
      </c>
      <c r="D175" s="155">
        <v>60</v>
      </c>
      <c r="E175" s="189">
        <v>2153.3806</v>
      </c>
      <c r="F175" s="67">
        <v>850</v>
      </c>
      <c r="G175" s="67">
        <v>1690</v>
      </c>
      <c r="H175" s="67">
        <v>4515</v>
      </c>
      <c r="I175" s="67">
        <v>4554.567</v>
      </c>
      <c r="J175" s="67">
        <v>4933.3472400000001</v>
      </c>
      <c r="K175" s="67">
        <v>6067.60952</v>
      </c>
      <c r="L175" s="67">
        <v>150</v>
      </c>
      <c r="M175" s="67">
        <v>0</v>
      </c>
      <c r="N175" s="67">
        <v>0</v>
      </c>
      <c r="O175" s="67">
        <v>0</v>
      </c>
      <c r="Q175" s="202" t="s">
        <v>303</v>
      </c>
      <c r="R175" s="202" t="s">
        <v>1282</v>
      </c>
      <c r="S175" s="202" t="s">
        <v>207</v>
      </c>
      <c r="T175" s="76">
        <f>SUM($E175:F175)</f>
        <v>3003.3806</v>
      </c>
      <c r="U175" s="76">
        <f>SUM($E175:G175)</f>
        <v>4693.3806000000004</v>
      </c>
      <c r="V175" s="76">
        <f>SUM($E175:H175)</f>
        <v>9208.3806000000004</v>
      </c>
      <c r="W175" s="76">
        <f>SUM($E175:I175)</f>
        <v>13762.9476</v>
      </c>
      <c r="X175" s="76">
        <f>SUM($E175:J175)</f>
        <v>18696.294839999999</v>
      </c>
      <c r="Y175" s="76">
        <f>SUM($E175:K175)</f>
        <v>24763.90436</v>
      </c>
      <c r="Z175" s="76">
        <f>SUM($E175:L175)</f>
        <v>24913.90436</v>
      </c>
      <c r="AA175" s="76">
        <f>SUM($E175:M175)</f>
        <v>24913.90436</v>
      </c>
      <c r="AB175" s="76">
        <f>SUM($E175:N175)</f>
        <v>24913.90436</v>
      </c>
      <c r="AC175" s="76">
        <f>SUM($E175:O175)</f>
        <v>24913.90436</v>
      </c>
      <c r="AE175" s="76">
        <f t="shared" si="56"/>
        <v>3003.3806</v>
      </c>
      <c r="AF175" s="76">
        <f t="shared" si="57"/>
        <v>4791.9415926000001</v>
      </c>
      <c r="AG175" s="76">
        <f t="shared" si="58"/>
        <v>9599.1934810445982</v>
      </c>
      <c r="AH175" s="76">
        <f t="shared" si="59"/>
        <v>14648.349137132518</v>
      </c>
      <c r="AI175" s="76">
        <f t="shared" si="60"/>
        <v>20316.9502243268</v>
      </c>
      <c r="AJ175" s="76">
        <f t="shared" si="61"/>
        <v>27475.64070289307</v>
      </c>
      <c r="AK175" s="76">
        <f t="shared" si="62"/>
        <v>28222.549631924627</v>
      </c>
      <c r="AL175" s="76">
        <f t="shared" si="63"/>
        <v>28815.223174195042</v>
      </c>
      <c r="AM175" s="76">
        <f t="shared" si="64"/>
        <v>29420.342860853132</v>
      </c>
      <c r="AN175" s="76">
        <f t="shared" si="65"/>
        <v>30038.170060931043</v>
      </c>
      <c r="AP175" s="202" t="s">
        <v>303</v>
      </c>
      <c r="AQ175" s="202" t="s">
        <v>207</v>
      </c>
      <c r="AR175" s="155" cm="1">
        <f t="array" ref="AR175">_xlfn.IFS($AQ175=$AP$1,$AQ$1*AE175,$AQ175=$AP$2,$AQ$2*AE175,$AQ175=$AP$3,$AQ$3*AE175,$AQ175=$AP$4,$AQ$4*AE175)</f>
        <v>242.04871322939582</v>
      </c>
      <c r="AS175" s="155" cm="1">
        <f t="array" ref="AS175">_xlfn.IFS($AQ175=$AP$1,$AQ$1*AF175,$AQ175=$AP$2,$AQ$2*AF175,$AQ175=$AP$3,$AQ$3*AF175,$AQ175=$AP$4,$AQ$4*AF175)</f>
        <v>386.19257791012291</v>
      </c>
      <c r="AT175" s="155" cm="1">
        <f t="array" ref="AT175">_xlfn.IFS($AQ175=$AP$1,$AQ$1*AG175,$AQ175=$AP$2,$AQ$2*AG175,$AQ175=$AP$3,$AQ$3*AG175,$AQ175=$AP$4,$AQ$4*AG175)</f>
        <v>773.61904452830572</v>
      </c>
      <c r="AU175" s="155" cm="1">
        <f t="array" ref="AU175">_xlfn.IFS($AQ175=$AP$1,$AQ$1*AH175,$AQ175=$AP$2,$AQ$2*AH175,$AQ175=$AP$3,$AQ$3*AH175,$AQ175=$AP$4,$AQ$4*AH175)</f>
        <v>1180.5410408450584</v>
      </c>
      <c r="AV175" s="155" cm="1">
        <f t="array" ref="AV175">_xlfn.IFS($AQ175=$AP$1,$AQ$1*AI175,$AQ175=$AP$2,$AQ$2*AI175,$AQ175=$AP$3,$AQ$3*AI175,$AQ175=$AP$4,$AQ$4*AI175)</f>
        <v>1637.3854377776784</v>
      </c>
      <c r="AW175" s="155" cm="1">
        <f t="array" ref="AW175">_xlfn.IFS($AQ175=$AP$1,$AQ$1*AJ175,$AQ175=$AP$2,$AQ$2*AJ175,$AQ175=$AP$3,$AQ$3*AJ175,$AQ175=$AP$4,$AQ$4*AJ175)</f>
        <v>2214.3192498774479</v>
      </c>
      <c r="AX175" s="155" cm="1">
        <f t="array" ref="AX175">_xlfn.IFS($AQ175=$AP$1,$AQ$1*AK175,$AQ175=$AP$2,$AQ$2*AK175,$AQ175=$AP$3,$AQ$3*AK175,$AQ175=$AP$4,$AQ$4*AK175)</f>
        <v>2274.514199918623</v>
      </c>
      <c r="AY175" s="155" cm="1">
        <f t="array" ref="AY175">_xlfn.IFS($AQ175=$AP$1,$AQ$1*AL175,$AQ175=$AP$2,$AQ$2*AL175,$AQ175=$AP$3,$AQ$3*AL175,$AQ175=$AP$4,$AQ$4*AL175)</f>
        <v>2322.278998116914</v>
      </c>
      <c r="AZ175" s="155" cm="1">
        <f t="array" ref="AZ175">_xlfn.IFS($AQ175=$AP$1,$AQ$1*AM175,$AQ175=$AP$2,$AQ$2*AM175,$AQ175=$AP$3,$AQ$3*AM175,$AQ175=$AP$4,$AQ$4*AM175)</f>
        <v>2371.0468570773687</v>
      </c>
      <c r="BA175" s="155" cm="1">
        <f t="array" ref="BA175">_xlfn.IFS($AQ175=$AP$1,$AQ$1*AN175,$AQ175=$AP$2,$AQ$2*AN175,$AQ175=$AP$3,$AQ$3*AN175,$AQ175=$AP$4,$AQ$4*AN175)</f>
        <v>2420.8388410759931</v>
      </c>
      <c r="BB175" s="155">
        <f>Table2[[#This Row],[FINAL Project System Capacity (MW)]]</f>
        <v>60</v>
      </c>
      <c r="BC175" s="155" t="str">
        <f>Table2[[#This Row],[FN Parent  '#]]</f>
        <v>FN012315</v>
      </c>
      <c r="BD175" s="155">
        <f t="shared" si="66"/>
        <v>60</v>
      </c>
      <c r="BF175" s="155">
        <f t="shared" si="67"/>
        <v>4.03414522048993</v>
      </c>
      <c r="BG175" s="155">
        <f t="shared" si="68"/>
        <v>6.4365429651687149</v>
      </c>
      <c r="BH175" s="155">
        <f t="shared" si="69"/>
        <v>12.893650742138428</v>
      </c>
      <c r="BI175" s="155">
        <f t="shared" si="70"/>
        <v>19.675684014084307</v>
      </c>
      <c r="BJ175" s="155">
        <f t="shared" si="71"/>
        <v>27.289757296294638</v>
      </c>
      <c r="BK175" s="155">
        <f t="shared" si="72"/>
        <v>36.905320831290801</v>
      </c>
      <c r="BL175" s="155">
        <f t="shared" si="73"/>
        <v>37.908569998643721</v>
      </c>
      <c r="BM175" s="155">
        <f t="shared" si="74"/>
        <v>38.704649968615236</v>
      </c>
      <c r="BN175" s="155">
        <f t="shared" si="75"/>
        <v>39.517447617956144</v>
      </c>
      <c r="BO175" s="155">
        <f t="shared" si="76"/>
        <v>40.347314017933215</v>
      </c>
      <c r="BP175" s="155">
        <f t="shared" si="77"/>
        <v>23.84009288272058</v>
      </c>
    </row>
    <row r="176" spans="1:68">
      <c r="A176" s="155" t="s">
        <v>322</v>
      </c>
      <c r="B176" s="155" t="s">
        <v>1184</v>
      </c>
      <c r="C176" s="155" t="s">
        <v>208</v>
      </c>
      <c r="D176" s="155">
        <v>12.5</v>
      </c>
      <c r="E176" s="189">
        <v>0</v>
      </c>
      <c r="F176" s="67">
        <v>0</v>
      </c>
      <c r="G176" s="67">
        <v>0</v>
      </c>
      <c r="H176" s="67">
        <v>0</v>
      </c>
      <c r="I176" s="67">
        <v>0</v>
      </c>
      <c r="J176" s="67">
        <v>0</v>
      </c>
      <c r="K176" s="67">
        <v>0</v>
      </c>
      <c r="L176" s="67">
        <v>202</v>
      </c>
      <c r="M176" s="67">
        <v>776</v>
      </c>
      <c r="N176" s="67">
        <v>1943</v>
      </c>
      <c r="O176" s="67">
        <v>0</v>
      </c>
      <c r="Q176" s="201" t="s">
        <v>322</v>
      </c>
      <c r="R176" s="201" t="s">
        <v>1184</v>
      </c>
      <c r="S176" s="201" t="s">
        <v>208</v>
      </c>
      <c r="T176" s="76">
        <f>SUM($E176:F176)</f>
        <v>0</v>
      </c>
      <c r="U176" s="76">
        <f>SUM($E176:G176)</f>
        <v>0</v>
      </c>
      <c r="V176" s="76">
        <f>SUM($E176:H176)</f>
        <v>0</v>
      </c>
      <c r="W176" s="76">
        <f>SUM($E176:I176)</f>
        <v>0</v>
      </c>
      <c r="X176" s="76">
        <f>SUM($E176:J176)</f>
        <v>0</v>
      </c>
      <c r="Y176" s="76">
        <f>SUM($E176:K176)</f>
        <v>0</v>
      </c>
      <c r="Z176" s="76">
        <f>SUM($E176:L176)</f>
        <v>202</v>
      </c>
      <c r="AA176" s="76">
        <f>SUM($E176:M176)</f>
        <v>978</v>
      </c>
      <c r="AB176" s="76">
        <f>SUM($E176:N176)</f>
        <v>2921</v>
      </c>
      <c r="AC176" s="76">
        <f>SUM($E176:O176)</f>
        <v>2921</v>
      </c>
      <c r="AE176" s="76">
        <f t="shared" si="56"/>
        <v>0</v>
      </c>
      <c r="AF176" s="76">
        <f t="shared" si="57"/>
        <v>0</v>
      </c>
      <c r="AG176" s="76">
        <f t="shared" si="58"/>
        <v>0</v>
      </c>
      <c r="AH176" s="76">
        <f t="shared" si="59"/>
        <v>0</v>
      </c>
      <c r="AI176" s="76">
        <f t="shared" si="60"/>
        <v>0</v>
      </c>
      <c r="AJ176" s="76">
        <f t="shared" si="61"/>
        <v>0</v>
      </c>
      <c r="AK176" s="76">
        <f t="shared" si="62"/>
        <v>228.82623868468499</v>
      </c>
      <c r="AL176" s="76">
        <f t="shared" si="63"/>
        <v>1131.1470035828117</v>
      </c>
      <c r="AM176" s="76">
        <f t="shared" si="64"/>
        <v>3449.3518259838097</v>
      </c>
      <c r="AN176" s="76">
        <f t="shared" si="65"/>
        <v>3521.7882143294692</v>
      </c>
      <c r="AP176" s="201" t="s">
        <v>322</v>
      </c>
      <c r="AQ176" s="201" t="s">
        <v>208</v>
      </c>
      <c r="AR176" s="155" cm="1">
        <f t="array" ref="AR176">_xlfn.IFS($AQ176=$AP$1,$AQ$1*AE176,$AQ176=$AP$2,$AQ$2*AE176,$AQ176=$AP$3,$AQ$3*AE176,$AQ176=$AP$4,$AQ$4*AE176)</f>
        <v>0</v>
      </c>
      <c r="AS176" s="155" cm="1">
        <f t="array" ref="AS176">_xlfn.IFS($AQ176=$AP$1,$AQ$1*AF176,$AQ176=$AP$2,$AQ$2*AF176,$AQ176=$AP$3,$AQ$3*AF176,$AQ176=$AP$4,$AQ$4*AF176)</f>
        <v>0</v>
      </c>
      <c r="AT176" s="155" cm="1">
        <f t="array" ref="AT176">_xlfn.IFS($AQ176=$AP$1,$AQ$1*AG176,$AQ176=$AP$2,$AQ$2*AG176,$AQ176=$AP$3,$AQ$3*AG176,$AQ176=$AP$4,$AQ$4*AG176)</f>
        <v>0</v>
      </c>
      <c r="AU176" s="155" cm="1">
        <f t="array" ref="AU176">_xlfn.IFS($AQ176=$AP$1,$AQ$1*AH176,$AQ176=$AP$2,$AQ$2*AH176,$AQ176=$AP$3,$AQ$3*AH176,$AQ176=$AP$4,$AQ$4*AH176)</f>
        <v>0</v>
      </c>
      <c r="AV176" s="155" cm="1">
        <f t="array" ref="AV176">_xlfn.IFS($AQ176=$AP$1,$AQ$1*AI176,$AQ176=$AP$2,$AQ$2*AI176,$AQ176=$AP$3,$AQ$3*AI176,$AQ176=$AP$4,$AQ$4*AI176)</f>
        <v>0</v>
      </c>
      <c r="AW176" s="155" cm="1">
        <f t="array" ref="AW176">_xlfn.IFS($AQ176=$AP$1,$AQ$1*AJ176,$AQ176=$AP$2,$AQ$2*AJ176,$AQ176=$AP$3,$AQ$3*AJ176,$AQ176=$AP$4,$AQ$4*AJ176)</f>
        <v>0</v>
      </c>
      <c r="AX176" s="155" cm="1">
        <f t="array" ref="AX176">_xlfn.IFS($AQ176=$AP$1,$AQ$1*AK176,$AQ176=$AP$2,$AQ$2*AK176,$AQ176=$AP$3,$AQ$3*AK176,$AQ176=$AP$4,$AQ$4*AK176)</f>
        <v>32.331467279163398</v>
      </c>
      <c r="AY176" s="155" cm="1">
        <f t="array" ref="AY176">_xlfn.IFS($AQ176=$AP$1,$AQ$1*AL176,$AQ176=$AP$2,$AQ$2*AL176,$AQ176=$AP$3,$AQ$3*AL176,$AQ176=$AP$4,$AQ$4*AL176)</f>
        <v>159.82276571287753</v>
      </c>
      <c r="AZ176" s="155" cm="1">
        <f t="array" ref="AZ176">_xlfn.IFS($AQ176=$AP$1,$AQ$1*AM176,$AQ176=$AP$2,$AQ$2*AM176,$AQ176=$AP$3,$AQ$3*AM176,$AQ176=$AP$4,$AQ$4*AM176)</f>
        <v>487.36808478416032</v>
      </c>
      <c r="BA176" s="155" cm="1">
        <f t="array" ref="BA176">_xlfn.IFS($AQ176=$AP$1,$AQ$1*AN176,$AQ176=$AP$2,$AQ$2*AN176,$AQ176=$AP$3,$AQ$3*AN176,$AQ176=$AP$4,$AQ$4*AN176)</f>
        <v>497.60281456462758</v>
      </c>
      <c r="BB176" s="155">
        <f>Table2[[#This Row],[FINAL Project System Capacity (MW)]]</f>
        <v>12.5</v>
      </c>
      <c r="BC176" s="155" t="str">
        <f>Table2[[#This Row],[FN Parent  '#]]</f>
        <v>FN011311</v>
      </c>
      <c r="BD176" s="155">
        <f t="shared" si="66"/>
        <v>12.5</v>
      </c>
      <c r="BE176" s="155">
        <f t="shared" si="78"/>
        <v>12.5</v>
      </c>
      <c r="BF176" s="155">
        <f t="shared" si="67"/>
        <v>0</v>
      </c>
      <c r="BG176" s="155">
        <f t="shared" si="68"/>
        <v>0</v>
      </c>
      <c r="BH176" s="155">
        <f t="shared" si="69"/>
        <v>0</v>
      </c>
      <c r="BI176" s="155">
        <f t="shared" si="70"/>
        <v>0</v>
      </c>
      <c r="BJ176" s="155">
        <f t="shared" si="71"/>
        <v>0</v>
      </c>
      <c r="BK176" s="155">
        <f t="shared" si="72"/>
        <v>0</v>
      </c>
      <c r="BL176" s="155">
        <f t="shared" si="73"/>
        <v>2.586517382333072</v>
      </c>
      <c r="BM176" s="155">
        <f t="shared" si="74"/>
        <v>12.785821257030202</v>
      </c>
      <c r="BN176" s="155">
        <f t="shared" si="75"/>
        <v>38.989446782732827</v>
      </c>
      <c r="BO176" s="155">
        <f t="shared" si="76"/>
        <v>39.808225165170207</v>
      </c>
      <c r="BP176" s="155">
        <f t="shared" si="77"/>
        <v>7.2266917075244628</v>
      </c>
    </row>
    <row r="177" spans="1:68">
      <c r="A177" s="155" t="s">
        <v>322</v>
      </c>
      <c r="B177" s="155" t="s">
        <v>1184</v>
      </c>
      <c r="C177" s="155" t="s">
        <v>207</v>
      </c>
      <c r="D177" s="155">
        <v>12.5</v>
      </c>
      <c r="E177" s="189">
        <v>0</v>
      </c>
      <c r="F177" s="67">
        <v>0</v>
      </c>
      <c r="G177" s="67">
        <v>0</v>
      </c>
      <c r="H177" s="67">
        <v>0</v>
      </c>
      <c r="I177" s="67">
        <v>0</v>
      </c>
      <c r="J177" s="67">
        <v>0</v>
      </c>
      <c r="K177" s="67">
        <v>0</v>
      </c>
      <c r="L177" s="67">
        <v>1980</v>
      </c>
      <c r="M177" s="67">
        <v>0</v>
      </c>
      <c r="N177" s="67">
        <v>0</v>
      </c>
      <c r="O177" s="67">
        <v>0</v>
      </c>
      <c r="Q177" s="202" t="s">
        <v>322</v>
      </c>
      <c r="R177" s="202" t="s">
        <v>1184</v>
      </c>
      <c r="S177" s="202" t="s">
        <v>207</v>
      </c>
      <c r="T177" s="76">
        <f>SUM($E177:F177)</f>
        <v>0</v>
      </c>
      <c r="U177" s="76">
        <f>SUM($E177:G177)</f>
        <v>0</v>
      </c>
      <c r="V177" s="76">
        <f>SUM($E177:H177)</f>
        <v>0</v>
      </c>
      <c r="W177" s="76">
        <f>SUM($E177:I177)</f>
        <v>0</v>
      </c>
      <c r="X177" s="76">
        <f>SUM($E177:J177)</f>
        <v>0</v>
      </c>
      <c r="Y177" s="76">
        <f>SUM($E177:K177)</f>
        <v>0</v>
      </c>
      <c r="Z177" s="76">
        <f>SUM($E177:L177)</f>
        <v>1980</v>
      </c>
      <c r="AA177" s="76">
        <f>SUM($E177:M177)</f>
        <v>1980</v>
      </c>
      <c r="AB177" s="76">
        <f>SUM($E177:N177)</f>
        <v>1980</v>
      </c>
      <c r="AC177" s="76">
        <f>SUM($E177:O177)</f>
        <v>1980</v>
      </c>
      <c r="AE177" s="76">
        <f t="shared" si="56"/>
        <v>0</v>
      </c>
      <c r="AF177" s="76">
        <f t="shared" si="57"/>
        <v>0</v>
      </c>
      <c r="AG177" s="76">
        <f t="shared" si="58"/>
        <v>0</v>
      </c>
      <c r="AH177" s="76">
        <f t="shared" si="59"/>
        <v>0</v>
      </c>
      <c r="AI177" s="76">
        <f t="shared" si="60"/>
        <v>0</v>
      </c>
      <c r="AJ177" s="76">
        <f t="shared" si="61"/>
        <v>0</v>
      </c>
      <c r="AK177" s="76">
        <f t="shared" si="62"/>
        <v>2242.950260374635</v>
      </c>
      <c r="AL177" s="76">
        <f t="shared" si="63"/>
        <v>2290.0522158425024</v>
      </c>
      <c r="AM177" s="76">
        <f t="shared" si="64"/>
        <v>2338.1433123751945</v>
      </c>
      <c r="AN177" s="76">
        <f t="shared" si="65"/>
        <v>2387.244321935073</v>
      </c>
      <c r="AP177" s="202" t="s">
        <v>322</v>
      </c>
      <c r="AQ177" s="202" t="s">
        <v>207</v>
      </c>
      <c r="AR177" s="155" cm="1">
        <f t="array" ref="AR177">_xlfn.IFS($AQ177=$AP$1,$AQ$1*AE177,$AQ177=$AP$2,$AQ$2*AE177,$AQ177=$AP$3,$AQ$3*AE177,$AQ177=$AP$4,$AQ$4*AE177)</f>
        <v>0</v>
      </c>
      <c r="AS177" s="155" cm="1">
        <f t="array" ref="AS177">_xlfn.IFS($AQ177=$AP$1,$AQ$1*AF177,$AQ177=$AP$2,$AQ$2*AF177,$AQ177=$AP$3,$AQ$3*AF177,$AQ177=$AP$4,$AQ$4*AF177)</f>
        <v>0</v>
      </c>
      <c r="AT177" s="155" cm="1">
        <f t="array" ref="AT177">_xlfn.IFS($AQ177=$AP$1,$AQ$1*AG177,$AQ177=$AP$2,$AQ$2*AG177,$AQ177=$AP$3,$AQ$3*AG177,$AQ177=$AP$4,$AQ$4*AG177)</f>
        <v>0</v>
      </c>
      <c r="AU177" s="155" cm="1">
        <f t="array" ref="AU177">_xlfn.IFS($AQ177=$AP$1,$AQ$1*AH177,$AQ177=$AP$2,$AQ$2*AH177,$AQ177=$AP$3,$AQ$3*AH177,$AQ177=$AP$4,$AQ$4*AH177)</f>
        <v>0</v>
      </c>
      <c r="AV177" s="155" cm="1">
        <f t="array" ref="AV177">_xlfn.IFS($AQ177=$AP$1,$AQ$1*AI177,$AQ177=$AP$2,$AQ$2*AI177,$AQ177=$AP$3,$AQ$3*AI177,$AQ177=$AP$4,$AQ$4*AI177)</f>
        <v>0</v>
      </c>
      <c r="AW177" s="155" cm="1">
        <f t="array" ref="AW177">_xlfn.IFS($AQ177=$AP$1,$AQ$1*AJ177,$AQ177=$AP$2,$AQ$2*AJ177,$AQ177=$AP$3,$AQ$3*AJ177,$AQ177=$AP$4,$AQ$4*AJ177)</f>
        <v>0</v>
      </c>
      <c r="AX177" s="155" cm="1">
        <f t="array" ref="AX177">_xlfn.IFS($AQ177=$AP$1,$AQ$1*AK177,$AQ177=$AP$2,$AQ$2*AK177,$AQ177=$AP$3,$AQ$3*AK177,$AQ177=$AP$4,$AQ$4*AK177)</f>
        <v>180.76404447748604</v>
      </c>
      <c r="AY177" s="155" cm="1">
        <f t="array" ref="AY177">_xlfn.IFS($AQ177=$AP$1,$AQ$1*AL177,$AQ177=$AP$2,$AQ$2*AL177,$AQ177=$AP$3,$AQ$3*AL177,$AQ177=$AP$4,$AQ$4*AL177)</f>
        <v>184.56008941151325</v>
      </c>
      <c r="AZ177" s="155" cm="1">
        <f t="array" ref="AZ177">_xlfn.IFS($AQ177=$AP$1,$AQ$1*AM177,$AQ177=$AP$2,$AQ$2*AM177,$AQ177=$AP$3,$AQ$3*AM177,$AQ177=$AP$4,$AQ$4*AM177)</f>
        <v>188.43585128915498</v>
      </c>
      <c r="BA177" s="155" cm="1">
        <f t="array" ref="BA177">_xlfn.IFS($AQ177=$AP$1,$AQ$1*AN177,$AQ177=$AP$2,$AQ$2*AN177,$AQ177=$AP$3,$AQ$3*AN177,$AQ177=$AP$4,$AQ$4*AN177)</f>
        <v>192.3930041662272</v>
      </c>
      <c r="BB177" s="155">
        <f>Table2[[#This Row],[FINAL Project System Capacity (MW)]]</f>
        <v>12.5</v>
      </c>
      <c r="BC177" s="155" t="str">
        <f>Table2[[#This Row],[FN Parent  '#]]</f>
        <v>FN011311</v>
      </c>
      <c r="BD177" s="155">
        <f t="shared" si="66"/>
        <v>12.5</v>
      </c>
      <c r="BF177" s="155">
        <f t="shared" si="67"/>
        <v>0</v>
      </c>
      <c r="BG177" s="155">
        <f t="shared" si="68"/>
        <v>0</v>
      </c>
      <c r="BH177" s="155">
        <f t="shared" si="69"/>
        <v>0</v>
      </c>
      <c r="BI177" s="155">
        <f t="shared" si="70"/>
        <v>0</v>
      </c>
      <c r="BJ177" s="155">
        <f t="shared" si="71"/>
        <v>0</v>
      </c>
      <c r="BK177" s="155">
        <f t="shared" si="72"/>
        <v>0</v>
      </c>
      <c r="BL177" s="155">
        <f t="shared" si="73"/>
        <v>14.461123558198883</v>
      </c>
      <c r="BM177" s="155">
        <f t="shared" si="74"/>
        <v>14.76480715292106</v>
      </c>
      <c r="BN177" s="155">
        <f t="shared" si="75"/>
        <v>15.074868103132399</v>
      </c>
      <c r="BO177" s="155">
        <f t="shared" si="76"/>
        <v>15.391440333298176</v>
      </c>
      <c r="BP177" s="155">
        <f t="shared" si="77"/>
        <v>4.8075002921645007</v>
      </c>
    </row>
    <row r="178" spans="1:68">
      <c r="A178" s="155" t="s">
        <v>305</v>
      </c>
      <c r="B178" s="155" t="s">
        <v>1160</v>
      </c>
      <c r="C178" s="155" t="s">
        <v>208</v>
      </c>
      <c r="D178" s="155">
        <v>38.72</v>
      </c>
      <c r="E178" s="189">
        <v>751.67615999999998</v>
      </c>
      <c r="F178" s="67">
        <v>197.99979999999999</v>
      </c>
      <c r="G178" s="67">
        <v>180</v>
      </c>
      <c r="H178" s="67">
        <v>3639.3520400000002</v>
      </c>
      <c r="I178" s="67">
        <v>1958</v>
      </c>
      <c r="J178" s="67">
        <v>5168</v>
      </c>
      <c r="K178" s="67">
        <v>3210</v>
      </c>
      <c r="L178" s="67">
        <v>0</v>
      </c>
      <c r="M178" s="67">
        <v>0</v>
      </c>
      <c r="N178" s="67">
        <v>0</v>
      </c>
      <c r="O178" s="67">
        <v>0</v>
      </c>
      <c r="Q178" s="201" t="s">
        <v>305</v>
      </c>
      <c r="R178" s="201" t="s">
        <v>1160</v>
      </c>
      <c r="S178" s="201" t="s">
        <v>208</v>
      </c>
      <c r="T178" s="76">
        <f>SUM($E178:F178)</f>
        <v>949.67596000000003</v>
      </c>
      <c r="U178" s="76">
        <f>SUM($E178:G178)</f>
        <v>1129.67596</v>
      </c>
      <c r="V178" s="76">
        <f>SUM($E178:H178)</f>
        <v>4769.0280000000002</v>
      </c>
      <c r="W178" s="76">
        <f>SUM($E178:I178)</f>
        <v>6727.0280000000002</v>
      </c>
      <c r="X178" s="76">
        <f>SUM($E178:J178)</f>
        <v>11895.028</v>
      </c>
      <c r="Y178" s="76">
        <f>SUM($E178:K178)</f>
        <v>15105.028</v>
      </c>
      <c r="Z178" s="76">
        <f>SUM($E178:L178)</f>
        <v>15105.028</v>
      </c>
      <c r="AA178" s="76">
        <f>SUM($E178:M178)</f>
        <v>15105.028</v>
      </c>
      <c r="AB178" s="76">
        <f>SUM($E178:N178)</f>
        <v>15105.028</v>
      </c>
      <c r="AC178" s="76">
        <f>SUM($E178:O178)</f>
        <v>15105.028</v>
      </c>
      <c r="AE178" s="76">
        <f t="shared" si="56"/>
        <v>949.67596000000003</v>
      </c>
      <c r="AF178" s="76">
        <f t="shared" si="57"/>
        <v>1153.39915516</v>
      </c>
      <c r="AG178" s="76">
        <f t="shared" si="58"/>
        <v>4971.4303173479993</v>
      </c>
      <c r="AH178" s="76">
        <f t="shared" si="59"/>
        <v>7159.7929210503062</v>
      </c>
      <c r="AI178" s="76">
        <f t="shared" si="60"/>
        <v>12926.127548862167</v>
      </c>
      <c r="AJ178" s="76">
        <f t="shared" si="61"/>
        <v>16759.082740018282</v>
      </c>
      <c r="AK178" s="76">
        <f t="shared" si="62"/>
        <v>17111.023477558665</v>
      </c>
      <c r="AL178" s="76">
        <f t="shared" si="63"/>
        <v>17470.354970587396</v>
      </c>
      <c r="AM178" s="76">
        <f t="shared" si="64"/>
        <v>17837.232424969727</v>
      </c>
      <c r="AN178" s="76">
        <f t="shared" si="65"/>
        <v>18211.814305894088</v>
      </c>
      <c r="AP178" s="201" t="s">
        <v>305</v>
      </c>
      <c r="AQ178" s="201" t="s">
        <v>208</v>
      </c>
      <c r="AR178" s="155" cm="1">
        <f t="array" ref="AR178">_xlfn.IFS($AQ178=$AP$1,$AQ$1*AE178,$AQ178=$AP$2,$AQ$2*AE178,$AQ178=$AP$3,$AQ$3*AE178,$AQ178=$AP$4,$AQ$4*AE178)</f>
        <v>134.18223977739618</v>
      </c>
      <c r="AS178" s="155" cm="1">
        <f t="array" ref="AS178">_xlfn.IFS($AQ178=$AP$1,$AQ$1*AF178,$AQ178=$AP$2,$AQ$2*AF178,$AQ178=$AP$3,$AQ$3*AF178,$AQ178=$AP$4,$AQ$4*AF178)</f>
        <v>162.96683133552762</v>
      </c>
      <c r="AT178" s="155" cm="1">
        <f t="array" ref="AT178">_xlfn.IFS($AQ178=$AP$1,$AQ$1*AG178,$AQ178=$AP$2,$AQ$2*AG178,$AQ178=$AP$3,$AQ$3*AG178,$AQ178=$AP$4,$AQ$4*AG178)</f>
        <v>702.42659915178433</v>
      </c>
      <c r="AU178" s="155" cm="1">
        <f t="array" ref="AU178">_xlfn.IFS($AQ178=$AP$1,$AQ$1*AH178,$AQ178=$AP$2,$AQ$2*AH178,$AQ178=$AP$3,$AQ$3*AH178,$AQ178=$AP$4,$AQ$4*AH178)</f>
        <v>1011.6261661386857</v>
      </c>
      <c r="AV178" s="155" cm="1">
        <f t="array" ref="AV178">_xlfn.IFS($AQ178=$AP$1,$AQ$1*AI178,$AQ178=$AP$2,$AQ$2*AI178,$AQ178=$AP$3,$AQ$3*AI178,$AQ178=$AP$4,$AQ$4*AI178)</f>
        <v>1826.3669074603399</v>
      </c>
      <c r="AW178" s="155" cm="1">
        <f t="array" ref="AW178">_xlfn.IFS($AQ178=$AP$1,$AQ$1*AJ178,$AQ178=$AP$2,$AQ$2*AJ178,$AQ178=$AP$3,$AQ$3*AJ178,$AQ178=$AP$4,$AQ$4*AJ178)</f>
        <v>2367.9353309842177</v>
      </c>
      <c r="AX178" s="155" cm="1">
        <f t="array" ref="AX178">_xlfn.IFS($AQ178=$AP$1,$AQ$1*AK178,$AQ178=$AP$2,$AQ$2*AK178,$AQ178=$AP$3,$AQ$3*AK178,$AQ178=$AP$4,$AQ$4*AK178)</f>
        <v>2417.6619729348859</v>
      </c>
      <c r="AY178" s="155" cm="1">
        <f t="array" ref="AY178">_xlfn.IFS($AQ178=$AP$1,$AQ$1*AL178,$AQ178=$AP$2,$AQ$2*AL178,$AQ178=$AP$3,$AQ$3*AL178,$AQ178=$AP$4,$AQ$4*AL178)</f>
        <v>2468.4328743665183</v>
      </c>
      <c r="AZ178" s="155" cm="1">
        <f t="array" ref="AZ178">_xlfn.IFS($AQ178=$AP$1,$AQ$1*AM178,$AQ178=$AP$2,$AQ$2*AM178,$AQ178=$AP$3,$AQ$3*AM178,$AQ178=$AP$4,$AQ$4*AM178)</f>
        <v>2520.2699647282147</v>
      </c>
      <c r="BA178" s="155" cm="1">
        <f t="array" ref="BA178">_xlfn.IFS($AQ178=$AP$1,$AQ$1*AN178,$AQ178=$AP$2,$AQ$2*AN178,$AQ178=$AP$3,$AQ$3*AN178,$AQ178=$AP$4,$AQ$4*AN178)</f>
        <v>2573.1956339875069</v>
      </c>
      <c r="BB178" s="155">
        <f>Table2[[#This Row],[FINAL Project System Capacity (MW)]]</f>
        <v>38.72</v>
      </c>
      <c r="BC178" s="155" t="str">
        <f>Table2[[#This Row],[FN Parent  '#]]</f>
        <v>FN011103</v>
      </c>
      <c r="BD178" s="155">
        <f t="shared" si="66"/>
        <v>38.72</v>
      </c>
      <c r="BE178" s="155">
        <f t="shared" si="78"/>
        <v>38.72</v>
      </c>
      <c r="BF178" s="155">
        <f t="shared" si="67"/>
        <v>3.4654504074740751</v>
      </c>
      <c r="BG178" s="155">
        <f t="shared" si="68"/>
        <v>4.2088541150704444</v>
      </c>
      <c r="BH178" s="155">
        <f t="shared" si="69"/>
        <v>18.141182829333275</v>
      </c>
      <c r="BI178" s="155">
        <f t="shared" si="70"/>
        <v>26.126708836226388</v>
      </c>
      <c r="BJ178" s="155">
        <f t="shared" si="71"/>
        <v>47.168566824905476</v>
      </c>
      <c r="BK178" s="155">
        <f t="shared" si="72"/>
        <v>61.155354622526282</v>
      </c>
      <c r="BL178" s="155">
        <f t="shared" si="73"/>
        <v>62.439617069599329</v>
      </c>
      <c r="BM178" s="155">
        <f t="shared" si="74"/>
        <v>63.750849028060905</v>
      </c>
      <c r="BN178" s="155">
        <f t="shared" si="75"/>
        <v>65.089616857650171</v>
      </c>
      <c r="BO178" s="155">
        <f t="shared" si="76"/>
        <v>66.456498811660822</v>
      </c>
      <c r="BP178" s="155">
        <f t="shared" si="77"/>
        <v>37.273922184141348</v>
      </c>
    </row>
    <row r="179" spans="1:68">
      <c r="A179" s="155" t="s">
        <v>305</v>
      </c>
      <c r="B179" s="155" t="s">
        <v>1160</v>
      </c>
      <c r="C179" s="155" t="s">
        <v>207</v>
      </c>
      <c r="D179" s="155">
        <v>38.72</v>
      </c>
      <c r="E179" s="189">
        <v>720.57856000000015</v>
      </c>
      <c r="F179" s="67">
        <v>656.02052000000003</v>
      </c>
      <c r="G179" s="67">
        <v>2218.30656</v>
      </c>
      <c r="H179" s="67">
        <v>2505</v>
      </c>
      <c r="I179" s="67">
        <v>3669.2449999999999</v>
      </c>
      <c r="J179" s="67">
        <v>3516.2460000000001</v>
      </c>
      <c r="K179" s="67">
        <v>545</v>
      </c>
      <c r="L179" s="67">
        <v>2218</v>
      </c>
      <c r="M179" s="67">
        <v>0</v>
      </c>
      <c r="N179" s="67">
        <v>0</v>
      </c>
      <c r="O179" s="67">
        <v>0</v>
      </c>
      <c r="Q179" s="202" t="s">
        <v>305</v>
      </c>
      <c r="R179" s="202" t="s">
        <v>1160</v>
      </c>
      <c r="S179" s="202" t="s">
        <v>207</v>
      </c>
      <c r="T179" s="76">
        <f>SUM($E179:F180)</f>
        <v>1502.6322400000001</v>
      </c>
      <c r="U179" s="76">
        <f>SUM($E179:G180)</f>
        <v>3725.9387999999999</v>
      </c>
      <c r="V179" s="76">
        <f>SUM($E179:H180)</f>
        <v>6235.9387999999999</v>
      </c>
      <c r="W179" s="76">
        <f>SUM($E179:I180)</f>
        <v>9910.1838000000007</v>
      </c>
      <c r="X179" s="76">
        <f>SUM($E179:J180)</f>
        <v>13539.585800000001</v>
      </c>
      <c r="Y179" s="76">
        <f>SUM($E179:K180)</f>
        <v>14197.741800000002</v>
      </c>
      <c r="Z179" s="76">
        <f>SUM($E179:L180)</f>
        <v>16420.7418</v>
      </c>
      <c r="AA179" s="76">
        <f>SUM($E179:M180)</f>
        <v>16420.7418</v>
      </c>
      <c r="AB179" s="76">
        <f>SUM($E179:N180)</f>
        <v>16420.7418</v>
      </c>
      <c r="AC179" s="76">
        <f>SUM($E179:O180)</f>
        <v>16420.7418</v>
      </c>
      <c r="AE179" s="76">
        <f t="shared" si="56"/>
        <v>1502.6322400000001</v>
      </c>
      <c r="AF179" s="76">
        <f t="shared" si="57"/>
        <v>3804.1835147999996</v>
      </c>
      <c r="AG179" s="76">
        <f t="shared" si="58"/>
        <v>6500.5982786107979</v>
      </c>
      <c r="AH179" s="76">
        <f t="shared" si="59"/>
        <v>10547.72833077957</v>
      </c>
      <c r="AI179" s="76">
        <f t="shared" si="60"/>
        <v>14713.240944835356</v>
      </c>
      <c r="AJ179" s="76">
        <f t="shared" si="61"/>
        <v>15752.445447146216</v>
      </c>
      <c r="AK179" s="76">
        <f t="shared" si="62"/>
        <v>18601.468230229624</v>
      </c>
      <c r="AL179" s="76">
        <f t="shared" si="63"/>
        <v>18992.099063064445</v>
      </c>
      <c r="AM179" s="76">
        <f t="shared" si="64"/>
        <v>19390.933143388793</v>
      </c>
      <c r="AN179" s="76">
        <f t="shared" si="65"/>
        <v>19798.142739399955</v>
      </c>
      <c r="AP179" s="202" t="s">
        <v>305</v>
      </c>
      <c r="AQ179" s="202" t="s">
        <v>207</v>
      </c>
      <c r="AR179" s="155" cm="1">
        <f t="array" ref="AR179">_xlfn.IFS($AQ179=$AP$1,$AQ$1*AE179,$AQ179=$AP$2,$AQ$2*AE179,$AQ179=$AP$3,$AQ$3*AE179,$AQ179=$AP$4,$AQ$4*AE179)</f>
        <v>121.10026952594842</v>
      </c>
      <c r="AS179" s="155" cm="1">
        <f t="array" ref="AS179">_xlfn.IFS($AQ179=$AP$1,$AQ$1*AF179,$AQ179=$AP$2,$AQ$2*AF179,$AQ179=$AP$3,$AQ$3*AF179,$AQ179=$AP$4,$AQ$4*AF179)</f>
        <v>306.58709210741392</v>
      </c>
      <c r="AT179" s="155" cm="1">
        <f t="array" ref="AT179">_xlfn.IFS($AQ179=$AP$1,$AQ$1*AG179,$AQ179=$AP$2,$AQ$2*AG179,$AQ179=$AP$3,$AQ$3*AG179,$AQ179=$AP$4,$AQ$4*AG179)</f>
        <v>523.89678769283159</v>
      </c>
      <c r="AU179" s="155" cm="1">
        <f t="array" ref="AU179">_xlfn.IFS($AQ179=$AP$1,$AQ$1*AH179,$AQ179=$AP$2,$AQ$2*AH179,$AQ179=$AP$3,$AQ$3*AH179,$AQ179=$AP$4,$AQ$4*AH179)</f>
        <v>850.06344848815957</v>
      </c>
      <c r="AV179" s="155" cm="1">
        <f t="array" ref="AV179">_xlfn.IFS($AQ179=$AP$1,$AQ$1*AI179,$AQ179=$AP$2,$AQ$2*AI179,$AQ179=$AP$3,$AQ$3*AI179,$AQ179=$AP$4,$AQ$4*AI179)</f>
        <v>1185.7708071136431</v>
      </c>
      <c r="AW179" s="155" cm="1">
        <f t="array" ref="AW179">_xlfn.IFS($AQ179=$AP$1,$AQ$1*AJ179,$AQ179=$AP$2,$AQ$2*AJ179,$AQ179=$AP$3,$AQ$3*AJ179,$AQ179=$AP$4,$AQ$4*AJ179)</f>
        <v>1269.5224676812509</v>
      </c>
      <c r="AX179" s="155" cm="1">
        <f t="array" ref="AX179">_xlfn.IFS($AQ179=$AP$1,$AQ$1*AK179,$AQ179=$AP$2,$AQ$2*AK179,$AQ179=$AP$3,$AQ$3*AK179,$AQ179=$AP$4,$AQ$4*AK179)</f>
        <v>1499.1311621659163</v>
      </c>
      <c r="AY179" s="155" cm="1">
        <f t="array" ref="AY179">_xlfn.IFS($AQ179=$AP$1,$AQ$1*AL179,$AQ179=$AP$2,$AQ$2*AL179,$AQ179=$AP$3,$AQ$3*AL179,$AQ179=$AP$4,$AQ$4*AL179)</f>
        <v>1530.6129165714003</v>
      </c>
      <c r="AZ179" s="155" cm="1">
        <f t="array" ref="AZ179">_xlfn.IFS($AQ179=$AP$1,$AQ$1*AM179,$AQ179=$AP$2,$AQ$2*AM179,$AQ179=$AP$3,$AQ$3*AM179,$AQ179=$AP$4,$AQ$4*AM179)</f>
        <v>1562.7557878193995</v>
      </c>
      <c r="BA179" s="155" cm="1">
        <f t="array" ref="BA179">_xlfn.IFS($AQ179=$AP$1,$AQ$1*AN179,$AQ179=$AP$2,$AQ$2*AN179,$AQ179=$AP$3,$AQ$3*AN179,$AQ179=$AP$4,$AQ$4*AN179)</f>
        <v>1595.5736593636066</v>
      </c>
      <c r="BB179" s="155">
        <f>Table2[[#This Row],[FINAL Project System Capacity (MW)]]</f>
        <v>38.72</v>
      </c>
      <c r="BC179" s="155" t="str">
        <f>Table2[[#This Row],[FN Parent  '#]]</f>
        <v>FN011103</v>
      </c>
      <c r="BD179" s="155">
        <f t="shared" si="66"/>
        <v>38.72</v>
      </c>
      <c r="BF179" s="155">
        <f t="shared" si="67"/>
        <v>3.1275896055255274</v>
      </c>
      <c r="BG179" s="155">
        <f t="shared" si="68"/>
        <v>7.9180550647575911</v>
      </c>
      <c r="BH179" s="155">
        <f t="shared" si="69"/>
        <v>13.530392244133047</v>
      </c>
      <c r="BI179" s="155">
        <f t="shared" si="70"/>
        <v>21.95411798781404</v>
      </c>
      <c r="BJ179" s="155">
        <f t="shared" si="71"/>
        <v>30.624246051488715</v>
      </c>
      <c r="BK179" s="155">
        <f t="shared" si="72"/>
        <v>32.787253814081893</v>
      </c>
      <c r="BL179" s="155">
        <f t="shared" si="73"/>
        <v>38.71723042783875</v>
      </c>
      <c r="BM179" s="155">
        <f t="shared" si="74"/>
        <v>39.530292266823359</v>
      </c>
      <c r="BN179" s="155">
        <f t="shared" si="75"/>
        <v>40.360428404426642</v>
      </c>
      <c r="BO179" s="155">
        <f t="shared" si="76"/>
        <v>41.207997400919595</v>
      </c>
      <c r="BP179" s="155">
        <f t="shared" si="77"/>
        <v>24.440803823065156</v>
      </c>
    </row>
    <row r="180" spans="1:68">
      <c r="A180" s="155" t="s">
        <v>305</v>
      </c>
      <c r="B180" s="155" t="s">
        <v>1160</v>
      </c>
      <c r="C180" s="155" t="s">
        <v>207</v>
      </c>
      <c r="D180" s="155">
        <v>38.72</v>
      </c>
      <c r="E180" s="189">
        <v>121.03316</v>
      </c>
      <c r="F180" s="67">
        <v>5</v>
      </c>
      <c r="G180" s="67">
        <v>5</v>
      </c>
      <c r="H180" s="67">
        <v>5</v>
      </c>
      <c r="I180" s="67">
        <v>5</v>
      </c>
      <c r="J180" s="67">
        <v>113.15600000000001</v>
      </c>
      <c r="K180" s="67">
        <v>113.15600000000001</v>
      </c>
      <c r="L180" s="67">
        <v>5</v>
      </c>
      <c r="M180" s="67">
        <v>0</v>
      </c>
      <c r="N180" s="67">
        <v>0</v>
      </c>
      <c r="O180" s="67">
        <v>0</v>
      </c>
      <c r="Q180" s="201" t="s">
        <v>305</v>
      </c>
      <c r="R180" s="201" t="s">
        <v>1160</v>
      </c>
      <c r="S180" s="201" t="s">
        <v>207</v>
      </c>
      <c r="U180" s="155"/>
      <c r="V180" s="155"/>
      <c r="W180" s="155"/>
      <c r="X180" s="155"/>
      <c r="Y180" s="155"/>
      <c r="Z180" s="155"/>
      <c r="AA180" s="155"/>
      <c r="AB180" s="155"/>
      <c r="AC180" s="155"/>
      <c r="AE180" s="76">
        <f t="shared" si="56"/>
        <v>0</v>
      </c>
      <c r="AF180" s="76">
        <f t="shared" si="57"/>
        <v>0</v>
      </c>
      <c r="AG180" s="76">
        <f t="shared" si="58"/>
        <v>0</v>
      </c>
      <c r="AH180" s="76">
        <f t="shared" si="59"/>
        <v>0</v>
      </c>
      <c r="AI180" s="76">
        <f t="shared" si="60"/>
        <v>0</v>
      </c>
      <c r="AJ180" s="76">
        <f t="shared" si="61"/>
        <v>0</v>
      </c>
      <c r="AK180" s="76">
        <f t="shared" si="62"/>
        <v>0</v>
      </c>
      <c r="AL180" s="76">
        <f t="shared" si="63"/>
        <v>0</v>
      </c>
      <c r="AM180" s="76">
        <f t="shared" si="64"/>
        <v>0</v>
      </c>
      <c r="AN180" s="76">
        <f t="shared" si="65"/>
        <v>0</v>
      </c>
      <c r="AP180" s="201" t="s">
        <v>305</v>
      </c>
      <c r="AQ180" s="201" t="s">
        <v>207</v>
      </c>
      <c r="AR180" s="155" cm="1">
        <f t="array" ref="AR180">_xlfn.IFS($AQ180=$AP$1,$AQ$1*AE180,$AQ180=$AP$2,$AQ$2*AE180,$AQ180=$AP$3,$AQ$3*AE180,$AQ180=$AP$4,$AQ$4*AE180)</f>
        <v>0</v>
      </c>
      <c r="AS180" s="155" cm="1">
        <f t="array" ref="AS180">_xlfn.IFS($AQ180=$AP$1,$AQ$1*AF180,$AQ180=$AP$2,$AQ$2*AF180,$AQ180=$AP$3,$AQ$3*AF180,$AQ180=$AP$4,$AQ$4*AF180)</f>
        <v>0</v>
      </c>
      <c r="AT180" s="155" cm="1">
        <f t="array" ref="AT180">_xlfn.IFS($AQ180=$AP$1,$AQ$1*AG180,$AQ180=$AP$2,$AQ$2*AG180,$AQ180=$AP$3,$AQ$3*AG180,$AQ180=$AP$4,$AQ$4*AG180)</f>
        <v>0</v>
      </c>
      <c r="AU180" s="155" cm="1">
        <f t="array" ref="AU180">_xlfn.IFS($AQ180=$AP$1,$AQ$1*AH180,$AQ180=$AP$2,$AQ$2*AH180,$AQ180=$AP$3,$AQ$3*AH180,$AQ180=$AP$4,$AQ$4*AH180)</f>
        <v>0</v>
      </c>
      <c r="AV180" s="155" cm="1">
        <f t="array" ref="AV180">_xlfn.IFS($AQ180=$AP$1,$AQ$1*AI180,$AQ180=$AP$2,$AQ$2*AI180,$AQ180=$AP$3,$AQ$3*AI180,$AQ180=$AP$4,$AQ$4*AI180)</f>
        <v>0</v>
      </c>
      <c r="AW180" s="155" cm="1">
        <f t="array" ref="AW180">_xlfn.IFS($AQ180=$AP$1,$AQ$1*AJ180,$AQ180=$AP$2,$AQ$2*AJ180,$AQ180=$AP$3,$AQ$3*AJ180,$AQ180=$AP$4,$AQ$4*AJ180)</f>
        <v>0</v>
      </c>
      <c r="AX180" s="155" cm="1">
        <f t="array" ref="AX180">_xlfn.IFS($AQ180=$AP$1,$AQ$1*AK180,$AQ180=$AP$2,$AQ$2*AK180,$AQ180=$AP$3,$AQ$3*AK180,$AQ180=$AP$4,$AQ$4*AK180)</f>
        <v>0</v>
      </c>
      <c r="AY180" s="155" cm="1">
        <f t="array" ref="AY180">_xlfn.IFS($AQ180=$AP$1,$AQ$1*AL180,$AQ180=$AP$2,$AQ$2*AL180,$AQ180=$AP$3,$AQ$3*AL180,$AQ180=$AP$4,$AQ$4*AL180)</f>
        <v>0</v>
      </c>
      <c r="AZ180" s="155" cm="1">
        <f t="array" ref="AZ180">_xlfn.IFS($AQ180=$AP$1,$AQ$1*AM180,$AQ180=$AP$2,$AQ$2*AM180,$AQ180=$AP$3,$AQ$3*AM180,$AQ180=$AP$4,$AQ$4*AM180)</f>
        <v>0</v>
      </c>
      <c r="BA180" s="155" cm="1">
        <f t="array" ref="BA180">_xlfn.IFS($AQ180=$AP$1,$AQ$1*AN180,$AQ180=$AP$2,$AQ$2*AN180,$AQ180=$AP$3,$AQ$3*AN180,$AQ180=$AP$4,$AQ$4*AN180)</f>
        <v>0</v>
      </c>
      <c r="BB180" s="155"/>
      <c r="BC180" s="155" t="str">
        <f>Table2[[#This Row],[FN Parent  '#]]</f>
        <v>FN011103</v>
      </c>
      <c r="BD180" s="155">
        <f t="shared" si="66"/>
        <v>0</v>
      </c>
      <c r="BF180" s="155" t="str">
        <f t="shared" si="67"/>
        <v/>
      </c>
      <c r="BG180" s="155" t="str">
        <f t="shared" si="68"/>
        <v/>
      </c>
      <c r="BH180" s="155" t="str">
        <f t="shared" si="69"/>
        <v/>
      </c>
      <c r="BI180" s="155" t="str">
        <f t="shared" si="70"/>
        <v/>
      </c>
      <c r="BJ180" s="155" t="str">
        <f t="shared" si="71"/>
        <v/>
      </c>
      <c r="BK180" s="155" t="str">
        <f t="shared" si="72"/>
        <v/>
      </c>
      <c r="BL180" s="155" t="str">
        <f t="shared" si="73"/>
        <v/>
      </c>
      <c r="BM180" s="155" t="str">
        <f t="shared" si="74"/>
        <v/>
      </c>
      <c r="BN180" s="155" t="str">
        <f t="shared" si="75"/>
        <v/>
      </c>
      <c r="BO180" s="155" t="str">
        <f t="shared" si="76"/>
        <v/>
      </c>
      <c r="BP180" s="155">
        <f t="shared" si="77"/>
        <v>0</v>
      </c>
    </row>
    <row r="181" spans="1:68">
      <c r="A181" s="155" t="s">
        <v>305</v>
      </c>
      <c r="B181" s="155" t="s">
        <v>1160</v>
      </c>
      <c r="C181" s="155" t="s">
        <v>205</v>
      </c>
      <c r="D181" s="155">
        <v>38.72</v>
      </c>
      <c r="E181" s="189">
        <v>896.08507999999995</v>
      </c>
      <c r="F181" s="67">
        <v>457.85820000000001</v>
      </c>
      <c r="G181" s="67">
        <v>1794</v>
      </c>
      <c r="H181" s="67">
        <v>1428.8320799999999</v>
      </c>
      <c r="I181" s="67">
        <v>969</v>
      </c>
      <c r="J181" s="67">
        <v>0</v>
      </c>
      <c r="K181" s="67">
        <v>0</v>
      </c>
      <c r="L181" s="67">
        <v>0</v>
      </c>
      <c r="M181" s="67">
        <v>0</v>
      </c>
      <c r="N181" s="67">
        <v>0</v>
      </c>
      <c r="O181" s="67">
        <v>0</v>
      </c>
      <c r="Q181" s="202" t="s">
        <v>305</v>
      </c>
      <c r="R181" s="202" t="s">
        <v>1160</v>
      </c>
      <c r="S181" s="202" t="s">
        <v>205</v>
      </c>
      <c r="T181" s="76">
        <f>SUM($E181:F181)</f>
        <v>1353.94328</v>
      </c>
      <c r="U181" s="76">
        <f>SUM($E181:G181)</f>
        <v>3147.94328</v>
      </c>
      <c r="V181" s="76">
        <f>SUM($E181:H181)</f>
        <v>4576.7753599999996</v>
      </c>
      <c r="W181" s="76">
        <f>SUM($E181:I181)</f>
        <v>5545.7753599999996</v>
      </c>
      <c r="X181" s="76">
        <f>SUM($E181:J181)</f>
        <v>5545.7753599999996</v>
      </c>
      <c r="Y181" s="76">
        <f>SUM($E181:K181)</f>
        <v>5545.7753599999996</v>
      </c>
      <c r="Z181" s="76">
        <f>SUM($E181:L181)</f>
        <v>5545.7753599999996</v>
      </c>
      <c r="AA181" s="76">
        <f>SUM($E181:M181)</f>
        <v>5545.7753599999996</v>
      </c>
      <c r="AB181" s="76">
        <f>SUM($E181:N181)</f>
        <v>5545.7753599999996</v>
      </c>
      <c r="AC181" s="76">
        <f>SUM($E181:O181)</f>
        <v>5545.7753599999996</v>
      </c>
      <c r="AE181" s="76">
        <f t="shared" si="56"/>
        <v>1353.94328</v>
      </c>
      <c r="AF181" s="76">
        <f t="shared" si="57"/>
        <v>3214.0500888799997</v>
      </c>
      <c r="AG181" s="76">
        <f t="shared" si="58"/>
        <v>4771.0182830537588</v>
      </c>
      <c r="AH181" s="76">
        <f t="shared" si="59"/>
        <v>5902.5476279068871</v>
      </c>
      <c r="AI181" s="76">
        <f t="shared" si="60"/>
        <v>6026.5011280929302</v>
      </c>
      <c r="AJ181" s="76">
        <f t="shared" si="61"/>
        <v>6153.0576517828813</v>
      </c>
      <c r="AK181" s="76">
        <f t="shared" si="62"/>
        <v>6282.2718624703211</v>
      </c>
      <c r="AL181" s="76">
        <f t="shared" si="63"/>
        <v>6414.1995715821968</v>
      </c>
      <c r="AM181" s="76">
        <f t="shared" si="64"/>
        <v>6548.8977625854222</v>
      </c>
      <c r="AN181" s="76">
        <f t="shared" si="65"/>
        <v>6686.4246155997143</v>
      </c>
      <c r="AP181" s="202" t="s">
        <v>305</v>
      </c>
      <c r="AQ181" s="202" t="s">
        <v>205</v>
      </c>
      <c r="AR181" s="155" cm="1">
        <f t="array" ref="AR181">_xlfn.IFS($AQ181=$AP$1,$AQ$1*AE181,$AQ181=$AP$2,$AQ$2*AE181,$AQ181=$AP$3,$AQ$3*AE181,$AQ181=$AP$4,$AQ$4*AE181)</f>
        <v>111.09573761245748</v>
      </c>
      <c r="AS181" s="155" cm="1">
        <f t="array" ref="AS181">_xlfn.IFS($AQ181=$AP$1,$AQ$1*AF181,$AQ181=$AP$2,$AQ$2*AF181,$AQ181=$AP$3,$AQ$3*AF181,$AQ181=$AP$4,$AQ$4*AF181)</f>
        <v>263.72394665418193</v>
      </c>
      <c r="AT181" s="155" cm="1">
        <f t="array" ref="AT181">_xlfn.IFS($AQ181=$AP$1,$AQ$1*AG181,$AQ181=$AP$2,$AQ$2*AG181,$AQ181=$AP$3,$AQ$3*AG181,$AQ181=$AP$4,$AQ$4*AG181)</f>
        <v>391.47858196716913</v>
      </c>
      <c r="AU181" s="155" cm="1">
        <f t="array" ref="AU181">_xlfn.IFS($AQ181=$AP$1,$AQ$1*AH181,$AQ181=$AP$2,$AQ$2*AH181,$AQ181=$AP$3,$AQ$3*AH181,$AQ181=$AP$4,$AQ$4*AH181)</f>
        <v>484.32448552422147</v>
      </c>
      <c r="AV181" s="155" cm="1">
        <f t="array" ref="AV181">_xlfn.IFS($AQ181=$AP$1,$AQ$1*AI181,$AQ181=$AP$2,$AQ$2*AI181,$AQ181=$AP$3,$AQ$3*AI181,$AQ181=$AP$4,$AQ$4*AI181)</f>
        <v>494.49529972022998</v>
      </c>
      <c r="AW181" s="155" cm="1">
        <f t="array" ref="AW181">_xlfn.IFS($AQ181=$AP$1,$AQ$1*AJ181,$AQ181=$AP$2,$AQ$2*AJ181,$AQ181=$AP$3,$AQ$3*AJ181,$AQ181=$AP$4,$AQ$4*AJ181)</f>
        <v>504.87970101435479</v>
      </c>
      <c r="AX181" s="155" cm="1">
        <f t="array" ref="AX181">_xlfn.IFS($AQ181=$AP$1,$AQ$1*AK181,$AQ181=$AP$2,$AQ$2*AK181,$AQ181=$AP$3,$AQ$3*AK181,$AQ181=$AP$4,$AQ$4*AK181)</f>
        <v>515.48217473565614</v>
      </c>
      <c r="AY181" s="155" cm="1">
        <f t="array" ref="AY181">_xlfn.IFS($AQ181=$AP$1,$AQ$1*AL181,$AQ181=$AP$2,$AQ$2*AL181,$AQ181=$AP$3,$AQ$3*AL181,$AQ181=$AP$4,$AQ$4*AL181)</f>
        <v>526.30730040510491</v>
      </c>
      <c r="AZ181" s="155" cm="1">
        <f t="array" ref="AZ181">_xlfn.IFS($AQ181=$AP$1,$AQ$1*AM181,$AQ181=$AP$2,$AQ$2*AM181,$AQ181=$AP$3,$AQ$3*AM181,$AQ181=$AP$4,$AQ$4*AM181)</f>
        <v>537.35975371361201</v>
      </c>
      <c r="BA181" s="155" cm="1">
        <f t="array" ref="BA181">_xlfn.IFS($AQ181=$AP$1,$AQ$1*AN181,$AQ181=$AP$2,$AQ$2*AN181,$AQ181=$AP$3,$AQ$3*AN181,$AQ181=$AP$4,$AQ$4*AN181)</f>
        <v>548.64430854159775</v>
      </c>
      <c r="BB181" s="155">
        <f>Table2[[#This Row],[FINAL Project System Capacity (MW)]]</f>
        <v>38.72</v>
      </c>
      <c r="BC181" s="155" t="str">
        <f>Table2[[#This Row],[FN Parent  '#]]</f>
        <v>FN011103</v>
      </c>
      <c r="BD181" s="155">
        <f t="shared" si="66"/>
        <v>38.72</v>
      </c>
      <c r="BF181" s="155">
        <f t="shared" si="67"/>
        <v>2.8692080994952862</v>
      </c>
      <c r="BG181" s="155">
        <f t="shared" si="68"/>
        <v>6.8110523412753601</v>
      </c>
      <c r="BH181" s="155">
        <f t="shared" si="69"/>
        <v>10.110500567333913</v>
      </c>
      <c r="BI181" s="155">
        <f t="shared" si="70"/>
        <v>12.508380307960266</v>
      </c>
      <c r="BJ181" s="155">
        <f t="shared" si="71"/>
        <v>12.771056294427428</v>
      </c>
      <c r="BK181" s="155">
        <f t="shared" si="72"/>
        <v>13.039248476610403</v>
      </c>
      <c r="BL181" s="155">
        <f t="shared" si="73"/>
        <v>13.313072694619219</v>
      </c>
      <c r="BM181" s="155">
        <f t="shared" si="74"/>
        <v>13.592647221206223</v>
      </c>
      <c r="BN181" s="155">
        <f t="shared" si="75"/>
        <v>13.87809281285155</v>
      </c>
      <c r="BO181" s="155">
        <f t="shared" si="76"/>
        <v>14.169532761921429</v>
      </c>
      <c r="BP181" s="155">
        <f t="shared" si="77"/>
        <v>10.714282147396132</v>
      </c>
    </row>
    <row r="182" spans="1:68">
      <c r="A182" s="155" t="s">
        <v>306</v>
      </c>
      <c r="B182" s="155" t="s">
        <v>1345</v>
      </c>
      <c r="C182" s="155" t="s">
        <v>208</v>
      </c>
      <c r="D182" s="155">
        <v>5.6</v>
      </c>
      <c r="E182" s="189">
        <v>5713.7430399999994</v>
      </c>
      <c r="F182" s="67">
        <v>664.99995999999999</v>
      </c>
      <c r="G182" s="67">
        <v>0</v>
      </c>
      <c r="H182" s="67">
        <v>0</v>
      </c>
      <c r="I182" s="67">
        <v>0</v>
      </c>
      <c r="J182" s="67">
        <v>0</v>
      </c>
      <c r="K182" s="67">
        <v>0</v>
      </c>
      <c r="L182" s="67">
        <v>0</v>
      </c>
      <c r="M182" s="67">
        <v>0</v>
      </c>
      <c r="N182" s="67">
        <v>0</v>
      </c>
      <c r="O182" s="67">
        <v>0</v>
      </c>
      <c r="Q182" s="201" t="s">
        <v>306</v>
      </c>
      <c r="R182" s="201" t="s">
        <v>1345</v>
      </c>
      <c r="S182" s="201" t="s">
        <v>208</v>
      </c>
      <c r="T182" s="76">
        <f>SUM($E182:F182)</f>
        <v>6378.7429999999995</v>
      </c>
      <c r="U182" s="76">
        <f>SUM($E182:G182)</f>
        <v>6378.7429999999995</v>
      </c>
      <c r="V182" s="76">
        <f>SUM($E182:H182)</f>
        <v>6378.7429999999995</v>
      </c>
      <c r="W182" s="76">
        <f>SUM($E182:I182)</f>
        <v>6378.7429999999995</v>
      </c>
      <c r="X182" s="76">
        <f>SUM($E182:J182)</f>
        <v>6378.7429999999995</v>
      </c>
      <c r="Y182" s="76">
        <f>SUM($E182:K182)</f>
        <v>6378.7429999999995</v>
      </c>
      <c r="Z182" s="76">
        <f>SUM($E182:L182)</f>
        <v>6378.7429999999995</v>
      </c>
      <c r="AA182" s="76">
        <f>SUM($E182:M182)</f>
        <v>6378.7429999999995</v>
      </c>
      <c r="AB182" s="76">
        <f>SUM($E182:N182)</f>
        <v>6378.7429999999995</v>
      </c>
      <c r="AC182" s="76">
        <f>SUM($E182:O182)</f>
        <v>6378.7429999999995</v>
      </c>
      <c r="AE182" s="76">
        <f t="shared" si="56"/>
        <v>6378.7429999999995</v>
      </c>
      <c r="AF182" s="76">
        <f t="shared" si="57"/>
        <v>6512.6966029999985</v>
      </c>
      <c r="AG182" s="76">
        <f t="shared" si="58"/>
        <v>6649.4632316629977</v>
      </c>
      <c r="AH182" s="76">
        <f t="shared" si="59"/>
        <v>6789.1019595279204</v>
      </c>
      <c r="AI182" s="76">
        <f t="shared" si="60"/>
        <v>6931.6731006780055</v>
      </c>
      <c r="AJ182" s="76">
        <f t="shared" si="61"/>
        <v>7077.2382357922424</v>
      </c>
      <c r="AK182" s="76">
        <f t="shared" si="62"/>
        <v>7225.8602387438796</v>
      </c>
      <c r="AL182" s="76">
        <f t="shared" si="63"/>
        <v>7377.6033037574998</v>
      </c>
      <c r="AM182" s="76">
        <f t="shared" si="64"/>
        <v>7532.5329731364063</v>
      </c>
      <c r="AN182" s="76">
        <f t="shared" si="65"/>
        <v>7690.7161655722693</v>
      </c>
      <c r="AP182" s="201" t="s">
        <v>306</v>
      </c>
      <c r="AQ182" s="201" t="s">
        <v>208</v>
      </c>
      <c r="AR182" s="155" cm="1">
        <f t="array" ref="AR182">_xlfn.IFS($AQ182=$AP$1,$AQ$1*AE182,$AQ182=$AP$2,$AQ$2*AE182,$AQ182=$AP$3,$AQ$3*AE182,$AQ182=$AP$4,$AQ$4*AE182)</f>
        <v>901.26954746162812</v>
      </c>
      <c r="AS182" s="155" cm="1">
        <f t="array" ref="AS182">_xlfn.IFS($AQ182=$AP$1,$AQ$1*AF182,$AQ182=$AP$2,$AQ$2*AF182,$AQ182=$AP$3,$AQ$3*AF182,$AQ182=$AP$4,$AQ$4*AF182)</f>
        <v>920.19620795832213</v>
      </c>
      <c r="AT182" s="155" cm="1">
        <f t="array" ref="AT182">_xlfn.IFS($AQ182=$AP$1,$AQ$1*AG182,$AQ182=$AP$2,$AQ$2*AG182,$AQ182=$AP$3,$AQ$3*AG182,$AQ182=$AP$4,$AQ$4*AG182)</f>
        <v>939.52032832544683</v>
      </c>
      <c r="AU182" s="155" cm="1">
        <f t="array" ref="AU182">_xlfn.IFS($AQ182=$AP$1,$AQ$1*AH182,$AQ182=$AP$2,$AQ$2*AH182,$AQ182=$AP$3,$AQ$3*AH182,$AQ182=$AP$4,$AQ$4*AH182)</f>
        <v>959.25025522028113</v>
      </c>
      <c r="AV182" s="155" cm="1">
        <f t="array" ref="AV182">_xlfn.IFS($AQ182=$AP$1,$AQ$1*AI182,$AQ182=$AP$2,$AQ$2*AI182,$AQ182=$AP$3,$AQ$3*AI182,$AQ182=$AP$4,$AQ$4*AI182)</f>
        <v>979.39451057990686</v>
      </c>
      <c r="AW182" s="155" cm="1">
        <f t="array" ref="AW182">_xlfn.IFS($AQ182=$AP$1,$AQ$1*AJ182,$AQ182=$AP$2,$AQ$2*AJ182,$AQ182=$AP$3,$AQ$3*AJ182,$AQ182=$AP$4,$AQ$4*AJ182)</f>
        <v>999.96179530208474</v>
      </c>
      <c r="AX182" s="155" cm="1">
        <f t="array" ref="AX182">_xlfn.IFS($AQ182=$AP$1,$AQ$1*AK182,$AQ182=$AP$2,$AQ$2*AK182,$AQ182=$AP$3,$AQ$3*AK182,$AQ182=$AP$4,$AQ$4*AK182)</f>
        <v>1020.9609930034286</v>
      </c>
      <c r="AY182" s="155" cm="1">
        <f t="array" ref="AY182">_xlfn.IFS($AQ182=$AP$1,$AQ$1*AL182,$AQ182=$AP$2,$AQ$2*AL182,$AQ182=$AP$3,$AQ$3*AL182,$AQ182=$AP$4,$AQ$4*AL182)</f>
        <v>1042.4011738565005</v>
      </c>
      <c r="AZ182" s="155" cm="1">
        <f t="array" ref="AZ182">_xlfn.IFS($AQ182=$AP$1,$AQ$1*AM182,$AQ182=$AP$2,$AQ$2*AM182,$AQ182=$AP$3,$AQ$3*AM182,$AQ182=$AP$4,$AQ$4*AM182)</f>
        <v>1064.2915985074867</v>
      </c>
      <c r="BA182" s="155" cm="1">
        <f t="array" ref="BA182">_xlfn.IFS($AQ182=$AP$1,$AQ$1*AN182,$AQ182=$AP$2,$AQ$2*AN182,$AQ182=$AP$3,$AQ$3*AN182,$AQ182=$AP$4,$AQ$4*AN182)</f>
        <v>1086.6417220761439</v>
      </c>
      <c r="BB182" s="155">
        <f>Table2[[#This Row],[FINAL Project System Capacity (MW)]]</f>
        <v>5.6</v>
      </c>
      <c r="BC182" s="155" t="str">
        <f>Table2[[#This Row],[FN Parent  '#]]</f>
        <v>Individual Project</v>
      </c>
      <c r="BD182" s="155">
        <f t="shared" si="66"/>
        <v>5.6</v>
      </c>
      <c r="BE182" s="155">
        <f t="shared" si="78"/>
        <v>5.6</v>
      </c>
      <c r="BF182" s="155">
        <f t="shared" si="67"/>
        <v>160.94099061814788</v>
      </c>
      <c r="BG182" s="155">
        <f t="shared" si="68"/>
        <v>164.32075142112896</v>
      </c>
      <c r="BH182" s="155">
        <f t="shared" si="69"/>
        <v>167.77148720097267</v>
      </c>
      <c r="BI182" s="155">
        <f t="shared" si="70"/>
        <v>171.29468843219308</v>
      </c>
      <c r="BJ182" s="155">
        <f t="shared" si="71"/>
        <v>174.8918768892691</v>
      </c>
      <c r="BK182" s="155">
        <f t="shared" si="72"/>
        <v>178.56460630394372</v>
      </c>
      <c r="BL182" s="155">
        <f t="shared" si="73"/>
        <v>182.31446303632654</v>
      </c>
      <c r="BM182" s="155">
        <f t="shared" si="74"/>
        <v>186.14306676008937</v>
      </c>
      <c r="BN182" s="155">
        <f t="shared" si="75"/>
        <v>190.05207116205122</v>
      </c>
      <c r="BO182" s="155">
        <f t="shared" si="76"/>
        <v>194.04316465645428</v>
      </c>
      <c r="BP182" s="155">
        <f t="shared" si="77"/>
        <v>175.03762539612285</v>
      </c>
    </row>
    <row r="183" spans="1:68">
      <c r="A183" s="155" t="s">
        <v>308</v>
      </c>
      <c r="B183" s="155" t="s">
        <v>1200</v>
      </c>
      <c r="C183" s="155" t="s">
        <v>208</v>
      </c>
      <c r="D183" s="155">
        <v>5</v>
      </c>
      <c r="E183" s="189">
        <v>0</v>
      </c>
      <c r="F183" s="67">
        <v>0</v>
      </c>
      <c r="G183" s="67">
        <v>0</v>
      </c>
      <c r="H183" s="67">
        <v>0</v>
      </c>
      <c r="I183" s="67">
        <v>0</v>
      </c>
      <c r="J183" s="67">
        <v>0</v>
      </c>
      <c r="K183" s="67">
        <v>0</v>
      </c>
      <c r="L183" s="67">
        <v>0</v>
      </c>
      <c r="M183" s="67">
        <v>1485</v>
      </c>
      <c r="N183" s="67">
        <v>1890.9</v>
      </c>
      <c r="O183" s="67">
        <v>1217.7</v>
      </c>
      <c r="Q183" s="202" t="s">
        <v>308</v>
      </c>
      <c r="R183" s="202" t="s">
        <v>1200</v>
      </c>
      <c r="S183" s="202" t="s">
        <v>208</v>
      </c>
      <c r="T183" s="76">
        <f>SUM($E183:F184)</f>
        <v>0</v>
      </c>
      <c r="U183" s="76">
        <f>SUM($E183:G184)</f>
        <v>0</v>
      </c>
      <c r="V183" s="76">
        <f>SUM($E183:H184)</f>
        <v>0</v>
      </c>
      <c r="W183" s="76">
        <f>SUM($E183:I184)</f>
        <v>0</v>
      </c>
      <c r="X183" s="76">
        <f>SUM($E183:J184)</f>
        <v>0</v>
      </c>
      <c r="Y183" s="76">
        <f>SUM($E183:K184)</f>
        <v>0</v>
      </c>
      <c r="Z183" s="76">
        <f>SUM($E183:L184)</f>
        <v>1500</v>
      </c>
      <c r="AA183" s="76">
        <f>SUM($E183:M184)</f>
        <v>5625</v>
      </c>
      <c r="AB183" s="76">
        <f>SUM($E183:N184)</f>
        <v>8015.9</v>
      </c>
      <c r="AC183" s="76">
        <f>SUM($E183:O184)</f>
        <v>9233.6</v>
      </c>
      <c r="AE183" s="76">
        <f t="shared" si="56"/>
        <v>0</v>
      </c>
      <c r="AF183" s="76">
        <f t="shared" si="57"/>
        <v>0</v>
      </c>
      <c r="AG183" s="76">
        <f t="shared" si="58"/>
        <v>0</v>
      </c>
      <c r="AH183" s="76">
        <f t="shared" si="59"/>
        <v>0</v>
      </c>
      <c r="AI183" s="76">
        <f t="shared" si="60"/>
        <v>0</v>
      </c>
      <c r="AJ183" s="76">
        <f t="shared" si="61"/>
        <v>0</v>
      </c>
      <c r="AK183" s="76">
        <f t="shared" si="62"/>
        <v>1699.204742708057</v>
      </c>
      <c r="AL183" s="76">
        <f t="shared" si="63"/>
        <v>6505.8301586434727</v>
      </c>
      <c r="AM183" s="76">
        <f t="shared" si="64"/>
        <v>9465.8196856910708</v>
      </c>
      <c r="AN183" s="76">
        <f t="shared" si="65"/>
        <v>11132.757157080652</v>
      </c>
      <c r="AP183" s="202" t="s">
        <v>308</v>
      </c>
      <c r="AQ183" s="202" t="s">
        <v>208</v>
      </c>
      <c r="AR183" s="155" cm="1">
        <f t="array" ref="AR183">_xlfn.IFS($AQ183=$AP$1,$AQ$1*AE183,$AQ183=$AP$2,$AQ$2*AE183,$AQ183=$AP$3,$AQ$3*AE183,$AQ183=$AP$4,$AQ$4*AE183)</f>
        <v>0</v>
      </c>
      <c r="AS183" s="155" cm="1">
        <f t="array" ref="AS183">_xlfn.IFS($AQ183=$AP$1,$AQ$1*AF183,$AQ183=$AP$2,$AQ$2*AF183,$AQ183=$AP$3,$AQ$3*AF183,$AQ183=$AP$4,$AQ$4*AF183)</f>
        <v>0</v>
      </c>
      <c r="AT183" s="155" cm="1">
        <f t="array" ref="AT183">_xlfn.IFS($AQ183=$AP$1,$AQ$1*AG183,$AQ183=$AP$2,$AQ$2*AG183,$AQ183=$AP$3,$AQ$3*AG183,$AQ183=$AP$4,$AQ$4*AG183)</f>
        <v>0</v>
      </c>
      <c r="AU183" s="155" cm="1">
        <f t="array" ref="AU183">_xlfn.IFS($AQ183=$AP$1,$AQ$1*AH183,$AQ183=$AP$2,$AQ$2*AH183,$AQ183=$AP$3,$AQ$3*AH183,$AQ183=$AP$4,$AQ$4*AH183)</f>
        <v>0</v>
      </c>
      <c r="AV183" s="155" cm="1">
        <f t="array" ref="AV183">_xlfn.IFS($AQ183=$AP$1,$AQ$1*AI183,$AQ183=$AP$2,$AQ$2*AI183,$AQ183=$AP$3,$AQ$3*AI183,$AQ183=$AP$4,$AQ$4*AI183)</f>
        <v>0</v>
      </c>
      <c r="AW183" s="155" cm="1">
        <f t="array" ref="AW183">_xlfn.IFS($AQ183=$AP$1,$AQ$1*AJ183,$AQ183=$AP$2,$AQ$2*AJ183,$AQ183=$AP$3,$AQ$3*AJ183,$AQ183=$AP$4,$AQ$4*AJ183)</f>
        <v>0</v>
      </c>
      <c r="AX183" s="155" cm="1">
        <f t="array" ref="AX183">_xlfn.IFS($AQ183=$AP$1,$AQ$1*AK183,$AQ183=$AP$2,$AQ$2*AK183,$AQ183=$AP$3,$AQ$3*AK183,$AQ183=$AP$4,$AQ$4*AK183)</f>
        <v>240.08515306309454</v>
      </c>
      <c r="AY183" s="155" cm="1">
        <f t="array" ref="AY183">_xlfn.IFS($AQ183=$AP$1,$AQ$1*AL183,$AQ183=$AP$2,$AQ$2*AL183,$AQ183=$AP$3,$AQ$3*AL183,$AQ183=$AP$4,$AQ$4*AL183)</f>
        <v>919.2260297903232</v>
      </c>
      <c r="AZ183" s="155" cm="1">
        <f t="array" ref="AZ183">_xlfn.IFS($AQ183=$AP$1,$AQ$1*AM183,$AQ183=$AP$2,$AQ$2*AM183,$AQ183=$AP$3,$AQ$3*AM183,$AQ183=$AP$4,$AQ$4*AM183)</f>
        <v>1337.4508150706438</v>
      </c>
      <c r="BA183" s="155" cm="1">
        <f t="array" ref="BA183">_xlfn.IFS($AQ183=$AP$1,$AQ$1*AN183,$AQ183=$AP$2,$AQ$2*AN183,$AQ183=$AP$3,$AQ$3*AN183,$AQ183=$AP$4,$AQ$4*AN183)</f>
        <v>1572.9768396316142</v>
      </c>
      <c r="BB183" s="155">
        <f>Table2[[#This Row],[FINAL Project System Capacity (MW)]]</f>
        <v>5</v>
      </c>
      <c r="BC183" s="155" t="str">
        <f>Table2[[#This Row],[FN Parent  '#]]</f>
        <v>FN011560</v>
      </c>
      <c r="BD183" s="155">
        <f t="shared" si="66"/>
        <v>5</v>
      </c>
      <c r="BE183" s="155">
        <f t="shared" si="78"/>
        <v>5</v>
      </c>
      <c r="BF183" s="155">
        <f t="shared" si="67"/>
        <v>0</v>
      </c>
      <c r="BG183" s="155">
        <f t="shared" si="68"/>
        <v>0</v>
      </c>
      <c r="BH183" s="155">
        <f t="shared" si="69"/>
        <v>0</v>
      </c>
      <c r="BI183" s="155">
        <f t="shared" si="70"/>
        <v>0</v>
      </c>
      <c r="BJ183" s="155">
        <f t="shared" si="71"/>
        <v>0</v>
      </c>
      <c r="BK183" s="155">
        <f t="shared" si="72"/>
        <v>0</v>
      </c>
      <c r="BL183" s="155">
        <f t="shared" si="73"/>
        <v>48.01703061261891</v>
      </c>
      <c r="BM183" s="155">
        <f t="shared" si="74"/>
        <v>183.84520595806464</v>
      </c>
      <c r="BN183" s="155">
        <f t="shared" si="75"/>
        <v>267.49016301412877</v>
      </c>
      <c r="BO183" s="155">
        <f t="shared" si="76"/>
        <v>314.59536792632287</v>
      </c>
      <c r="BP183" s="155">
        <f t="shared" si="77"/>
        <v>63.286493934076056</v>
      </c>
    </row>
    <row r="184" spans="1:68">
      <c r="A184" s="155" t="s">
        <v>308</v>
      </c>
      <c r="B184" s="155" t="s">
        <v>1200</v>
      </c>
      <c r="C184" s="155" t="s">
        <v>208</v>
      </c>
      <c r="D184" s="155">
        <v>5</v>
      </c>
      <c r="E184" s="189">
        <v>0</v>
      </c>
      <c r="F184" s="67">
        <v>0</v>
      </c>
      <c r="G184" s="67">
        <v>0</v>
      </c>
      <c r="H184" s="67">
        <v>0</v>
      </c>
      <c r="I184" s="67">
        <v>0</v>
      </c>
      <c r="J184" s="67">
        <v>0</v>
      </c>
      <c r="K184" s="67">
        <v>0</v>
      </c>
      <c r="L184" s="67">
        <v>1500</v>
      </c>
      <c r="M184" s="67">
        <v>2640</v>
      </c>
      <c r="N184" s="67">
        <v>500</v>
      </c>
      <c r="O184" s="67">
        <v>0</v>
      </c>
      <c r="Q184" s="201" t="s">
        <v>308</v>
      </c>
      <c r="R184" s="201" t="s">
        <v>1200</v>
      </c>
      <c r="S184" s="201" t="s">
        <v>208</v>
      </c>
      <c r="U184" s="155"/>
      <c r="V184" s="155"/>
      <c r="W184" s="155"/>
      <c r="X184" s="155"/>
      <c r="Y184" s="155"/>
      <c r="Z184" s="155"/>
      <c r="AA184" s="155"/>
      <c r="AB184" s="155"/>
      <c r="AC184" s="155"/>
      <c r="AE184" s="76">
        <f t="shared" si="56"/>
        <v>0</v>
      </c>
      <c r="AF184" s="76">
        <f t="shared" si="57"/>
        <v>0</v>
      </c>
      <c r="AG184" s="76">
        <f t="shared" si="58"/>
        <v>0</v>
      </c>
      <c r="AH184" s="76">
        <f t="shared" si="59"/>
        <v>0</v>
      </c>
      <c r="AI184" s="76">
        <f t="shared" si="60"/>
        <v>0</v>
      </c>
      <c r="AJ184" s="76">
        <f t="shared" si="61"/>
        <v>0</v>
      </c>
      <c r="AK184" s="76">
        <f t="shared" si="62"/>
        <v>0</v>
      </c>
      <c r="AL184" s="76">
        <f t="shared" si="63"/>
        <v>0</v>
      </c>
      <c r="AM184" s="76">
        <f t="shared" si="64"/>
        <v>0</v>
      </c>
      <c r="AN184" s="76">
        <f t="shared" si="65"/>
        <v>0</v>
      </c>
      <c r="AP184" s="201" t="s">
        <v>308</v>
      </c>
      <c r="AQ184" s="201" t="s">
        <v>208</v>
      </c>
      <c r="AR184" s="155" cm="1">
        <f t="array" ref="AR184">_xlfn.IFS($AQ184=$AP$1,$AQ$1*AE184,$AQ184=$AP$2,$AQ$2*AE184,$AQ184=$AP$3,$AQ$3*AE184,$AQ184=$AP$4,$AQ$4*AE184)</f>
        <v>0</v>
      </c>
      <c r="AS184" s="155" cm="1">
        <f t="array" ref="AS184">_xlfn.IFS($AQ184=$AP$1,$AQ$1*AF184,$AQ184=$AP$2,$AQ$2*AF184,$AQ184=$AP$3,$AQ$3*AF184,$AQ184=$AP$4,$AQ$4*AF184)</f>
        <v>0</v>
      </c>
      <c r="AT184" s="155" cm="1">
        <f t="array" ref="AT184">_xlfn.IFS($AQ184=$AP$1,$AQ$1*AG184,$AQ184=$AP$2,$AQ$2*AG184,$AQ184=$AP$3,$AQ$3*AG184,$AQ184=$AP$4,$AQ$4*AG184)</f>
        <v>0</v>
      </c>
      <c r="AU184" s="155" cm="1">
        <f t="array" ref="AU184">_xlfn.IFS($AQ184=$AP$1,$AQ$1*AH184,$AQ184=$AP$2,$AQ$2*AH184,$AQ184=$AP$3,$AQ$3*AH184,$AQ184=$AP$4,$AQ$4*AH184)</f>
        <v>0</v>
      </c>
      <c r="AV184" s="155" cm="1">
        <f t="array" ref="AV184">_xlfn.IFS($AQ184=$AP$1,$AQ$1*AI184,$AQ184=$AP$2,$AQ$2*AI184,$AQ184=$AP$3,$AQ$3*AI184,$AQ184=$AP$4,$AQ$4*AI184)</f>
        <v>0</v>
      </c>
      <c r="AW184" s="155" cm="1">
        <f t="array" ref="AW184">_xlfn.IFS($AQ184=$AP$1,$AQ$1*AJ184,$AQ184=$AP$2,$AQ$2*AJ184,$AQ184=$AP$3,$AQ$3*AJ184,$AQ184=$AP$4,$AQ$4*AJ184)</f>
        <v>0</v>
      </c>
      <c r="AX184" s="155" cm="1">
        <f t="array" ref="AX184">_xlfn.IFS($AQ184=$AP$1,$AQ$1*AK184,$AQ184=$AP$2,$AQ$2*AK184,$AQ184=$AP$3,$AQ$3*AK184,$AQ184=$AP$4,$AQ$4*AK184)</f>
        <v>0</v>
      </c>
      <c r="AY184" s="155" cm="1">
        <f t="array" ref="AY184">_xlfn.IFS($AQ184=$AP$1,$AQ$1*AL184,$AQ184=$AP$2,$AQ$2*AL184,$AQ184=$AP$3,$AQ$3*AL184,$AQ184=$AP$4,$AQ$4*AL184)</f>
        <v>0</v>
      </c>
      <c r="AZ184" s="155" cm="1">
        <f t="array" ref="AZ184">_xlfn.IFS($AQ184=$AP$1,$AQ$1*AM184,$AQ184=$AP$2,$AQ$2*AM184,$AQ184=$AP$3,$AQ$3*AM184,$AQ184=$AP$4,$AQ$4*AM184)</f>
        <v>0</v>
      </c>
      <c r="BA184" s="155" cm="1">
        <f t="array" ref="BA184">_xlfn.IFS($AQ184=$AP$1,$AQ$1*AN184,$AQ184=$AP$2,$AQ$2*AN184,$AQ184=$AP$3,$AQ$3*AN184,$AQ184=$AP$4,$AQ$4*AN184)</f>
        <v>0</v>
      </c>
      <c r="BB184" s="155"/>
      <c r="BC184" s="155" t="str">
        <f>Table2[[#This Row],[FN Parent  '#]]</f>
        <v>FN011560</v>
      </c>
      <c r="BD184" s="155">
        <f t="shared" si="66"/>
        <v>0</v>
      </c>
      <c r="BF184" s="155" t="str">
        <f t="shared" si="67"/>
        <v/>
      </c>
      <c r="BG184" s="155" t="str">
        <f t="shared" si="68"/>
        <v/>
      </c>
      <c r="BH184" s="155" t="str">
        <f t="shared" si="69"/>
        <v/>
      </c>
      <c r="BI184" s="155" t="str">
        <f t="shared" si="70"/>
        <v/>
      </c>
      <c r="BJ184" s="155" t="str">
        <f t="shared" si="71"/>
        <v/>
      </c>
      <c r="BK184" s="155" t="str">
        <f t="shared" si="72"/>
        <v/>
      </c>
      <c r="BL184" s="155" t="str">
        <f t="shared" si="73"/>
        <v/>
      </c>
      <c r="BM184" s="155" t="str">
        <f t="shared" si="74"/>
        <v/>
      </c>
      <c r="BN184" s="155" t="str">
        <f t="shared" si="75"/>
        <v/>
      </c>
      <c r="BO184" s="155" t="str">
        <f t="shared" si="76"/>
        <v/>
      </c>
      <c r="BP184" s="155">
        <f t="shared" si="77"/>
        <v>0</v>
      </c>
    </row>
    <row r="185" spans="1:68">
      <c r="A185" s="155" t="s">
        <v>310</v>
      </c>
      <c r="B185" s="155" t="s">
        <v>1345</v>
      </c>
      <c r="C185" s="155" t="s">
        <v>207</v>
      </c>
      <c r="D185" s="155">
        <v>12.5</v>
      </c>
      <c r="E185" s="189">
        <v>0</v>
      </c>
      <c r="F185" s="67">
        <v>0</v>
      </c>
      <c r="G185" s="67">
        <v>0</v>
      </c>
      <c r="H185" s="67">
        <v>0</v>
      </c>
      <c r="I185" s="67">
        <v>110.25</v>
      </c>
      <c r="J185" s="67">
        <v>1466.325</v>
      </c>
      <c r="K185" s="67">
        <v>529.20000000000005</v>
      </c>
      <c r="L185" s="67">
        <v>1308.375</v>
      </c>
      <c r="M185" s="67">
        <v>8688.6039999999994</v>
      </c>
      <c r="N185" s="67">
        <v>8688.6039999999994</v>
      </c>
      <c r="O185" s="67">
        <v>5255.2040000000006</v>
      </c>
      <c r="Q185" s="202" t="s">
        <v>310</v>
      </c>
      <c r="R185" s="202" t="s">
        <v>1345</v>
      </c>
      <c r="S185" s="202" t="s">
        <v>207</v>
      </c>
      <c r="T185" s="76">
        <f>SUM($E185:F185)</f>
        <v>0</v>
      </c>
      <c r="U185" s="76">
        <f>SUM($E185:G185)</f>
        <v>0</v>
      </c>
      <c r="V185" s="76">
        <f>SUM($E185:H185)</f>
        <v>0</v>
      </c>
      <c r="W185" s="76">
        <f>SUM($E185:I185)</f>
        <v>110.25</v>
      </c>
      <c r="X185" s="76">
        <f>SUM($E185:J185)</f>
        <v>1576.575</v>
      </c>
      <c r="Y185" s="76">
        <f>SUM($E185:K185)</f>
        <v>2105.7750000000001</v>
      </c>
      <c r="Z185" s="76">
        <f>SUM($E185:L185)</f>
        <v>3414.15</v>
      </c>
      <c r="AA185" s="76">
        <f>SUM($E185:M185)</f>
        <v>12102.753999999999</v>
      </c>
      <c r="AB185" s="76">
        <f>SUM($E185:N185)</f>
        <v>20791.358</v>
      </c>
      <c r="AC185" s="76">
        <f>SUM($E185:O185)</f>
        <v>26046.562000000002</v>
      </c>
      <c r="AE185" s="76">
        <f t="shared" si="56"/>
        <v>0</v>
      </c>
      <c r="AF185" s="76">
        <f t="shared" si="57"/>
        <v>0</v>
      </c>
      <c r="AG185" s="76">
        <f t="shared" si="58"/>
        <v>0</v>
      </c>
      <c r="AH185" s="76">
        <f t="shared" si="59"/>
        <v>117.34263177524997</v>
      </c>
      <c r="AI185" s="76">
        <f t="shared" si="60"/>
        <v>1713.2376267081818</v>
      </c>
      <c r="AJ185" s="76">
        <f t="shared" si="61"/>
        <v>2336.3649148390855</v>
      </c>
      <c r="AK185" s="76">
        <f t="shared" si="62"/>
        <v>3867.5599148778088</v>
      </c>
      <c r="AL185" s="76">
        <f t="shared" si="63"/>
        <v>13997.948795705406</v>
      </c>
      <c r="AM185" s="76">
        <f t="shared" si="64"/>
        <v>24552.108415605304</v>
      </c>
      <c r="AN185" s="76">
        <f t="shared" si="65"/>
        <v>31403.791535570628</v>
      </c>
      <c r="AP185" s="202" t="s">
        <v>310</v>
      </c>
      <c r="AQ185" s="202" t="s">
        <v>207</v>
      </c>
      <c r="AR185" s="155" cm="1">
        <f t="array" ref="AR185">_xlfn.IFS($AQ185=$AP$1,$AQ$1*AE185,$AQ185=$AP$2,$AQ$2*AE185,$AQ185=$AP$3,$AQ$3*AE185,$AQ185=$AP$4,$AQ$4*AE185)</f>
        <v>0</v>
      </c>
      <c r="AS185" s="155" cm="1">
        <f t="array" ref="AS185">_xlfn.IFS($AQ185=$AP$1,$AQ$1*AF185,$AQ185=$AP$2,$AQ$2*AF185,$AQ185=$AP$3,$AQ$3*AF185,$AQ185=$AP$4,$AQ$4*AF185)</f>
        <v>0</v>
      </c>
      <c r="AT185" s="155" cm="1">
        <f t="array" ref="AT185">_xlfn.IFS($AQ185=$AP$1,$AQ$1*AG185,$AQ185=$AP$2,$AQ$2*AG185,$AQ185=$AP$3,$AQ$3*AG185,$AQ185=$AP$4,$AQ$4*AG185)</f>
        <v>0</v>
      </c>
      <c r="AU185" s="155" cm="1">
        <f t="array" ref="AU185">_xlfn.IFS($AQ185=$AP$1,$AQ$1*AH185,$AQ185=$AP$2,$AQ$2*AH185,$AQ185=$AP$3,$AQ$3*AH185,$AQ185=$AP$4,$AQ$4*AH185)</f>
        <v>9.4568876912070579</v>
      </c>
      <c r="AV185" s="155" cm="1">
        <f t="array" ref="AV185">_xlfn.IFS($AQ185=$AP$1,$AQ$1*AI185,$AQ185=$AP$2,$AQ$2*AI185,$AQ185=$AP$3,$AQ$3*AI185,$AQ185=$AP$4,$AQ$4*AI185)</f>
        <v>138.07339735793039</v>
      </c>
      <c r="AW185" s="155" cm="1">
        <f t="array" ref="AW185">_xlfn.IFS($AQ185=$AP$1,$AQ$1*AJ185,$AQ185=$AP$2,$AQ$2*AJ185,$AQ185=$AP$3,$AQ$3*AJ185,$AQ185=$AP$4,$AQ$4*AJ185)</f>
        <v>188.29252651865286</v>
      </c>
      <c r="AX185" s="155" cm="1">
        <f t="array" ref="AX185">_xlfn.IFS($AQ185=$AP$1,$AQ$1*AK185,$AQ185=$AP$2,$AQ$2*AK185,$AQ185=$AP$3,$AQ$3*AK185,$AQ185=$AP$4,$AQ$4*AK185)</f>
        <v>311.69472851151971</v>
      </c>
      <c r="AY185" s="155" cm="1">
        <f t="array" ref="AY185">_xlfn.IFS($AQ185=$AP$1,$AQ$1*AL185,$AQ185=$AP$2,$AQ$2*AL185,$AQ185=$AP$3,$AQ$3*AL185,$AQ185=$AP$4,$AQ$4*AL185)</f>
        <v>1128.12391937654</v>
      </c>
      <c r="AZ185" s="155" cm="1">
        <f t="array" ref="AZ185">_xlfn.IFS($AQ185=$AP$1,$AQ$1*AM185,$AQ185=$AP$2,$AQ$2*AM185,$AQ185=$AP$3,$AQ$3*AM185,$AQ185=$AP$4,$AQ$4*AM185)</f>
        <v>1978.7056788826178</v>
      </c>
      <c r="BA185" s="155" cm="1">
        <f t="array" ref="BA185">_xlfn.IFS($AQ185=$AP$1,$AQ$1*AN185,$AQ185=$AP$2,$AQ$2*AN185,$AQ185=$AP$3,$AQ$3*AN185,$AQ185=$AP$4,$AQ$4*AN185)</f>
        <v>2530.8971269605531</v>
      </c>
      <c r="BB185" s="155">
        <f>Table2[[#This Row],[FINAL Project System Capacity (MW)]]</f>
        <v>12.5</v>
      </c>
      <c r="BC185" s="155" t="str">
        <f>Table2[[#This Row],[FN Parent  '#]]</f>
        <v>Individual Project</v>
      </c>
      <c r="BD185" s="155">
        <f t="shared" si="66"/>
        <v>12.5</v>
      </c>
      <c r="BE185" s="155">
        <f t="shared" si="78"/>
        <v>12.5</v>
      </c>
      <c r="BF185" s="155">
        <f t="shared" si="67"/>
        <v>0</v>
      </c>
      <c r="BG185" s="155">
        <f t="shared" si="68"/>
        <v>0</v>
      </c>
      <c r="BH185" s="155">
        <f t="shared" si="69"/>
        <v>0</v>
      </c>
      <c r="BI185" s="155">
        <f t="shared" si="70"/>
        <v>0.75655101529656466</v>
      </c>
      <c r="BJ185" s="155">
        <f t="shared" si="71"/>
        <v>11.045871788634431</v>
      </c>
      <c r="BK185" s="155">
        <f t="shared" si="72"/>
        <v>15.06340212149223</v>
      </c>
      <c r="BL185" s="155">
        <f t="shared" si="73"/>
        <v>24.935578280921575</v>
      </c>
      <c r="BM185" s="155">
        <f t="shared" si="74"/>
        <v>90.249913550123196</v>
      </c>
      <c r="BN185" s="155">
        <f t="shared" si="75"/>
        <v>158.29645431060942</v>
      </c>
      <c r="BO185" s="155">
        <f t="shared" si="76"/>
        <v>202.47177015684426</v>
      </c>
      <c r="BP185" s="155">
        <f t="shared" si="77"/>
        <v>39.421352355891145</v>
      </c>
    </row>
    <row r="186" spans="1:68">
      <c r="A186" s="155" t="s">
        <v>312</v>
      </c>
      <c r="B186" s="155" t="s">
        <v>1345</v>
      </c>
      <c r="C186" s="155" t="s">
        <v>207</v>
      </c>
      <c r="D186" s="155">
        <v>15</v>
      </c>
      <c r="E186" s="189">
        <v>0</v>
      </c>
      <c r="F186" s="67">
        <v>0</v>
      </c>
      <c r="G186" s="67">
        <v>0</v>
      </c>
      <c r="H186" s="67">
        <v>0</v>
      </c>
      <c r="I186" s="67">
        <v>110.25</v>
      </c>
      <c r="J186" s="67">
        <v>1466.325</v>
      </c>
      <c r="K186" s="67">
        <v>529.20000000000005</v>
      </c>
      <c r="L186" s="67">
        <v>1308.375</v>
      </c>
      <c r="M186" s="67">
        <v>8688.6039999999994</v>
      </c>
      <c r="N186" s="67">
        <v>8688.6039999999994</v>
      </c>
      <c r="O186" s="67">
        <v>5255.2040000000006</v>
      </c>
      <c r="Q186" s="201" t="s">
        <v>312</v>
      </c>
      <c r="R186" s="201" t="s">
        <v>1345</v>
      </c>
      <c r="S186" s="201" t="s">
        <v>207</v>
      </c>
      <c r="T186" s="76">
        <f>SUM($E186:F186)</f>
        <v>0</v>
      </c>
      <c r="U186" s="76">
        <f>SUM($E186:G186)</f>
        <v>0</v>
      </c>
      <c r="V186" s="76">
        <f>SUM($E186:H186)</f>
        <v>0</v>
      </c>
      <c r="W186" s="76">
        <f>SUM($E186:I186)</f>
        <v>110.25</v>
      </c>
      <c r="X186" s="76">
        <f>SUM($E186:J186)</f>
        <v>1576.575</v>
      </c>
      <c r="Y186" s="76">
        <f>SUM($E186:K186)</f>
        <v>2105.7750000000001</v>
      </c>
      <c r="Z186" s="76">
        <f>SUM($E186:L186)</f>
        <v>3414.15</v>
      </c>
      <c r="AA186" s="76">
        <f>SUM($E186:M186)</f>
        <v>12102.753999999999</v>
      </c>
      <c r="AB186" s="76">
        <f>SUM($E186:N186)</f>
        <v>20791.358</v>
      </c>
      <c r="AC186" s="76">
        <f>SUM($E186:O186)</f>
        <v>26046.562000000002</v>
      </c>
      <c r="AE186" s="76">
        <f t="shared" si="56"/>
        <v>0</v>
      </c>
      <c r="AF186" s="76">
        <f t="shared" si="57"/>
        <v>0</v>
      </c>
      <c r="AG186" s="76">
        <f t="shared" si="58"/>
        <v>0</v>
      </c>
      <c r="AH186" s="76">
        <f t="shared" si="59"/>
        <v>117.34263177524997</v>
      </c>
      <c r="AI186" s="76">
        <f t="shared" si="60"/>
        <v>1713.2376267081818</v>
      </c>
      <c r="AJ186" s="76">
        <f t="shared" si="61"/>
        <v>2336.3649148390855</v>
      </c>
      <c r="AK186" s="76">
        <f t="shared" si="62"/>
        <v>3867.5599148778088</v>
      </c>
      <c r="AL186" s="76">
        <f t="shared" si="63"/>
        <v>13997.948795705406</v>
      </c>
      <c r="AM186" s="76">
        <f t="shared" si="64"/>
        <v>24552.108415605304</v>
      </c>
      <c r="AN186" s="76">
        <f t="shared" si="65"/>
        <v>31403.791535570628</v>
      </c>
      <c r="AP186" s="201" t="s">
        <v>312</v>
      </c>
      <c r="AQ186" s="201" t="s">
        <v>207</v>
      </c>
      <c r="AR186" s="155" cm="1">
        <f t="array" ref="AR186">_xlfn.IFS($AQ186=$AP$1,$AQ$1*AE186,$AQ186=$AP$2,$AQ$2*AE186,$AQ186=$AP$3,$AQ$3*AE186,$AQ186=$AP$4,$AQ$4*AE186)</f>
        <v>0</v>
      </c>
      <c r="AS186" s="155" cm="1">
        <f t="array" ref="AS186">_xlfn.IFS($AQ186=$AP$1,$AQ$1*AF186,$AQ186=$AP$2,$AQ$2*AF186,$AQ186=$AP$3,$AQ$3*AF186,$AQ186=$AP$4,$AQ$4*AF186)</f>
        <v>0</v>
      </c>
      <c r="AT186" s="155" cm="1">
        <f t="array" ref="AT186">_xlfn.IFS($AQ186=$AP$1,$AQ$1*AG186,$AQ186=$AP$2,$AQ$2*AG186,$AQ186=$AP$3,$AQ$3*AG186,$AQ186=$AP$4,$AQ$4*AG186)</f>
        <v>0</v>
      </c>
      <c r="AU186" s="155" cm="1">
        <f t="array" ref="AU186">_xlfn.IFS($AQ186=$AP$1,$AQ$1*AH186,$AQ186=$AP$2,$AQ$2*AH186,$AQ186=$AP$3,$AQ$3*AH186,$AQ186=$AP$4,$AQ$4*AH186)</f>
        <v>9.4568876912070579</v>
      </c>
      <c r="AV186" s="155" cm="1">
        <f t="array" ref="AV186">_xlfn.IFS($AQ186=$AP$1,$AQ$1*AI186,$AQ186=$AP$2,$AQ$2*AI186,$AQ186=$AP$3,$AQ$3*AI186,$AQ186=$AP$4,$AQ$4*AI186)</f>
        <v>138.07339735793039</v>
      </c>
      <c r="AW186" s="155" cm="1">
        <f t="array" ref="AW186">_xlfn.IFS($AQ186=$AP$1,$AQ$1*AJ186,$AQ186=$AP$2,$AQ$2*AJ186,$AQ186=$AP$3,$AQ$3*AJ186,$AQ186=$AP$4,$AQ$4*AJ186)</f>
        <v>188.29252651865286</v>
      </c>
      <c r="AX186" s="155" cm="1">
        <f t="array" ref="AX186">_xlfn.IFS($AQ186=$AP$1,$AQ$1*AK186,$AQ186=$AP$2,$AQ$2*AK186,$AQ186=$AP$3,$AQ$3*AK186,$AQ186=$AP$4,$AQ$4*AK186)</f>
        <v>311.69472851151971</v>
      </c>
      <c r="AY186" s="155" cm="1">
        <f t="array" ref="AY186">_xlfn.IFS($AQ186=$AP$1,$AQ$1*AL186,$AQ186=$AP$2,$AQ$2*AL186,$AQ186=$AP$3,$AQ$3*AL186,$AQ186=$AP$4,$AQ$4*AL186)</f>
        <v>1128.12391937654</v>
      </c>
      <c r="AZ186" s="155" cm="1">
        <f t="array" ref="AZ186">_xlfn.IFS($AQ186=$AP$1,$AQ$1*AM186,$AQ186=$AP$2,$AQ$2*AM186,$AQ186=$AP$3,$AQ$3*AM186,$AQ186=$AP$4,$AQ$4*AM186)</f>
        <v>1978.7056788826178</v>
      </c>
      <c r="BA186" s="155" cm="1">
        <f t="array" ref="BA186">_xlfn.IFS($AQ186=$AP$1,$AQ$1*AN186,$AQ186=$AP$2,$AQ$2*AN186,$AQ186=$AP$3,$AQ$3*AN186,$AQ186=$AP$4,$AQ$4*AN186)</f>
        <v>2530.8971269605531</v>
      </c>
      <c r="BB186" s="155">
        <f>Table2[[#This Row],[FINAL Project System Capacity (MW)]]</f>
        <v>15</v>
      </c>
      <c r="BC186" s="155" t="str">
        <f>Table2[[#This Row],[FN Parent  '#]]</f>
        <v>Individual Project</v>
      </c>
      <c r="BD186" s="155">
        <f t="shared" si="66"/>
        <v>15</v>
      </c>
      <c r="BE186" s="155">
        <f t="shared" si="78"/>
        <v>15</v>
      </c>
      <c r="BF186" s="155">
        <f t="shared" si="67"/>
        <v>0</v>
      </c>
      <c r="BG186" s="155">
        <f t="shared" si="68"/>
        <v>0</v>
      </c>
      <c r="BH186" s="155">
        <f t="shared" si="69"/>
        <v>0</v>
      </c>
      <c r="BI186" s="155">
        <f t="shared" si="70"/>
        <v>0.63045917941380381</v>
      </c>
      <c r="BJ186" s="155">
        <f t="shared" si="71"/>
        <v>9.2048931571953592</v>
      </c>
      <c r="BK186" s="155">
        <f t="shared" si="72"/>
        <v>12.552835101243524</v>
      </c>
      <c r="BL186" s="155">
        <f t="shared" si="73"/>
        <v>20.779648567434648</v>
      </c>
      <c r="BM186" s="155">
        <f t="shared" si="74"/>
        <v>75.208261291769333</v>
      </c>
      <c r="BN186" s="155">
        <f t="shared" si="75"/>
        <v>131.91371192550784</v>
      </c>
      <c r="BO186" s="155">
        <f t="shared" si="76"/>
        <v>168.72647513070353</v>
      </c>
      <c r="BP186" s="155">
        <f t="shared" si="77"/>
        <v>32.851126963242621</v>
      </c>
    </row>
    <row r="187" spans="1:68">
      <c r="A187" s="155" t="s">
        <v>313</v>
      </c>
      <c r="B187" s="155" t="s">
        <v>1345</v>
      </c>
      <c r="C187" s="155" t="s">
        <v>208</v>
      </c>
      <c r="D187" s="155">
        <v>0.65</v>
      </c>
      <c r="E187" s="189">
        <v>0</v>
      </c>
      <c r="F187" s="67">
        <v>0</v>
      </c>
      <c r="G187" s="67">
        <v>0</v>
      </c>
      <c r="H187" s="67">
        <v>0</v>
      </c>
      <c r="I187" s="67">
        <v>0</v>
      </c>
      <c r="J187" s="67">
        <v>0</v>
      </c>
      <c r="K187" s="67">
        <v>0</v>
      </c>
      <c r="L187" s="67">
        <v>0</v>
      </c>
      <c r="M187" s="67">
        <v>328</v>
      </c>
      <c r="N187" s="67">
        <v>1262</v>
      </c>
      <c r="O187" s="67">
        <v>1468</v>
      </c>
      <c r="Q187" s="202" t="s">
        <v>313</v>
      </c>
      <c r="R187" s="202" t="s">
        <v>1345</v>
      </c>
      <c r="S187" s="202" t="s">
        <v>208</v>
      </c>
      <c r="T187" s="76">
        <f>SUM($E187:F187)</f>
        <v>0</v>
      </c>
      <c r="U187" s="76">
        <f>SUM($E187:G187)</f>
        <v>0</v>
      </c>
      <c r="V187" s="76">
        <f>SUM($E187:H187)</f>
        <v>0</v>
      </c>
      <c r="W187" s="76">
        <f>SUM($E187:I187)</f>
        <v>0</v>
      </c>
      <c r="X187" s="76">
        <f>SUM($E187:J187)</f>
        <v>0</v>
      </c>
      <c r="Y187" s="76">
        <f>SUM($E187:K187)</f>
        <v>0</v>
      </c>
      <c r="Z187" s="76">
        <f>SUM($E187:L187)</f>
        <v>0</v>
      </c>
      <c r="AA187" s="76">
        <f>SUM($E187:M187)</f>
        <v>328</v>
      </c>
      <c r="AB187" s="76">
        <f>SUM($E187:N187)</f>
        <v>1590</v>
      </c>
      <c r="AC187" s="76">
        <f>SUM($E187:O187)</f>
        <v>3058</v>
      </c>
      <c r="AE187" s="76">
        <f t="shared" si="56"/>
        <v>0</v>
      </c>
      <c r="AF187" s="76">
        <f t="shared" si="57"/>
        <v>0</v>
      </c>
      <c r="AG187" s="76">
        <f t="shared" si="58"/>
        <v>0</v>
      </c>
      <c r="AH187" s="76">
        <f t="shared" si="59"/>
        <v>0</v>
      </c>
      <c r="AI187" s="76">
        <f t="shared" si="60"/>
        <v>0</v>
      </c>
      <c r="AJ187" s="76">
        <f t="shared" si="61"/>
        <v>0</v>
      </c>
      <c r="AK187" s="76">
        <f t="shared" si="62"/>
        <v>0</v>
      </c>
      <c r="AL187" s="76">
        <f t="shared" si="63"/>
        <v>379.36218525067716</v>
      </c>
      <c r="AM187" s="76">
        <f t="shared" si="64"/>
        <v>1877.5999326649289</v>
      </c>
      <c r="AN187" s="76">
        <f t="shared" si="65"/>
        <v>3686.9662305441684</v>
      </c>
      <c r="AP187" s="202" t="s">
        <v>313</v>
      </c>
      <c r="AQ187" s="202" t="s">
        <v>208</v>
      </c>
      <c r="AR187" s="155" cm="1">
        <f t="array" ref="AR187">_xlfn.IFS($AQ187=$AP$1,$AQ$1*AE187,$AQ187=$AP$2,$AQ$2*AE187,$AQ187=$AP$3,$AQ$3*AE187,$AQ187=$AP$4,$AQ$4*AE187)</f>
        <v>0</v>
      </c>
      <c r="AS187" s="155" cm="1">
        <f t="array" ref="AS187">_xlfn.IFS($AQ187=$AP$1,$AQ$1*AF187,$AQ187=$AP$2,$AQ$2*AF187,$AQ187=$AP$3,$AQ$3*AF187,$AQ187=$AP$4,$AQ$4*AF187)</f>
        <v>0</v>
      </c>
      <c r="AT187" s="155" cm="1">
        <f t="array" ref="AT187">_xlfn.IFS($AQ187=$AP$1,$AQ$1*AG187,$AQ187=$AP$2,$AQ$2*AG187,$AQ187=$AP$3,$AQ$3*AG187,$AQ187=$AP$4,$AQ$4*AG187)</f>
        <v>0</v>
      </c>
      <c r="AU187" s="155" cm="1">
        <f t="array" ref="AU187">_xlfn.IFS($AQ187=$AP$1,$AQ$1*AH187,$AQ187=$AP$2,$AQ$2*AH187,$AQ187=$AP$3,$AQ$3*AH187,$AQ187=$AP$4,$AQ$4*AH187)</f>
        <v>0</v>
      </c>
      <c r="AV187" s="155" cm="1">
        <f t="array" ref="AV187">_xlfn.IFS($AQ187=$AP$1,$AQ$1*AI187,$AQ187=$AP$2,$AQ$2*AI187,$AQ187=$AP$3,$AQ$3*AI187,$AQ187=$AP$4,$AQ$4*AI187)</f>
        <v>0</v>
      </c>
      <c r="AW187" s="155" cm="1">
        <f t="array" ref="AW187">_xlfn.IFS($AQ187=$AP$1,$AQ$1*AJ187,$AQ187=$AP$2,$AQ$2*AJ187,$AQ187=$AP$3,$AQ$3*AJ187,$AQ187=$AP$4,$AQ$4*AJ187)</f>
        <v>0</v>
      </c>
      <c r="AX187" s="155" cm="1">
        <f t="array" ref="AX187">_xlfn.IFS($AQ187=$AP$1,$AQ$1*AK187,$AQ187=$AP$2,$AQ$2*AK187,$AQ187=$AP$3,$AQ$3*AK187,$AQ187=$AP$4,$AQ$4*AK187)</f>
        <v>0</v>
      </c>
      <c r="AY187" s="155" cm="1">
        <f t="array" ref="AY187">_xlfn.IFS($AQ187=$AP$1,$AQ$1*AL187,$AQ187=$AP$2,$AQ$2*AL187,$AQ187=$AP$3,$AQ$3*AL187,$AQ187=$AP$4,$AQ$4*AL187)</f>
        <v>53.601091159329066</v>
      </c>
      <c r="AZ187" s="155" cm="1">
        <f t="array" ref="AZ187">_xlfn.IFS($AQ187=$AP$1,$AQ$1*AM187,$AQ187=$AP$2,$AQ$2*AM187,$AQ187=$AP$3,$AQ$3*AM187,$AQ187=$AP$4,$AQ$4*AM187)</f>
        <v>265.29108346689998</v>
      </c>
      <c r="BA187" s="155" cm="1">
        <f t="array" ref="BA187">_xlfn.IFS($AQ187=$AP$1,$AQ$1*AN187,$AQ187=$AP$2,$AQ$2*AN187,$AQ187=$AP$3,$AQ$3*AN187,$AQ187=$AP$4,$AQ$4*AN187)</f>
        <v>520.94125537097943</v>
      </c>
      <c r="BB187" s="155">
        <f>Table2[[#This Row],[FINAL Project System Capacity (MW)]]</f>
        <v>0.65</v>
      </c>
      <c r="BC187" s="155" t="str">
        <f>Table2[[#This Row],[FN Parent  '#]]</f>
        <v>Individual Project</v>
      </c>
      <c r="BD187" s="155">
        <f t="shared" si="66"/>
        <v>0.65</v>
      </c>
      <c r="BE187" s="155">
        <f t="shared" si="78"/>
        <v>0.65</v>
      </c>
      <c r="BF187" s="155">
        <f t="shared" si="67"/>
        <v>0</v>
      </c>
      <c r="BG187" s="155">
        <f t="shared" si="68"/>
        <v>0</v>
      </c>
      <c r="BH187" s="155">
        <f t="shared" si="69"/>
        <v>0</v>
      </c>
      <c r="BI187" s="155">
        <f t="shared" si="70"/>
        <v>0</v>
      </c>
      <c r="BJ187" s="155">
        <f t="shared" si="71"/>
        <v>0</v>
      </c>
      <c r="BK187" s="155">
        <f t="shared" si="72"/>
        <v>0</v>
      </c>
      <c r="BL187" s="155">
        <f t="shared" si="73"/>
        <v>0</v>
      </c>
      <c r="BM187" s="155">
        <f t="shared" si="74"/>
        <v>82.463217168198554</v>
      </c>
      <c r="BN187" s="155">
        <f t="shared" si="75"/>
        <v>408.14012841061532</v>
      </c>
      <c r="BO187" s="155">
        <f t="shared" si="76"/>
        <v>801.44808518612217</v>
      </c>
      <c r="BP187" s="155">
        <f t="shared" si="77"/>
        <v>96.986562386994279</v>
      </c>
    </row>
    <row r="188" spans="1:68">
      <c r="A188" s="155" t="s">
        <v>315</v>
      </c>
      <c r="B188" s="155" t="s">
        <v>1345</v>
      </c>
      <c r="C188" s="155" t="s">
        <v>208</v>
      </c>
      <c r="D188" s="155">
        <v>2.5</v>
      </c>
      <c r="E188" s="189">
        <v>53.30536</v>
      </c>
      <c r="F188" s="67">
        <v>0</v>
      </c>
      <c r="G188" s="67">
        <v>686</v>
      </c>
      <c r="H188" s="67">
        <v>0</v>
      </c>
      <c r="I188" s="67">
        <v>0</v>
      </c>
      <c r="J188" s="67">
        <v>0</v>
      </c>
      <c r="K188" s="67">
        <v>0</v>
      </c>
      <c r="L188" s="67">
        <v>0</v>
      </c>
      <c r="M188" s="67">
        <v>0</v>
      </c>
      <c r="N188" s="67">
        <v>0</v>
      </c>
      <c r="O188" s="67">
        <v>0</v>
      </c>
      <c r="Q188" s="201" t="s">
        <v>315</v>
      </c>
      <c r="R188" s="201" t="s">
        <v>1345</v>
      </c>
      <c r="S188" s="201" t="s">
        <v>208</v>
      </c>
      <c r="T188" s="76">
        <f>SUM($E188:F188)</f>
        <v>53.30536</v>
      </c>
      <c r="U188" s="76">
        <f>SUM($E188:G188)</f>
        <v>739.30535999999995</v>
      </c>
      <c r="V188" s="76">
        <f>SUM($E188:H188)</f>
        <v>739.30535999999995</v>
      </c>
      <c r="W188" s="76">
        <f>SUM($E188:I188)</f>
        <v>739.30535999999995</v>
      </c>
      <c r="X188" s="76">
        <f>SUM($E188:J188)</f>
        <v>739.30535999999995</v>
      </c>
      <c r="Y188" s="76">
        <f>SUM($E188:K188)</f>
        <v>739.30535999999995</v>
      </c>
      <c r="Z188" s="76">
        <f>SUM($E188:L188)</f>
        <v>739.30535999999995</v>
      </c>
      <c r="AA188" s="76">
        <f>SUM($E188:M188)</f>
        <v>739.30535999999995</v>
      </c>
      <c r="AB188" s="76">
        <f>SUM($E188:N188)</f>
        <v>739.30535999999995</v>
      </c>
      <c r="AC188" s="76">
        <f>SUM($E188:O188)</f>
        <v>739.30535999999995</v>
      </c>
      <c r="AE188" s="76">
        <f t="shared" si="56"/>
        <v>53.30536</v>
      </c>
      <c r="AF188" s="76">
        <f t="shared" si="57"/>
        <v>754.8307725599999</v>
      </c>
      <c r="AG188" s="76">
        <f t="shared" si="58"/>
        <v>770.68221878375971</v>
      </c>
      <c r="AH188" s="76">
        <f t="shared" si="59"/>
        <v>786.86654537821869</v>
      </c>
      <c r="AI188" s="76">
        <f t="shared" si="60"/>
        <v>803.39074283116111</v>
      </c>
      <c r="AJ188" s="76">
        <f t="shared" si="61"/>
        <v>820.26194843061535</v>
      </c>
      <c r="AK188" s="76">
        <f t="shared" si="62"/>
        <v>837.4874493476583</v>
      </c>
      <c r="AL188" s="76">
        <f t="shared" si="63"/>
        <v>855.07468578395901</v>
      </c>
      <c r="AM188" s="76">
        <f t="shared" si="64"/>
        <v>873.03125418542197</v>
      </c>
      <c r="AN188" s="76">
        <f t="shared" si="65"/>
        <v>891.36491052331564</v>
      </c>
      <c r="AP188" s="201" t="s">
        <v>315</v>
      </c>
      <c r="AQ188" s="201" t="s">
        <v>208</v>
      </c>
      <c r="AR188" s="155" cm="1">
        <f t="array" ref="AR188">_xlfn.IFS($AQ188=$AP$1,$AQ$1*AE188,$AQ188=$AP$2,$AQ$2*AE188,$AQ188=$AP$3,$AQ$3*AE188,$AQ188=$AP$4,$AQ$4*AE188)</f>
        <v>7.5316559523528657</v>
      </c>
      <c r="AS188" s="155" cm="1">
        <f t="array" ref="AS188">_xlfn.IFS($AQ188=$AP$1,$AQ$1*AF188,$AQ188=$AP$2,$AQ$2*AF188,$AQ188=$AP$3,$AQ$3*AF188,$AQ188=$AP$4,$AQ$4*AF188)</f>
        <v>106.65204551982457</v>
      </c>
      <c r="AT188" s="155" cm="1">
        <f t="array" ref="AT188">_xlfn.IFS($AQ188=$AP$1,$AQ$1*AG188,$AQ188=$AP$2,$AQ$2*AG188,$AQ188=$AP$3,$AQ$3*AG188,$AQ188=$AP$4,$AQ$4*AG188)</f>
        <v>108.89173847574085</v>
      </c>
      <c r="AU188" s="155" cm="1">
        <f t="array" ref="AU188">_xlfn.IFS($AQ188=$AP$1,$AQ$1*AH188,$AQ188=$AP$2,$AQ$2*AH188,$AQ188=$AP$3,$AQ$3*AH188,$AQ188=$AP$4,$AQ$4*AH188)</f>
        <v>111.17846498373142</v>
      </c>
      <c r="AV188" s="155" cm="1">
        <f t="array" ref="AV188">_xlfn.IFS($AQ188=$AP$1,$AQ$1*AI188,$AQ188=$AP$2,$AQ$2*AI188,$AQ188=$AP$3,$AQ$3*AI188,$AQ188=$AP$4,$AQ$4*AI188)</f>
        <v>113.51321274838975</v>
      </c>
      <c r="AW188" s="155" cm="1">
        <f t="array" ref="AW188">_xlfn.IFS($AQ188=$AP$1,$AQ$1*AJ188,$AQ188=$AP$2,$AQ$2*AJ188,$AQ188=$AP$3,$AQ$3*AJ188,$AQ188=$AP$4,$AQ$4*AJ188)</f>
        <v>115.89699021610592</v>
      </c>
      <c r="AX188" s="155" cm="1">
        <f t="array" ref="AX188">_xlfn.IFS($AQ188=$AP$1,$AQ$1*AK188,$AQ188=$AP$2,$AQ$2*AK188,$AQ188=$AP$3,$AQ$3*AK188,$AQ188=$AP$4,$AQ$4*AK188)</f>
        <v>118.33082701064414</v>
      </c>
      <c r="AY188" s="155" cm="1">
        <f t="array" ref="AY188">_xlfn.IFS($AQ188=$AP$1,$AQ$1*AL188,$AQ188=$AP$2,$AQ$2*AL188,$AQ188=$AP$3,$AQ$3*AL188,$AQ188=$AP$4,$AQ$4*AL188)</f>
        <v>120.81577437786765</v>
      </c>
      <c r="AZ188" s="155" cm="1">
        <f t="array" ref="AZ188">_xlfn.IFS($AQ188=$AP$1,$AQ$1*AM188,$AQ188=$AP$2,$AQ$2*AM188,$AQ188=$AP$3,$AQ$3*AM188,$AQ188=$AP$4,$AQ$4*AM188)</f>
        <v>123.35290563980286</v>
      </c>
      <c r="BA188" s="155" cm="1">
        <f t="array" ref="BA188">_xlfn.IFS($AQ188=$AP$1,$AQ$1*AN188,$AQ188=$AP$2,$AQ$2*AN188,$AQ188=$AP$3,$AQ$3*AN188,$AQ188=$AP$4,$AQ$4*AN188)</f>
        <v>125.94331665823869</v>
      </c>
      <c r="BB188" s="155">
        <f>Table2[[#This Row],[FINAL Project System Capacity (MW)]]</f>
        <v>2.5</v>
      </c>
      <c r="BC188" s="155" t="str">
        <f>Table2[[#This Row],[FN Parent  '#]]</f>
        <v>Individual Project</v>
      </c>
      <c r="BD188" s="155">
        <f t="shared" si="66"/>
        <v>2.5</v>
      </c>
      <c r="BE188" s="155">
        <f t="shared" si="78"/>
        <v>2.5</v>
      </c>
      <c r="BF188" s="155">
        <f t="shared" si="67"/>
        <v>3.0126623809411464</v>
      </c>
      <c r="BG188" s="155">
        <f t="shared" si="68"/>
        <v>42.660818207929829</v>
      </c>
      <c r="BH188" s="155">
        <f t="shared" si="69"/>
        <v>43.556695390296341</v>
      </c>
      <c r="BI188" s="155">
        <f t="shared" si="70"/>
        <v>44.471385993492568</v>
      </c>
      <c r="BJ188" s="155">
        <f t="shared" si="71"/>
        <v>45.405285099355901</v>
      </c>
      <c r="BK188" s="155">
        <f t="shared" si="72"/>
        <v>46.358796086442368</v>
      </c>
      <c r="BL188" s="155">
        <f t="shared" si="73"/>
        <v>47.332330804257658</v>
      </c>
      <c r="BM188" s="155">
        <f t="shared" si="74"/>
        <v>48.326309751147065</v>
      </c>
      <c r="BN188" s="155">
        <f t="shared" si="75"/>
        <v>49.341162255921141</v>
      </c>
      <c r="BO188" s="155">
        <f t="shared" si="76"/>
        <v>50.377326663295477</v>
      </c>
      <c r="BP188" s="155">
        <f t="shared" si="77"/>
        <v>40.308893115631143</v>
      </c>
    </row>
    <row r="189" spans="1:68">
      <c r="A189" s="155" t="s">
        <v>315</v>
      </c>
      <c r="B189" s="155" t="s">
        <v>1345</v>
      </c>
      <c r="C189" s="155" t="s">
        <v>207</v>
      </c>
      <c r="D189" s="155">
        <v>14.5</v>
      </c>
      <c r="E189" s="189">
        <v>0</v>
      </c>
      <c r="F189" s="67">
        <v>0</v>
      </c>
      <c r="G189" s="67">
        <v>0</v>
      </c>
      <c r="H189" s="67">
        <v>0</v>
      </c>
      <c r="I189" s="67">
        <v>105</v>
      </c>
      <c r="J189" s="67">
        <v>871.5</v>
      </c>
      <c r="K189" s="67">
        <v>504</v>
      </c>
      <c r="L189" s="67">
        <v>798.22</v>
      </c>
      <c r="M189" s="67">
        <v>2900.6390000000001</v>
      </c>
      <c r="N189" s="67">
        <v>2804.471</v>
      </c>
      <c r="O189" s="67">
        <v>291.10399999999998</v>
      </c>
      <c r="Q189" s="202" t="s">
        <v>315</v>
      </c>
      <c r="R189" s="202" t="s">
        <v>1345</v>
      </c>
      <c r="S189" s="202" t="s">
        <v>207</v>
      </c>
      <c r="T189" s="76">
        <f>SUM($E189:F189)</f>
        <v>0</v>
      </c>
      <c r="U189" s="76">
        <f>SUM($E189:G189)</f>
        <v>0</v>
      </c>
      <c r="V189" s="76">
        <f>SUM($E189:H189)</f>
        <v>0</v>
      </c>
      <c r="W189" s="76">
        <f>SUM($E189:I189)</f>
        <v>105</v>
      </c>
      <c r="X189" s="76">
        <f>SUM($E189:J189)</f>
        <v>976.5</v>
      </c>
      <c r="Y189" s="76">
        <f>SUM($E189:K189)</f>
        <v>1480.5</v>
      </c>
      <c r="Z189" s="76">
        <f>SUM($E189:L189)</f>
        <v>2278.7200000000003</v>
      </c>
      <c r="AA189" s="76">
        <f>SUM($E189:M189)</f>
        <v>5179.3590000000004</v>
      </c>
      <c r="AB189" s="76">
        <f>SUM($E189:N189)</f>
        <v>7983.83</v>
      </c>
      <c r="AC189" s="76">
        <f>SUM($E189:O189)</f>
        <v>8274.9339999999993</v>
      </c>
      <c r="AE189" s="76">
        <f t="shared" si="56"/>
        <v>0</v>
      </c>
      <c r="AF189" s="76">
        <f t="shared" si="57"/>
        <v>0</v>
      </c>
      <c r="AG189" s="76">
        <f t="shared" si="58"/>
        <v>0</v>
      </c>
      <c r="AH189" s="76">
        <f t="shared" si="59"/>
        <v>111.75488740499996</v>
      </c>
      <c r="AI189" s="76">
        <f t="shared" si="60"/>
        <v>1061.1461823766961</v>
      </c>
      <c r="AJ189" s="76">
        <f t="shared" si="61"/>
        <v>1642.6200597971131</v>
      </c>
      <c r="AK189" s="76">
        <f t="shared" si="62"/>
        <v>2581.3412208691361</v>
      </c>
      <c r="AL189" s="76">
        <f t="shared" si="63"/>
        <v>5990.4053306029336</v>
      </c>
      <c r="AM189" s="76">
        <f t="shared" si="64"/>
        <v>9427.9488493133576</v>
      </c>
      <c r="AN189" s="76">
        <f t="shared" si="65"/>
        <v>9976.9137403472123</v>
      </c>
      <c r="AP189" s="202" t="s">
        <v>315</v>
      </c>
      <c r="AQ189" s="202" t="s">
        <v>207</v>
      </c>
      <c r="AR189" s="155" cm="1">
        <f t="array" ref="AR189">_xlfn.IFS($AQ189=$AP$1,$AQ$1*AE189,$AQ189=$AP$2,$AQ$2*AE189,$AQ189=$AP$3,$AQ$3*AE189,$AQ189=$AP$4,$AQ$4*AE189)</f>
        <v>0</v>
      </c>
      <c r="AS189" s="155" cm="1">
        <f t="array" ref="AS189">_xlfn.IFS($AQ189=$AP$1,$AQ$1*AF189,$AQ189=$AP$2,$AQ$2*AF189,$AQ189=$AP$3,$AQ$3*AF189,$AQ189=$AP$4,$AQ$4*AF189)</f>
        <v>0</v>
      </c>
      <c r="AT189" s="155" cm="1">
        <f t="array" ref="AT189">_xlfn.IFS($AQ189=$AP$1,$AQ$1*AG189,$AQ189=$AP$2,$AQ$2*AG189,$AQ189=$AP$3,$AQ$3*AG189,$AQ189=$AP$4,$AQ$4*AG189)</f>
        <v>0</v>
      </c>
      <c r="AU189" s="155" cm="1">
        <f t="array" ref="AU189">_xlfn.IFS($AQ189=$AP$1,$AQ$1*AH189,$AQ189=$AP$2,$AQ$2*AH189,$AQ189=$AP$3,$AQ$3*AH189,$AQ189=$AP$4,$AQ$4*AH189)</f>
        <v>9.0065597059114832</v>
      </c>
      <c r="AV189" s="155" cm="1">
        <f t="array" ref="AV189">_xlfn.IFS($AQ189=$AP$1,$AQ$1*AI189,$AQ189=$AP$2,$AQ$2*AI189,$AQ189=$AP$3,$AQ$3*AI189,$AQ189=$AP$4,$AQ$4*AI189)</f>
        <v>85.519986375541293</v>
      </c>
      <c r="AW189" s="155" cm="1">
        <f t="array" ref="AW189">_xlfn.IFS($AQ189=$AP$1,$AQ$1*AJ189,$AQ189=$AP$2,$AQ$2*AJ189,$AQ189=$AP$3,$AQ$3*AJ189,$AQ189=$AP$4,$AQ$4*AJ189)</f>
        <v>132.38218020009998</v>
      </c>
      <c r="AX189" s="155" cm="1">
        <f t="array" ref="AX189">_xlfn.IFS($AQ189=$AP$1,$AQ$1*AK189,$AQ189=$AP$2,$AQ$2*AK189,$AQ189=$AP$3,$AQ$3*AK189,$AQ189=$AP$4,$AQ$4*AK189)</f>
        <v>208.03567850087731</v>
      </c>
      <c r="AY189" s="155" cm="1">
        <f t="array" ref="AY189">_xlfn.IFS($AQ189=$AP$1,$AQ$1*AL189,$AQ189=$AP$2,$AQ$2*AL189,$AQ189=$AP$3,$AQ$3*AL189,$AQ189=$AP$4,$AQ$4*AL189)</f>
        <v>482.77927279511408</v>
      </c>
      <c r="AZ189" s="155" cm="1">
        <f t="array" ref="AZ189">_xlfn.IFS($AQ189=$AP$1,$AQ$1*AM189,$AQ189=$AP$2,$AQ$2*AM189,$AQ189=$AP$3,$AQ$3*AM189,$AQ189=$AP$4,$AQ$4*AM189)</f>
        <v>759.81808212014857</v>
      </c>
      <c r="BA189" s="155" cm="1">
        <f t="array" ref="BA189">_xlfn.IFS($AQ189=$AP$1,$AQ$1*AN189,$AQ189=$AP$2,$AQ$2*AN189,$AQ189=$AP$3,$AQ$3*AN189,$AQ189=$AP$4,$AQ$4*AN189)</f>
        <v>804.06030885719952</v>
      </c>
      <c r="BB189" s="155">
        <f>Table2[[#This Row],[FINAL Project System Capacity (MW)]]</f>
        <v>14.5</v>
      </c>
      <c r="BC189" s="155" t="str">
        <f>Table2[[#This Row],[FN Parent  '#]]</f>
        <v>Individual Project</v>
      </c>
      <c r="BD189" s="155">
        <f t="shared" si="66"/>
        <v>14.5</v>
      </c>
      <c r="BE189" s="155">
        <f t="shared" si="78"/>
        <v>14.5</v>
      </c>
      <c r="BF189" s="155">
        <f t="shared" si="67"/>
        <v>0</v>
      </c>
      <c r="BG189" s="155">
        <f t="shared" si="68"/>
        <v>0</v>
      </c>
      <c r="BH189" s="155">
        <f t="shared" si="69"/>
        <v>0</v>
      </c>
      <c r="BI189" s="155">
        <f t="shared" si="70"/>
        <v>0.62114204868355061</v>
      </c>
      <c r="BJ189" s="155">
        <f t="shared" si="71"/>
        <v>5.8979300948649165</v>
      </c>
      <c r="BK189" s="155">
        <f t="shared" si="72"/>
        <v>9.1298055310413773</v>
      </c>
      <c r="BL189" s="155">
        <f t="shared" si="73"/>
        <v>14.347288172474297</v>
      </c>
      <c r="BM189" s="155">
        <f t="shared" si="74"/>
        <v>33.295122261732004</v>
      </c>
      <c r="BN189" s="155">
        <f t="shared" si="75"/>
        <v>52.401247042768865</v>
      </c>
      <c r="BO189" s="155">
        <f t="shared" si="76"/>
        <v>55.452435093599966</v>
      </c>
      <c r="BP189" s="155">
        <f t="shared" si="77"/>
        <v>13.694341992863842</v>
      </c>
    </row>
    <row r="190" spans="1:68">
      <c r="A190" s="155" t="s">
        <v>335</v>
      </c>
      <c r="B190" s="155" t="s">
        <v>1308</v>
      </c>
      <c r="C190" s="155" t="s">
        <v>208</v>
      </c>
      <c r="D190" s="155">
        <v>13</v>
      </c>
      <c r="E190" s="189">
        <v>0</v>
      </c>
      <c r="F190" s="67">
        <v>0</v>
      </c>
      <c r="G190" s="67">
        <v>0</v>
      </c>
      <c r="H190" s="67">
        <v>0</v>
      </c>
      <c r="I190" s="67">
        <v>220</v>
      </c>
      <c r="J190" s="67">
        <v>630</v>
      </c>
      <c r="K190" s="67">
        <v>1527</v>
      </c>
      <c r="L190" s="67">
        <v>115</v>
      </c>
      <c r="M190" s="67">
        <v>0</v>
      </c>
      <c r="N190" s="67">
        <v>0</v>
      </c>
      <c r="O190" s="67">
        <v>0</v>
      </c>
      <c r="Q190" s="201" t="s">
        <v>335</v>
      </c>
      <c r="R190" s="201" t="s">
        <v>1308</v>
      </c>
      <c r="S190" s="201" t="s">
        <v>208</v>
      </c>
      <c r="T190" s="76">
        <f>SUM($E190:F191)</f>
        <v>0</v>
      </c>
      <c r="U190" s="76">
        <f>SUM($E190:G191)</f>
        <v>0</v>
      </c>
      <c r="V190" s="76">
        <f>SUM($E190:H191)</f>
        <v>0</v>
      </c>
      <c r="W190" s="76">
        <f>SUM($E190:I191)</f>
        <v>220</v>
      </c>
      <c r="X190" s="76">
        <f>SUM($E190:J191)</f>
        <v>876.03</v>
      </c>
      <c r="Y190" s="76">
        <f>SUM($E190:K191)</f>
        <v>2502.7800000000002</v>
      </c>
      <c r="Z190" s="76">
        <f>SUM($E190:L191)</f>
        <v>6058.49</v>
      </c>
      <c r="AA190" s="76">
        <f>SUM($E190:M191)</f>
        <v>6312.9</v>
      </c>
      <c r="AB190" s="76">
        <f>SUM($E190:N191)</f>
        <v>6312.9</v>
      </c>
      <c r="AC190" s="76">
        <f>SUM($E190:O191)</f>
        <v>6312.9</v>
      </c>
      <c r="AE190" s="76">
        <f t="shared" si="56"/>
        <v>0</v>
      </c>
      <c r="AF190" s="76">
        <f t="shared" si="57"/>
        <v>0</v>
      </c>
      <c r="AG190" s="76">
        <f t="shared" si="58"/>
        <v>0</v>
      </c>
      <c r="AH190" s="76">
        <f t="shared" si="59"/>
        <v>234.15309741999994</v>
      </c>
      <c r="AI190" s="76">
        <f t="shared" si="60"/>
        <v>951.96711740650994</v>
      </c>
      <c r="AJ190" s="76">
        <f t="shared" si="61"/>
        <v>2776.8433861931908</v>
      </c>
      <c r="AK190" s="76">
        <f t="shared" si="62"/>
        <v>6863.0766277662242</v>
      </c>
      <c r="AL190" s="76">
        <f t="shared" si="63"/>
        <v>7301.4498148445109</v>
      </c>
      <c r="AM190" s="76">
        <f t="shared" si="64"/>
        <v>7454.780260956245</v>
      </c>
      <c r="AN190" s="76">
        <f t="shared" si="65"/>
        <v>7611.3306464363241</v>
      </c>
      <c r="AP190" s="201" t="s">
        <v>335</v>
      </c>
      <c r="AQ190" s="201" t="s">
        <v>208</v>
      </c>
      <c r="AR190" s="155" cm="1">
        <f t="array" ref="AR190">_xlfn.IFS($AQ190=$AP$1,$AQ$1*AE190,$AQ190=$AP$2,$AQ$2*AE190,$AQ190=$AP$3,$AQ$3*AE190,$AQ190=$AP$4,$AQ$4*AE190)</f>
        <v>0</v>
      </c>
      <c r="AS190" s="155" cm="1">
        <f t="array" ref="AS190">_xlfn.IFS($AQ190=$AP$1,$AQ$1*AF190,$AQ190=$AP$2,$AQ$2*AF190,$AQ190=$AP$3,$AQ$3*AF190,$AQ190=$AP$4,$AQ$4*AF190)</f>
        <v>0</v>
      </c>
      <c r="AT190" s="155" cm="1">
        <f t="array" ref="AT190">_xlfn.IFS($AQ190=$AP$1,$AQ$1*AG190,$AQ190=$AP$2,$AQ$2*AG190,$AQ190=$AP$3,$AQ$3*AG190,$AQ190=$AP$4,$AQ$4*AG190)</f>
        <v>0</v>
      </c>
      <c r="AU190" s="155" cm="1">
        <f t="array" ref="AU190">_xlfn.IFS($AQ190=$AP$1,$AQ$1*AH190,$AQ190=$AP$2,$AQ$2*AH190,$AQ190=$AP$3,$AQ$3*AH190,$AQ190=$AP$4,$AQ$4*AH190)</f>
        <v>33.084113303900452</v>
      </c>
      <c r="AV190" s="155" cm="1">
        <f t="array" ref="AV190">_xlfn.IFS($AQ190=$AP$1,$AQ$1*AI190,$AQ190=$AP$2,$AQ$2*AI190,$AQ190=$AP$3,$AQ$3*AI190,$AQ190=$AP$4,$AQ$4*AI190)</f>
        <v>134.50596349520836</v>
      </c>
      <c r="AW190" s="155" cm="1">
        <f t="array" ref="AW190">_xlfn.IFS($AQ190=$AP$1,$AQ$1*AJ190,$AQ190=$AP$2,$AQ$2*AJ190,$AQ190=$AP$3,$AQ$3*AJ190,$AQ190=$AP$4,$AQ$4*AJ190)</f>
        <v>392.34758040042567</v>
      </c>
      <c r="AX190" s="155" cm="1">
        <f t="array" ref="AX190">_xlfn.IFS($AQ190=$AP$1,$AQ$1*AK190,$AQ190=$AP$2,$AQ$2*AK190,$AQ190=$AP$3,$AQ$3*AK190,$AQ190=$AP$4,$AQ$4*AK190)</f>
        <v>969.70233265415175</v>
      </c>
      <c r="AY190" s="155" cm="1">
        <f t="array" ref="AY190">_xlfn.IFS($AQ190=$AP$1,$AQ$1*AL190,$AQ190=$AP$2,$AQ$2*AL190,$AQ190=$AP$3,$AQ$3*AL190,$AQ190=$AP$4,$AQ$4*AL190)</f>
        <v>1031.6412450601476</v>
      </c>
      <c r="AZ190" s="155" cm="1">
        <f t="array" ref="AZ190">_xlfn.IFS($AQ190=$AP$1,$AQ$1*AM190,$AQ190=$AP$2,$AQ$2*AM190,$AQ190=$AP$3,$AQ$3*AM190,$AQ190=$AP$4,$AQ$4*AM190)</f>
        <v>1053.3057112064107</v>
      </c>
      <c r="BA190" s="155" cm="1">
        <f t="array" ref="BA190">_xlfn.IFS($AQ190=$AP$1,$AQ$1*AN190,$AQ190=$AP$2,$AQ$2*AN190,$AQ190=$AP$3,$AQ$3*AN190,$AQ190=$AP$4,$AQ$4*AN190)</f>
        <v>1075.4251311417449</v>
      </c>
      <c r="BB190" s="155">
        <f>Table2[[#This Row],[FINAL Project System Capacity (MW)]]</f>
        <v>13</v>
      </c>
      <c r="BC190" s="155" t="str">
        <f>Table2[[#This Row],[FN Parent  '#]]</f>
        <v>FN013957</v>
      </c>
      <c r="BD190" s="155">
        <f t="shared" si="66"/>
        <v>13</v>
      </c>
      <c r="BE190" s="155">
        <f t="shared" si="78"/>
        <v>13</v>
      </c>
      <c r="BF190" s="155">
        <f t="shared" si="67"/>
        <v>0</v>
      </c>
      <c r="BG190" s="155">
        <f t="shared" si="68"/>
        <v>0</v>
      </c>
      <c r="BH190" s="155">
        <f t="shared" si="69"/>
        <v>0</v>
      </c>
      <c r="BI190" s="155">
        <f t="shared" si="70"/>
        <v>2.5449317926077271</v>
      </c>
      <c r="BJ190" s="155">
        <f t="shared" si="71"/>
        <v>10.34661257655449</v>
      </c>
      <c r="BK190" s="155">
        <f t="shared" si="72"/>
        <v>30.180583107725052</v>
      </c>
      <c r="BL190" s="155">
        <f t="shared" si="73"/>
        <v>74.592487127242435</v>
      </c>
      <c r="BM190" s="155">
        <f t="shared" si="74"/>
        <v>79.357018850780591</v>
      </c>
      <c r="BN190" s="155">
        <f t="shared" si="75"/>
        <v>81.023516246646977</v>
      </c>
      <c r="BO190" s="155">
        <f t="shared" si="76"/>
        <v>82.725010087826533</v>
      </c>
      <c r="BP190" s="155">
        <f t="shared" si="77"/>
        <v>29.754089036527034</v>
      </c>
    </row>
    <row r="191" spans="1:68">
      <c r="A191" s="155" t="s">
        <v>335</v>
      </c>
      <c r="B191" s="155" t="s">
        <v>1308</v>
      </c>
      <c r="C191" s="155" t="s">
        <v>208</v>
      </c>
      <c r="D191" s="155">
        <v>13</v>
      </c>
      <c r="E191" s="189">
        <v>0</v>
      </c>
      <c r="F191" s="67">
        <v>0</v>
      </c>
      <c r="G191" s="67">
        <v>0</v>
      </c>
      <c r="H191" s="67">
        <v>0</v>
      </c>
      <c r="I191" s="67">
        <v>0</v>
      </c>
      <c r="J191" s="67">
        <v>26.03</v>
      </c>
      <c r="K191" s="67">
        <v>99.75</v>
      </c>
      <c r="L191" s="67">
        <v>3440.71</v>
      </c>
      <c r="M191" s="67">
        <v>254.41</v>
      </c>
      <c r="N191" s="67">
        <v>0</v>
      </c>
      <c r="O191" s="67">
        <v>0</v>
      </c>
      <c r="Q191" s="202" t="s">
        <v>335</v>
      </c>
      <c r="R191" s="202" t="s">
        <v>1308</v>
      </c>
      <c r="S191" s="202" t="s">
        <v>208</v>
      </c>
      <c r="U191" s="155"/>
      <c r="V191" s="155"/>
      <c r="W191" s="155"/>
      <c r="X191" s="155"/>
      <c r="Y191" s="155"/>
      <c r="Z191" s="155"/>
      <c r="AA191" s="155"/>
      <c r="AB191" s="155"/>
      <c r="AC191" s="155"/>
      <c r="AE191" s="76">
        <f t="shared" si="56"/>
        <v>0</v>
      </c>
      <c r="AF191" s="76">
        <f t="shared" si="57"/>
        <v>0</v>
      </c>
      <c r="AG191" s="76">
        <f t="shared" si="58"/>
        <v>0</v>
      </c>
      <c r="AH191" s="76">
        <f t="shared" si="59"/>
        <v>0</v>
      </c>
      <c r="AI191" s="76">
        <f t="shared" si="60"/>
        <v>0</v>
      </c>
      <c r="AJ191" s="76">
        <f t="shared" si="61"/>
        <v>0</v>
      </c>
      <c r="AK191" s="76">
        <f t="shared" si="62"/>
        <v>0</v>
      </c>
      <c r="AL191" s="76">
        <f t="shared" si="63"/>
        <v>0</v>
      </c>
      <c r="AM191" s="76">
        <f t="shared" si="64"/>
        <v>0</v>
      </c>
      <c r="AN191" s="76">
        <f t="shared" si="65"/>
        <v>0</v>
      </c>
      <c r="AP191" s="202" t="s">
        <v>335</v>
      </c>
      <c r="AQ191" s="202" t="s">
        <v>208</v>
      </c>
      <c r="AR191" s="155" cm="1">
        <f t="array" ref="AR191">_xlfn.IFS($AQ191=$AP$1,$AQ$1*AE191,$AQ191=$AP$2,$AQ$2*AE191,$AQ191=$AP$3,$AQ$3*AE191,$AQ191=$AP$4,$AQ$4*AE191)</f>
        <v>0</v>
      </c>
      <c r="AS191" s="155" cm="1">
        <f t="array" ref="AS191">_xlfn.IFS($AQ191=$AP$1,$AQ$1*AF191,$AQ191=$AP$2,$AQ$2*AF191,$AQ191=$AP$3,$AQ$3*AF191,$AQ191=$AP$4,$AQ$4*AF191)</f>
        <v>0</v>
      </c>
      <c r="AT191" s="155" cm="1">
        <f t="array" ref="AT191">_xlfn.IFS($AQ191=$AP$1,$AQ$1*AG191,$AQ191=$AP$2,$AQ$2*AG191,$AQ191=$AP$3,$AQ$3*AG191,$AQ191=$AP$4,$AQ$4*AG191)</f>
        <v>0</v>
      </c>
      <c r="AU191" s="155" cm="1">
        <f t="array" ref="AU191">_xlfn.IFS($AQ191=$AP$1,$AQ$1*AH191,$AQ191=$AP$2,$AQ$2*AH191,$AQ191=$AP$3,$AQ$3*AH191,$AQ191=$AP$4,$AQ$4*AH191)</f>
        <v>0</v>
      </c>
      <c r="AV191" s="155" cm="1">
        <f t="array" ref="AV191">_xlfn.IFS($AQ191=$AP$1,$AQ$1*AI191,$AQ191=$AP$2,$AQ$2*AI191,$AQ191=$AP$3,$AQ$3*AI191,$AQ191=$AP$4,$AQ$4*AI191)</f>
        <v>0</v>
      </c>
      <c r="AW191" s="155" cm="1">
        <f t="array" ref="AW191">_xlfn.IFS($AQ191=$AP$1,$AQ$1*AJ191,$AQ191=$AP$2,$AQ$2*AJ191,$AQ191=$AP$3,$AQ$3*AJ191,$AQ191=$AP$4,$AQ$4*AJ191)</f>
        <v>0</v>
      </c>
      <c r="AX191" s="155" cm="1">
        <f t="array" ref="AX191">_xlfn.IFS($AQ191=$AP$1,$AQ$1*AK191,$AQ191=$AP$2,$AQ$2*AK191,$AQ191=$AP$3,$AQ$3*AK191,$AQ191=$AP$4,$AQ$4*AK191)</f>
        <v>0</v>
      </c>
      <c r="AY191" s="155" cm="1">
        <f t="array" ref="AY191">_xlfn.IFS($AQ191=$AP$1,$AQ$1*AL191,$AQ191=$AP$2,$AQ$2*AL191,$AQ191=$AP$3,$AQ$3*AL191,$AQ191=$AP$4,$AQ$4*AL191)</f>
        <v>0</v>
      </c>
      <c r="AZ191" s="155" cm="1">
        <f t="array" ref="AZ191">_xlfn.IFS($AQ191=$AP$1,$AQ$1*AM191,$AQ191=$AP$2,$AQ$2*AM191,$AQ191=$AP$3,$AQ$3*AM191,$AQ191=$AP$4,$AQ$4*AM191)</f>
        <v>0</v>
      </c>
      <c r="BA191" s="155" cm="1">
        <f t="array" ref="BA191">_xlfn.IFS($AQ191=$AP$1,$AQ$1*AN191,$AQ191=$AP$2,$AQ$2*AN191,$AQ191=$AP$3,$AQ$3*AN191,$AQ191=$AP$4,$AQ$4*AN191)</f>
        <v>0</v>
      </c>
      <c r="BB191" s="155"/>
      <c r="BC191" s="155" t="str">
        <f>Table2[[#This Row],[FN Parent  '#]]</f>
        <v>FN013957</v>
      </c>
      <c r="BD191" s="155">
        <f t="shared" si="66"/>
        <v>0</v>
      </c>
      <c r="BF191" s="155" t="str">
        <f t="shared" si="67"/>
        <v/>
      </c>
      <c r="BG191" s="155" t="str">
        <f t="shared" si="68"/>
        <v/>
      </c>
      <c r="BH191" s="155" t="str">
        <f t="shared" si="69"/>
        <v/>
      </c>
      <c r="BI191" s="155" t="str">
        <f t="shared" si="70"/>
        <v/>
      </c>
      <c r="BJ191" s="155" t="str">
        <f t="shared" si="71"/>
        <v/>
      </c>
      <c r="BK191" s="155" t="str">
        <f t="shared" si="72"/>
        <v/>
      </c>
      <c r="BL191" s="155" t="str">
        <f t="shared" si="73"/>
        <v/>
      </c>
      <c r="BM191" s="155" t="str">
        <f t="shared" si="74"/>
        <v/>
      </c>
      <c r="BN191" s="155" t="str">
        <f t="shared" si="75"/>
        <v/>
      </c>
      <c r="BO191" s="155" t="str">
        <f t="shared" si="76"/>
        <v/>
      </c>
      <c r="BP191" s="155">
        <f t="shared" si="77"/>
        <v>0</v>
      </c>
    </row>
    <row r="192" spans="1:68">
      <c r="A192" s="155" t="s">
        <v>335</v>
      </c>
      <c r="B192" s="155" t="s">
        <v>1308</v>
      </c>
      <c r="C192" s="155" t="s">
        <v>207</v>
      </c>
      <c r="D192" s="155">
        <v>13</v>
      </c>
      <c r="E192" s="189">
        <v>0</v>
      </c>
      <c r="F192" s="67">
        <v>0</v>
      </c>
      <c r="G192" s="67">
        <v>0</v>
      </c>
      <c r="H192" s="67">
        <v>20</v>
      </c>
      <c r="I192" s="67">
        <v>1150.298</v>
      </c>
      <c r="J192" s="67">
        <v>0</v>
      </c>
      <c r="K192" s="67">
        <v>0</v>
      </c>
      <c r="L192" s="67">
        <v>0</v>
      </c>
      <c r="M192" s="67">
        <v>0</v>
      </c>
      <c r="N192" s="67">
        <v>0</v>
      </c>
      <c r="O192" s="67">
        <v>0</v>
      </c>
      <c r="Q192" s="201" t="s">
        <v>335</v>
      </c>
      <c r="R192" s="201" t="s">
        <v>1308</v>
      </c>
      <c r="S192" s="201" t="s">
        <v>207</v>
      </c>
      <c r="T192" s="76">
        <f>SUM($E192:F192)</f>
        <v>0</v>
      </c>
      <c r="U192" s="76">
        <f>SUM($E192:G192)</f>
        <v>0</v>
      </c>
      <c r="V192" s="76">
        <f>SUM($E192:H192)</f>
        <v>20</v>
      </c>
      <c r="W192" s="76">
        <f>SUM($E192:I192)</f>
        <v>1170.298</v>
      </c>
      <c r="X192" s="76">
        <f>SUM($E192:J192)</f>
        <v>1170.298</v>
      </c>
      <c r="Y192" s="76">
        <f>SUM($E192:K192)</f>
        <v>1170.298</v>
      </c>
      <c r="Z192" s="76">
        <f>SUM($E192:L192)</f>
        <v>1170.298</v>
      </c>
      <c r="AA192" s="76">
        <f>SUM($E192:M192)</f>
        <v>1170.298</v>
      </c>
      <c r="AB192" s="76">
        <f>SUM($E192:N192)</f>
        <v>1170.298</v>
      </c>
      <c r="AC192" s="76">
        <f>SUM($E192:O192)</f>
        <v>1170.298</v>
      </c>
      <c r="AE192" s="76">
        <f t="shared" si="56"/>
        <v>0</v>
      </c>
      <c r="AF192" s="76">
        <f t="shared" si="57"/>
        <v>0</v>
      </c>
      <c r="AG192" s="76">
        <f t="shared" si="58"/>
        <v>20.848819999999996</v>
      </c>
      <c r="AH192" s="76">
        <f t="shared" si="59"/>
        <v>1245.5859163837777</v>
      </c>
      <c r="AI192" s="76">
        <f t="shared" si="60"/>
        <v>1271.7432206278368</v>
      </c>
      <c r="AJ192" s="76">
        <f t="shared" si="61"/>
        <v>1298.4498282610211</v>
      </c>
      <c r="AK192" s="76">
        <f t="shared" si="62"/>
        <v>1325.7172746545025</v>
      </c>
      <c r="AL192" s="76">
        <f t="shared" si="63"/>
        <v>1353.5573374222467</v>
      </c>
      <c r="AM192" s="76">
        <f t="shared" si="64"/>
        <v>1381.9820415081138</v>
      </c>
      <c r="AN192" s="76">
        <f t="shared" si="65"/>
        <v>1411.0036643797839</v>
      </c>
      <c r="AP192" s="201" t="s">
        <v>335</v>
      </c>
      <c r="AQ192" s="201" t="s">
        <v>207</v>
      </c>
      <c r="AR192" s="155" cm="1">
        <f t="array" ref="AR192">_xlfn.IFS($AQ192=$AP$1,$AQ$1*AE192,$AQ192=$AP$2,$AQ$2*AE192,$AQ192=$AP$3,$AQ$3*AE192,$AQ192=$AP$4,$AQ$4*AE192)</f>
        <v>0</v>
      </c>
      <c r="AS192" s="155" cm="1">
        <f t="array" ref="AS192">_xlfn.IFS($AQ192=$AP$1,$AQ$1*AF192,$AQ192=$AP$2,$AQ$2*AF192,$AQ192=$AP$3,$AQ$3*AF192,$AQ192=$AP$4,$AQ$4*AF192)</f>
        <v>0</v>
      </c>
      <c r="AT192" s="155" cm="1">
        <f t="array" ref="AT192">_xlfn.IFS($AQ192=$AP$1,$AQ$1*AG192,$AQ192=$AP$2,$AQ$2*AG192,$AQ192=$AP$3,$AQ$3*AG192,$AQ192=$AP$4,$AQ$4*AG192)</f>
        <v>1.6802499334753946</v>
      </c>
      <c r="AU192" s="155" cm="1">
        <f t="array" ref="AU192">_xlfn.IFS($AQ192=$AP$1,$AQ$1*AH192,$AQ192=$AP$2,$AQ$2*AH192,$AQ192=$AP$3,$AQ$3*AH192,$AQ192=$AP$4,$AQ$4*AH192)</f>
        <v>100.38436962579807</v>
      </c>
      <c r="AV192" s="155" cm="1">
        <f t="array" ref="AV192">_xlfn.IFS($AQ192=$AP$1,$AQ$1*AI192,$AQ192=$AP$2,$AQ$2*AI192,$AQ192=$AP$3,$AQ$3*AI192,$AQ192=$AP$4,$AQ$4*AI192)</f>
        <v>102.49244138793981</v>
      </c>
      <c r="AW192" s="155" cm="1">
        <f t="array" ref="AW192">_xlfn.IFS($AQ192=$AP$1,$AQ$1*AJ192,$AQ192=$AP$2,$AQ$2*AJ192,$AQ192=$AP$3,$AQ$3*AJ192,$AQ192=$AP$4,$AQ$4*AJ192)</f>
        <v>104.64478265708654</v>
      </c>
      <c r="AX192" s="155" cm="1">
        <f t="array" ref="AX192">_xlfn.IFS($AQ192=$AP$1,$AQ$1*AK192,$AQ192=$AP$2,$AQ$2*AK192,$AQ192=$AP$3,$AQ$3*AK192,$AQ192=$AP$4,$AQ$4*AK192)</f>
        <v>106.84232309288534</v>
      </c>
      <c r="AY192" s="155" cm="1">
        <f t="array" ref="AY192">_xlfn.IFS($AQ192=$AP$1,$AQ$1*AL192,$AQ192=$AP$2,$AQ$2*AL192,$AQ192=$AP$3,$AQ$3*AL192,$AQ192=$AP$4,$AQ$4*AL192)</f>
        <v>109.08601187783592</v>
      </c>
      <c r="AZ192" s="155" cm="1">
        <f t="array" ref="AZ192">_xlfn.IFS($AQ192=$AP$1,$AQ$1*AM192,$AQ192=$AP$2,$AQ$2*AM192,$AQ192=$AP$3,$AQ$3*AM192,$AQ192=$AP$4,$AQ$4*AM192)</f>
        <v>111.37681812727045</v>
      </c>
      <c r="BA192" s="155" cm="1">
        <f t="array" ref="BA192">_xlfn.IFS($AQ192=$AP$1,$AQ$1*AN192,$AQ192=$AP$2,$AQ$2*AN192,$AQ192=$AP$3,$AQ$3*AN192,$AQ192=$AP$4,$AQ$4*AN192)</f>
        <v>113.71573130794312</v>
      </c>
      <c r="BB192" s="155">
        <f>Table2[[#This Row],[FINAL Project System Capacity (MW)]]</f>
        <v>13</v>
      </c>
      <c r="BC192" s="155" t="str">
        <f>Table2[[#This Row],[FN Parent  '#]]</f>
        <v>FN013957</v>
      </c>
      <c r="BD192" s="155">
        <f t="shared" si="66"/>
        <v>13</v>
      </c>
      <c r="BF192" s="155">
        <f t="shared" si="67"/>
        <v>0</v>
      </c>
      <c r="BG192" s="155">
        <f t="shared" si="68"/>
        <v>0</v>
      </c>
      <c r="BH192" s="155">
        <f t="shared" si="69"/>
        <v>0.12924999488272265</v>
      </c>
      <c r="BI192" s="155">
        <f t="shared" si="70"/>
        <v>7.7218745865998519</v>
      </c>
      <c r="BJ192" s="155">
        <f t="shared" si="71"/>
        <v>7.8840339529184469</v>
      </c>
      <c r="BK192" s="155">
        <f t="shared" si="72"/>
        <v>8.0495986659297341</v>
      </c>
      <c r="BL192" s="155">
        <f t="shared" si="73"/>
        <v>8.218640237914256</v>
      </c>
      <c r="BM192" s="155">
        <f t="shared" si="74"/>
        <v>8.3912316829104547</v>
      </c>
      <c r="BN192" s="155">
        <f t="shared" si="75"/>
        <v>8.5674475482515735</v>
      </c>
      <c r="BO192" s="155">
        <f t="shared" si="76"/>
        <v>8.747363946764855</v>
      </c>
      <c r="BP192" s="155">
        <f t="shared" si="77"/>
        <v>5.1500285874716019</v>
      </c>
    </row>
    <row r="193" spans="1:68">
      <c r="A193" s="155" t="s">
        <v>317</v>
      </c>
      <c r="B193" s="155" t="s">
        <v>1232</v>
      </c>
      <c r="C193" s="155" t="s">
        <v>207</v>
      </c>
      <c r="D193" s="155">
        <v>0.5</v>
      </c>
      <c r="E193" s="189">
        <v>109.75444</v>
      </c>
      <c r="F193" s="67">
        <v>179.92389</v>
      </c>
      <c r="G193" s="67">
        <v>0</v>
      </c>
      <c r="H193" s="67">
        <v>0</v>
      </c>
      <c r="I193" s="67">
        <v>0</v>
      </c>
      <c r="J193" s="67">
        <v>0</v>
      </c>
      <c r="K193" s="67">
        <v>0</v>
      </c>
      <c r="L193" s="67">
        <v>0</v>
      </c>
      <c r="M193" s="67">
        <v>0</v>
      </c>
      <c r="N193" s="67">
        <v>0</v>
      </c>
      <c r="O193" s="67">
        <v>0</v>
      </c>
      <c r="Q193" s="202" t="s">
        <v>317</v>
      </c>
      <c r="R193" s="202" t="s">
        <v>1232</v>
      </c>
      <c r="S193" s="202" t="s">
        <v>207</v>
      </c>
      <c r="T193" s="76">
        <f>SUM($E193:F193)</f>
        <v>289.67833000000002</v>
      </c>
      <c r="U193" s="76">
        <f>SUM($E193:G193)</f>
        <v>289.67833000000002</v>
      </c>
      <c r="V193" s="76">
        <f>SUM($E193:H193)</f>
        <v>289.67833000000002</v>
      </c>
      <c r="W193" s="76">
        <f>SUM($E193:I193)</f>
        <v>289.67833000000002</v>
      </c>
      <c r="X193" s="76">
        <f>SUM($E193:J193)</f>
        <v>289.67833000000002</v>
      </c>
      <c r="Y193" s="76">
        <f>SUM($E193:K193)</f>
        <v>289.67833000000002</v>
      </c>
      <c r="Z193" s="76">
        <f>SUM($E193:L193)</f>
        <v>289.67833000000002</v>
      </c>
      <c r="AA193" s="76">
        <f>SUM($E193:M193)</f>
        <v>289.67833000000002</v>
      </c>
      <c r="AB193" s="76">
        <f>SUM($E193:N193)</f>
        <v>289.67833000000002</v>
      </c>
      <c r="AC193" s="76">
        <f>SUM($E193:O193)</f>
        <v>289.67833000000002</v>
      </c>
      <c r="AE193" s="76">
        <f t="shared" si="56"/>
        <v>289.67833000000002</v>
      </c>
      <c r="AF193" s="76">
        <f t="shared" si="57"/>
        <v>295.76157492999999</v>
      </c>
      <c r="AG193" s="76">
        <f t="shared" si="58"/>
        <v>301.97256800352994</v>
      </c>
      <c r="AH193" s="76">
        <f t="shared" si="59"/>
        <v>308.31399193160405</v>
      </c>
      <c r="AI193" s="76">
        <f t="shared" si="60"/>
        <v>314.78858576216766</v>
      </c>
      <c r="AJ193" s="76">
        <f t="shared" si="61"/>
        <v>321.39914606317313</v>
      </c>
      <c r="AK193" s="76">
        <f t="shared" si="62"/>
        <v>328.14852813049976</v>
      </c>
      <c r="AL193" s="76">
        <f t="shared" si="63"/>
        <v>335.03964722124022</v>
      </c>
      <c r="AM193" s="76">
        <f t="shared" si="64"/>
        <v>342.07547981288621</v>
      </c>
      <c r="AN193" s="76">
        <f t="shared" si="65"/>
        <v>349.25906488895674</v>
      </c>
      <c r="AP193" s="202" t="s">
        <v>317</v>
      </c>
      <c r="AQ193" s="202" t="s">
        <v>207</v>
      </c>
      <c r="AR193" s="155" cm="1">
        <f t="array" ref="AR193">_xlfn.IFS($AQ193=$AP$1,$AQ$1*AE193,$AQ193=$AP$2,$AQ$2*AE193,$AQ193=$AP$3,$AQ$3*AE193,$AQ193=$AP$4,$AQ$4*AE193)</f>
        <v>23.345781426083757</v>
      </c>
      <c r="AS193" s="155" cm="1">
        <f t="array" ref="AS193">_xlfn.IFS($AQ193=$AP$1,$AQ$1*AF193,$AQ193=$AP$2,$AQ$2*AF193,$AQ193=$AP$3,$AQ$3*AF193,$AQ193=$AP$4,$AQ$4*AF193)</f>
        <v>23.836042836031513</v>
      </c>
      <c r="AT193" s="155" cm="1">
        <f t="array" ref="AT193">_xlfn.IFS($AQ193=$AP$1,$AQ$1*AG193,$AQ193=$AP$2,$AQ$2*AG193,$AQ193=$AP$3,$AQ$3*AG193,$AQ193=$AP$4,$AQ$4*AG193)</f>
        <v>24.33659973558817</v>
      </c>
      <c r="AU193" s="155" cm="1">
        <f t="array" ref="AU193">_xlfn.IFS($AQ193=$AP$1,$AQ$1*AH193,$AQ193=$AP$2,$AQ$2*AH193,$AQ193=$AP$3,$AQ$3*AH193,$AQ193=$AP$4,$AQ$4*AH193)</f>
        <v>24.847668330035521</v>
      </c>
      <c r="AV193" s="155" cm="1">
        <f t="array" ref="AV193">_xlfn.IFS($AQ193=$AP$1,$AQ$1*AI193,$AQ193=$AP$2,$AQ$2*AI193,$AQ193=$AP$3,$AQ$3*AI193,$AQ193=$AP$4,$AQ$4*AI193)</f>
        <v>25.36946936496626</v>
      </c>
      <c r="AW193" s="155" cm="1">
        <f t="array" ref="AW193">_xlfn.IFS($AQ193=$AP$1,$AQ$1*AJ193,$AQ193=$AP$2,$AQ$2*AJ193,$AQ193=$AP$3,$AQ$3*AJ193,$AQ193=$AP$4,$AQ$4*AJ193)</f>
        <v>25.902228221630548</v>
      </c>
      <c r="AX193" s="155" cm="1">
        <f t="array" ref="AX193">_xlfn.IFS($AQ193=$AP$1,$AQ$1*AK193,$AQ193=$AP$2,$AQ$2*AK193,$AQ193=$AP$3,$AQ$3*AK193,$AQ193=$AP$4,$AQ$4*AK193)</f>
        <v>26.44617501428479</v>
      </c>
      <c r="AY193" s="155" cm="1">
        <f t="array" ref="AY193">_xlfn.IFS($AQ193=$AP$1,$AQ$1*AL193,$AQ193=$AP$2,$AQ$2*AL193,$AQ193=$AP$3,$AQ$3*AL193,$AQ193=$AP$4,$AQ$4*AL193)</f>
        <v>27.001544689584765</v>
      </c>
      <c r="AZ193" s="155" cm="1">
        <f t="array" ref="AZ193">_xlfn.IFS($AQ193=$AP$1,$AQ$1*AM193,$AQ193=$AP$2,$AQ$2*AM193,$AQ193=$AP$3,$AQ$3*AM193,$AQ193=$AP$4,$AQ$4*AM193)</f>
        <v>27.568577128066043</v>
      </c>
      <c r="BA193" s="155" cm="1">
        <f t="array" ref="BA193">_xlfn.IFS($AQ193=$AP$1,$AQ$1*AN193,$AQ193=$AP$2,$AQ$2*AN193,$AQ193=$AP$3,$AQ$3*AN193,$AQ193=$AP$4,$AQ$4*AN193)</f>
        <v>28.147517247755424</v>
      </c>
      <c r="BB193" s="155">
        <f>Table2[[#This Row],[FINAL Project System Capacity (MW)]]</f>
        <v>0.5</v>
      </c>
      <c r="BC193" s="155" t="str">
        <f>Table2[[#This Row],[FN Parent  '#]]</f>
        <v>FN011942</v>
      </c>
      <c r="BD193" s="155">
        <f t="shared" si="66"/>
        <v>0.5</v>
      </c>
      <c r="BE193" s="155">
        <f t="shared" si="78"/>
        <v>0.5</v>
      </c>
      <c r="BF193" s="155">
        <f t="shared" si="67"/>
        <v>46.691562852167515</v>
      </c>
      <c r="BG193" s="155">
        <f t="shared" si="68"/>
        <v>47.672085672063027</v>
      </c>
      <c r="BH193" s="155">
        <f t="shared" si="69"/>
        <v>48.673199471176339</v>
      </c>
      <c r="BI193" s="155">
        <f t="shared" si="70"/>
        <v>49.695336660071042</v>
      </c>
      <c r="BJ193" s="155">
        <f t="shared" si="71"/>
        <v>50.738938729932521</v>
      </c>
      <c r="BK193" s="155">
        <f t="shared" si="72"/>
        <v>51.804456443261095</v>
      </c>
      <c r="BL193" s="155">
        <f t="shared" si="73"/>
        <v>52.892350028569581</v>
      </c>
      <c r="BM193" s="155">
        <f t="shared" si="74"/>
        <v>54.003089379169531</v>
      </c>
      <c r="BN193" s="155">
        <f t="shared" si="75"/>
        <v>55.137154256132085</v>
      </c>
      <c r="BO193" s="155">
        <f t="shared" si="76"/>
        <v>56.295034495510848</v>
      </c>
      <c r="BP193" s="155">
        <f t="shared" si="77"/>
        <v>50.781222709559053</v>
      </c>
    </row>
    <row r="194" spans="1:68">
      <c r="A194" s="155" t="s">
        <v>318</v>
      </c>
      <c r="B194" s="155" t="s">
        <v>1345</v>
      </c>
      <c r="C194" s="155" t="s">
        <v>208</v>
      </c>
      <c r="D194" s="155">
        <v>5</v>
      </c>
      <c r="E194" s="189">
        <v>517.56016</v>
      </c>
      <c r="F194" s="67">
        <v>0</v>
      </c>
      <c r="G194" s="67">
        <v>0</v>
      </c>
      <c r="H194" s="67">
        <v>0</v>
      </c>
      <c r="I194" s="67">
        <v>15</v>
      </c>
      <c r="J194" s="67">
        <v>15</v>
      </c>
      <c r="K194" s="67">
        <v>5635</v>
      </c>
      <c r="L194" s="67">
        <v>3600.4100699999999</v>
      </c>
      <c r="M194" s="67">
        <v>3000.4599600000001</v>
      </c>
      <c r="N194" s="67">
        <v>0</v>
      </c>
      <c r="O194" s="67">
        <v>0</v>
      </c>
      <c r="Q194" s="201" t="s">
        <v>318</v>
      </c>
      <c r="R194" s="201" t="s">
        <v>1345</v>
      </c>
      <c r="S194" s="201" t="s">
        <v>208</v>
      </c>
      <c r="T194" s="76">
        <f>SUM($E194:F194)</f>
        <v>517.56016</v>
      </c>
      <c r="U194" s="76">
        <f>SUM($E194:G194)</f>
        <v>517.56016</v>
      </c>
      <c r="V194" s="76">
        <f>SUM($E194:H194)</f>
        <v>517.56016</v>
      </c>
      <c r="W194" s="76">
        <f>SUM($E194:I194)</f>
        <v>532.56016</v>
      </c>
      <c r="X194" s="76">
        <f>SUM($E194:J194)</f>
        <v>547.56016</v>
      </c>
      <c r="Y194" s="76">
        <f>SUM($E194:K194)</f>
        <v>6182.56016</v>
      </c>
      <c r="Z194" s="76">
        <f>SUM($E194:L194)</f>
        <v>9782.970229999999</v>
      </c>
      <c r="AA194" s="76">
        <f>SUM($E194:M194)</f>
        <v>12783.430189999999</v>
      </c>
      <c r="AB194" s="76">
        <f>SUM($E194:N194)</f>
        <v>12783.430189999999</v>
      </c>
      <c r="AC194" s="76">
        <f>SUM($E194:O194)</f>
        <v>12783.430189999999</v>
      </c>
      <c r="AE194" s="76">
        <f t="shared" si="56"/>
        <v>517.56016</v>
      </c>
      <c r="AF194" s="76">
        <f t="shared" si="57"/>
        <v>528.42892336</v>
      </c>
      <c r="AG194" s="76">
        <f t="shared" si="58"/>
        <v>539.52593075055984</v>
      </c>
      <c r="AH194" s="76">
        <f t="shared" si="59"/>
        <v>566.82095921132156</v>
      </c>
      <c r="AI194" s="76">
        <f t="shared" si="60"/>
        <v>595.02444793197424</v>
      </c>
      <c r="AJ194" s="76">
        <f t="shared" si="61"/>
        <v>6859.5726712046262</v>
      </c>
      <c r="AK194" s="76">
        <f t="shared" si="62"/>
        <v>11082.17960839182</v>
      </c>
      <c r="AL194" s="76">
        <f t="shared" si="63"/>
        <v>14785.213450847192</v>
      </c>
      <c r="AM194" s="76">
        <f t="shared" si="64"/>
        <v>15095.70293331498</v>
      </c>
      <c r="AN194" s="76">
        <f t="shared" si="65"/>
        <v>15412.712694914591</v>
      </c>
      <c r="AP194" s="201" t="s">
        <v>318</v>
      </c>
      <c r="AQ194" s="201" t="s">
        <v>208</v>
      </c>
      <c r="AR194" s="155" cm="1">
        <f t="array" ref="AR194">_xlfn.IFS($AQ194=$AP$1,$AQ$1*AE194,$AQ194=$AP$2,$AQ$2*AE194,$AQ194=$AP$3,$AQ$3*AE194,$AQ194=$AP$4,$AQ$4*AE194)</f>
        <v>73.127450218227622</v>
      </c>
      <c r="AS194" s="155" cm="1">
        <f t="array" ref="AS194">_xlfn.IFS($AQ194=$AP$1,$AQ$1*AF194,$AQ194=$AP$2,$AQ$2*AF194,$AQ194=$AP$3,$AQ$3*AF194,$AQ194=$AP$4,$AQ$4*AF194)</f>
        <v>74.663126672810392</v>
      </c>
      <c r="AT194" s="155" cm="1">
        <f t="array" ref="AT194">_xlfn.IFS($AQ194=$AP$1,$AQ$1*AG194,$AQ194=$AP$2,$AQ$2*AG194,$AQ194=$AP$3,$AQ$3*AG194,$AQ194=$AP$4,$AQ$4*AG194)</f>
        <v>76.231052332939399</v>
      </c>
      <c r="AU194" s="155" cm="1">
        <f t="array" ref="AU194">_xlfn.IFS($AQ194=$AP$1,$AQ$1*AH194,$AQ194=$AP$2,$AQ$2*AH194,$AQ194=$AP$3,$AQ$3*AH194,$AQ194=$AP$4,$AQ$4*AH194)</f>
        <v>80.087639429924323</v>
      </c>
      <c r="AV194" s="155" cm="1">
        <f t="array" ref="AV194">_xlfn.IFS($AQ194=$AP$1,$AQ$1*AI194,$AQ194=$AP$2,$AQ$2*AI194,$AQ194=$AP$3,$AQ$3*AI194,$AQ194=$AP$4,$AQ$4*AI194)</f>
        <v>84.072585290903803</v>
      </c>
      <c r="AW194" s="155" cm="1">
        <f t="array" ref="AW194">_xlfn.IFS($AQ194=$AP$1,$AQ$1*AJ194,$AQ194=$AP$2,$AQ$2*AJ194,$AQ194=$AP$3,$AQ$3*AJ194,$AQ194=$AP$4,$AQ$4*AJ194)</f>
        <v>969.20724932118219</v>
      </c>
      <c r="AX194" s="155" cm="1">
        <f t="array" ref="AX194">_xlfn.IFS($AQ194=$AP$1,$AQ$1*AK194,$AQ194=$AP$2,$AQ$2*AK194,$AQ194=$AP$3,$AQ$3*AK194,$AQ194=$AP$4,$AQ$4*AK194)</f>
        <v>1565.8306033874981</v>
      </c>
      <c r="AY194" s="155" cm="1">
        <f t="array" ref="AY194">_xlfn.IFS($AQ194=$AP$1,$AQ$1*AL194,$AQ194=$AP$2,$AQ$2*AL194,$AQ194=$AP$3,$AQ$3*AL194,$AQ194=$AP$4,$AQ$4*AL194)</f>
        <v>2089.0420943387476</v>
      </c>
      <c r="AZ194" s="155" cm="1">
        <f t="array" ref="AZ194">_xlfn.IFS($AQ194=$AP$1,$AQ$1*AM194,$AQ194=$AP$2,$AQ$2*AM194,$AQ194=$AP$3,$AQ$3*AM194,$AQ194=$AP$4,$AQ$4*AM194)</f>
        <v>2132.9119783198612</v>
      </c>
      <c r="BA194" s="155" cm="1">
        <f t="array" ref="BA194">_xlfn.IFS($AQ194=$AP$1,$AQ$1*AN194,$AQ194=$AP$2,$AQ$2*AN194,$AQ194=$AP$3,$AQ$3*AN194,$AQ194=$AP$4,$AQ$4*AN194)</f>
        <v>2177.7031298645775</v>
      </c>
      <c r="BB194" s="155">
        <f>Table2[[#This Row],[FINAL Project System Capacity (MW)]]</f>
        <v>5</v>
      </c>
      <c r="BC194" s="155" t="str">
        <f>Table2[[#This Row],[FN Parent  '#]]</f>
        <v>Individual Project</v>
      </c>
      <c r="BD194" s="155">
        <f t="shared" si="66"/>
        <v>5</v>
      </c>
      <c r="BE194" s="155">
        <f t="shared" si="78"/>
        <v>5</v>
      </c>
      <c r="BF194" s="155">
        <f t="shared" si="67"/>
        <v>14.625490043645524</v>
      </c>
      <c r="BG194" s="155">
        <f t="shared" si="68"/>
        <v>14.932625334562079</v>
      </c>
      <c r="BH194" s="155">
        <f t="shared" si="69"/>
        <v>15.246210466587879</v>
      </c>
      <c r="BI194" s="155">
        <f t="shared" si="70"/>
        <v>16.017527885984865</v>
      </c>
      <c r="BJ194" s="155">
        <f t="shared" si="71"/>
        <v>16.814517058180762</v>
      </c>
      <c r="BK194" s="155">
        <f t="shared" si="72"/>
        <v>193.84144986423644</v>
      </c>
      <c r="BL194" s="155">
        <f t="shared" si="73"/>
        <v>313.16612067749963</v>
      </c>
      <c r="BM194" s="155">
        <f t="shared" si="74"/>
        <v>417.80841886774954</v>
      </c>
      <c r="BN194" s="155">
        <f t="shared" si="75"/>
        <v>426.58239566397225</v>
      </c>
      <c r="BO194" s="155">
        <f t="shared" si="76"/>
        <v>435.54062597291551</v>
      </c>
      <c r="BP194" s="155">
        <f t="shared" si="77"/>
        <v>154.91650289157522</v>
      </c>
    </row>
    <row r="195" spans="1:68">
      <c r="A195" s="155" t="s">
        <v>319</v>
      </c>
      <c r="B195" s="155" t="s">
        <v>1345</v>
      </c>
      <c r="C195" s="155" t="s">
        <v>208</v>
      </c>
      <c r="D195" s="155">
        <v>5</v>
      </c>
      <c r="E195" s="189">
        <v>0</v>
      </c>
      <c r="F195" s="67">
        <v>0</v>
      </c>
      <c r="G195" s="67">
        <v>0</v>
      </c>
      <c r="H195" s="67">
        <v>0</v>
      </c>
      <c r="I195" s="67">
        <v>0</v>
      </c>
      <c r="J195" s="67">
        <v>0</v>
      </c>
      <c r="K195" s="67">
        <v>0</v>
      </c>
      <c r="L195" s="67">
        <v>69.3</v>
      </c>
      <c r="M195" s="67">
        <v>267.3</v>
      </c>
      <c r="N195" s="67">
        <v>306.89999999999998</v>
      </c>
      <c r="O195" s="67">
        <v>0</v>
      </c>
      <c r="Q195" s="202" t="s">
        <v>319</v>
      </c>
      <c r="R195" s="202" t="s">
        <v>1345</v>
      </c>
      <c r="S195" s="202" t="s">
        <v>208</v>
      </c>
      <c r="T195" s="76">
        <f>SUM($E195:F198)</f>
        <v>0</v>
      </c>
      <c r="U195" s="76">
        <f>SUM($E195:G198)</f>
        <v>0</v>
      </c>
      <c r="V195" s="76">
        <f>SUM($E195:H198)</f>
        <v>0</v>
      </c>
      <c r="W195" s="76">
        <f>SUM($E195:I198)</f>
        <v>1380</v>
      </c>
      <c r="X195" s="76">
        <f>SUM($E195:J198)</f>
        <v>6003.5</v>
      </c>
      <c r="Y195" s="76">
        <f>SUM($E195:K198)</f>
        <v>7253.9949999999999</v>
      </c>
      <c r="Z195" s="76">
        <f>SUM($E195:L198)</f>
        <v>7392.5950000000003</v>
      </c>
      <c r="AA195" s="76">
        <f>SUM($E195:M198)</f>
        <v>7927.1949999999997</v>
      </c>
      <c r="AB195" s="76">
        <f>SUM($E195:N198)</f>
        <v>8540.994999999999</v>
      </c>
      <c r="AC195" s="76">
        <f>SUM($E195:O198)</f>
        <v>8540.994999999999</v>
      </c>
      <c r="AE195" s="76">
        <f t="shared" si="56"/>
        <v>0</v>
      </c>
      <c r="AF195" s="76">
        <f t="shared" si="57"/>
        <v>0</v>
      </c>
      <c r="AG195" s="76">
        <f t="shared" si="58"/>
        <v>0</v>
      </c>
      <c r="AH195" s="76">
        <f t="shared" si="59"/>
        <v>1468.7785201799995</v>
      </c>
      <c r="AI195" s="76">
        <f t="shared" si="60"/>
        <v>6523.9028222206798</v>
      </c>
      <c r="AJ195" s="76">
        <f t="shared" si="61"/>
        <v>8048.3334688740006</v>
      </c>
      <c r="AK195" s="76">
        <f t="shared" si="62"/>
        <v>8374.3549899465797</v>
      </c>
      <c r="AL195" s="76">
        <f t="shared" si="63"/>
        <v>9168.530543012932</v>
      </c>
      <c r="AM195" s="76">
        <f t="shared" si="64"/>
        <v>10085.894111252512</v>
      </c>
      <c r="AN195" s="76">
        <f t="shared" si="65"/>
        <v>10297.697887588813</v>
      </c>
      <c r="AP195" s="202" t="s">
        <v>319</v>
      </c>
      <c r="AQ195" s="202" t="s">
        <v>208</v>
      </c>
      <c r="AR195" s="155" cm="1">
        <f t="array" ref="AR195">_xlfn.IFS($AQ195=$AP$1,$AQ$1*AE195,$AQ195=$AP$2,$AQ$2*AE195,$AQ195=$AP$3,$AQ$3*AE195,$AQ195=$AP$4,$AQ$4*AE195)</f>
        <v>0</v>
      </c>
      <c r="AS195" s="155" cm="1">
        <f t="array" ref="AS195">_xlfn.IFS($AQ195=$AP$1,$AQ$1*AF195,$AQ195=$AP$2,$AQ$2*AF195,$AQ195=$AP$3,$AQ$3*AF195,$AQ195=$AP$4,$AQ$4*AF195)</f>
        <v>0</v>
      </c>
      <c r="AT195" s="155" cm="1">
        <f t="array" ref="AT195">_xlfn.IFS($AQ195=$AP$1,$AQ$1*AG195,$AQ195=$AP$2,$AQ$2*AG195,$AQ195=$AP$3,$AQ$3*AG195,$AQ195=$AP$4,$AQ$4*AG195)</f>
        <v>0</v>
      </c>
      <c r="AU195" s="155" cm="1">
        <f t="array" ref="AU195">_xlfn.IFS($AQ195=$AP$1,$AQ$1*AH195,$AQ195=$AP$2,$AQ$2*AH195,$AQ195=$AP$3,$AQ$3*AH195,$AQ195=$AP$4,$AQ$4*AH195)</f>
        <v>207.52761981537554</v>
      </c>
      <c r="AV195" s="155" cm="1">
        <f t="array" ref="AV195">_xlfn.IFS($AQ195=$AP$1,$AQ$1*AI195,$AQ195=$AP$2,$AQ$2*AI195,$AQ195=$AP$3,$AQ$3*AI195,$AQ195=$AP$4,$AQ$4*AI195)</f>
        <v>921.77956444811639</v>
      </c>
      <c r="AW195" s="155" cm="1">
        <f t="array" ref="AW195">_xlfn.IFS($AQ195=$AP$1,$AQ$1*AJ195,$AQ195=$AP$2,$AQ$2*AJ195,$AQ195=$AP$3,$AQ$3*AJ195,$AQ195=$AP$4,$AQ$4*AJ195)</f>
        <v>1137.1704210864659</v>
      </c>
      <c r="AX195" s="155" cm="1">
        <f t="array" ref="AX195">_xlfn.IFS($AQ195=$AP$1,$AQ$1*AK195,$AQ195=$AP$2,$AQ$2*AK195,$AQ195=$AP$3,$AQ$3*AK195,$AQ195=$AP$4,$AQ$4*AK195)</f>
        <v>1183.2348680723117</v>
      </c>
      <c r="AY195" s="155" cm="1">
        <f t="array" ref="AY195">_xlfn.IFS($AQ195=$AP$1,$AQ$1*AL195,$AQ195=$AP$2,$AQ$2*AL195,$AQ195=$AP$3,$AQ$3*AL195,$AQ195=$AP$4,$AQ$4*AL195)</f>
        <v>1295.4460421731023</v>
      </c>
      <c r="AZ195" s="155" cm="1">
        <f t="array" ref="AZ195">_xlfn.IFS($AQ195=$AP$1,$AQ$1*AM195,$AQ195=$AP$2,$AQ$2*AM195,$AQ195=$AP$3,$AQ$3*AM195,$AQ195=$AP$4,$AQ$4*AM195)</f>
        <v>1425.0627782612423</v>
      </c>
      <c r="BA195" s="155" cm="1">
        <f t="array" ref="BA195">_xlfn.IFS($AQ195=$AP$1,$AQ$1*AN195,$AQ195=$AP$2,$AQ$2*AN195,$AQ195=$AP$3,$AQ$3*AN195,$AQ195=$AP$4,$AQ$4*AN195)</f>
        <v>1454.9890966047283</v>
      </c>
      <c r="BB195" s="155">
        <f>Table2[[#This Row],[FINAL Project System Capacity (MW)]]</f>
        <v>5</v>
      </c>
      <c r="BC195" s="155" t="str">
        <f>Table2[[#This Row],[FN Parent  '#]]</f>
        <v>Individual Project</v>
      </c>
      <c r="BD195" s="155">
        <f>BB195+BB196+BB197+BB198</f>
        <v>20</v>
      </c>
      <c r="BE195" s="155">
        <f t="shared" si="78"/>
        <v>20</v>
      </c>
      <c r="BF195" s="155">
        <f t="shared" si="67"/>
        <v>0</v>
      </c>
      <c r="BG195" s="155">
        <f t="shared" si="68"/>
        <v>0</v>
      </c>
      <c r="BH195" s="155">
        <f t="shared" si="69"/>
        <v>0</v>
      </c>
      <c r="BI195" s="155">
        <f t="shared" si="70"/>
        <v>10.376380990768777</v>
      </c>
      <c r="BJ195" s="155">
        <f t="shared" si="71"/>
        <v>46.088978222405821</v>
      </c>
      <c r="BK195" s="155">
        <f t="shared" si="72"/>
        <v>56.858521054323298</v>
      </c>
      <c r="BL195" s="155">
        <f t="shared" si="73"/>
        <v>59.161743403615581</v>
      </c>
      <c r="BM195" s="155">
        <f t="shared" si="74"/>
        <v>64.772302108655111</v>
      </c>
      <c r="BN195" s="155">
        <f t="shared" si="75"/>
        <v>71.253138913062116</v>
      </c>
      <c r="BO195" s="155">
        <f t="shared" si="76"/>
        <v>72.749454830236417</v>
      </c>
      <c r="BP195" s="155">
        <f t="shared" si="77"/>
        <v>32.695033092503778</v>
      </c>
    </row>
    <row r="196" spans="1:68">
      <c r="A196" s="155" t="s">
        <v>319</v>
      </c>
      <c r="B196" s="155" t="s">
        <v>1345</v>
      </c>
      <c r="C196" s="155" t="s">
        <v>208</v>
      </c>
      <c r="D196" s="155">
        <v>5</v>
      </c>
      <c r="E196" s="189">
        <v>0</v>
      </c>
      <c r="F196" s="67">
        <v>0</v>
      </c>
      <c r="G196" s="67">
        <v>0</v>
      </c>
      <c r="H196" s="67">
        <v>0</v>
      </c>
      <c r="I196" s="67">
        <v>990</v>
      </c>
      <c r="J196" s="67">
        <v>2623.5</v>
      </c>
      <c r="K196" s="67">
        <v>0.495</v>
      </c>
      <c r="L196" s="67">
        <v>0</v>
      </c>
      <c r="M196" s="67">
        <v>0</v>
      </c>
      <c r="N196" s="67">
        <v>0</v>
      </c>
      <c r="O196" s="67">
        <v>0</v>
      </c>
      <c r="Q196" s="201" t="s">
        <v>319</v>
      </c>
      <c r="R196" s="201" t="s">
        <v>1345</v>
      </c>
      <c r="S196" s="201" t="s">
        <v>208</v>
      </c>
      <c r="U196" s="155"/>
      <c r="V196" s="155"/>
      <c r="W196" s="155"/>
      <c r="X196" s="155"/>
      <c r="Y196" s="155"/>
      <c r="Z196" s="155"/>
      <c r="AA196" s="155"/>
      <c r="AB196" s="155"/>
      <c r="AC196" s="155"/>
      <c r="AE196" s="76">
        <f t="shared" si="56"/>
        <v>0</v>
      </c>
      <c r="AF196" s="76">
        <f t="shared" si="57"/>
        <v>0</v>
      </c>
      <c r="AG196" s="76">
        <f t="shared" si="58"/>
        <v>0</v>
      </c>
      <c r="AH196" s="76">
        <f t="shared" si="59"/>
        <v>0</v>
      </c>
      <c r="AI196" s="76">
        <f t="shared" si="60"/>
        <v>0</v>
      </c>
      <c r="AJ196" s="76">
        <f t="shared" si="61"/>
        <v>0</v>
      </c>
      <c r="AK196" s="76">
        <f t="shared" si="62"/>
        <v>0</v>
      </c>
      <c r="AL196" s="76">
        <f t="shared" si="63"/>
        <v>0</v>
      </c>
      <c r="AM196" s="76">
        <f t="shared" si="64"/>
        <v>0</v>
      </c>
      <c r="AN196" s="76">
        <f t="shared" si="65"/>
        <v>0</v>
      </c>
      <c r="AP196" s="201" t="s">
        <v>319</v>
      </c>
      <c r="AQ196" s="201" t="s">
        <v>208</v>
      </c>
      <c r="AR196" s="155" cm="1">
        <f t="array" ref="AR196">_xlfn.IFS($AQ196=$AP$1,$AQ$1*AE196,$AQ196=$AP$2,$AQ$2*AE196,$AQ196=$AP$3,$AQ$3*AE196,$AQ196=$AP$4,$AQ$4*AE196)</f>
        <v>0</v>
      </c>
      <c r="AS196" s="155" cm="1">
        <f t="array" ref="AS196">_xlfn.IFS($AQ196=$AP$1,$AQ$1*AF196,$AQ196=$AP$2,$AQ$2*AF196,$AQ196=$AP$3,$AQ$3*AF196,$AQ196=$AP$4,$AQ$4*AF196)</f>
        <v>0</v>
      </c>
      <c r="AT196" s="155" cm="1">
        <f t="array" ref="AT196">_xlfn.IFS($AQ196=$AP$1,$AQ$1*AG196,$AQ196=$AP$2,$AQ$2*AG196,$AQ196=$AP$3,$AQ$3*AG196,$AQ196=$AP$4,$AQ$4*AG196)</f>
        <v>0</v>
      </c>
      <c r="AU196" s="155" cm="1">
        <f t="array" ref="AU196">_xlfn.IFS($AQ196=$AP$1,$AQ$1*AH196,$AQ196=$AP$2,$AQ$2*AH196,$AQ196=$AP$3,$AQ$3*AH196,$AQ196=$AP$4,$AQ$4*AH196)</f>
        <v>0</v>
      </c>
      <c r="AV196" s="155" cm="1">
        <f t="array" ref="AV196">_xlfn.IFS($AQ196=$AP$1,$AQ$1*AI196,$AQ196=$AP$2,$AQ$2*AI196,$AQ196=$AP$3,$AQ$3*AI196,$AQ196=$AP$4,$AQ$4*AI196)</f>
        <v>0</v>
      </c>
      <c r="AW196" s="155" cm="1">
        <f t="array" ref="AW196">_xlfn.IFS($AQ196=$AP$1,$AQ$1*AJ196,$AQ196=$AP$2,$AQ$2*AJ196,$AQ196=$AP$3,$AQ$3*AJ196,$AQ196=$AP$4,$AQ$4*AJ196)</f>
        <v>0</v>
      </c>
      <c r="AX196" s="155" cm="1">
        <f t="array" ref="AX196">_xlfn.IFS($AQ196=$AP$1,$AQ$1*AK196,$AQ196=$AP$2,$AQ$2*AK196,$AQ196=$AP$3,$AQ$3*AK196,$AQ196=$AP$4,$AQ$4*AK196)</f>
        <v>0</v>
      </c>
      <c r="AY196" s="155" cm="1">
        <f t="array" ref="AY196">_xlfn.IFS($AQ196=$AP$1,$AQ$1*AL196,$AQ196=$AP$2,$AQ$2*AL196,$AQ196=$AP$3,$AQ$3*AL196,$AQ196=$AP$4,$AQ$4*AL196)</f>
        <v>0</v>
      </c>
      <c r="AZ196" s="155" cm="1">
        <f t="array" ref="AZ196">_xlfn.IFS($AQ196=$AP$1,$AQ$1*AM196,$AQ196=$AP$2,$AQ$2*AM196,$AQ196=$AP$3,$AQ$3*AM196,$AQ196=$AP$4,$AQ$4*AM196)</f>
        <v>0</v>
      </c>
      <c r="BA196" s="155" cm="1">
        <f t="array" ref="BA196">_xlfn.IFS($AQ196=$AP$1,$AQ$1*AN196,$AQ196=$AP$2,$AQ$2*AN196,$AQ196=$AP$3,$AQ$3*AN196,$AQ196=$AP$4,$AQ$4*AN196)</f>
        <v>0</v>
      </c>
      <c r="BB196" s="155">
        <f>Table2[[#This Row],[FINAL Project System Capacity (MW)]]</f>
        <v>5</v>
      </c>
      <c r="BC196" s="155" t="str">
        <f>Table2[[#This Row],[FN Parent  '#]]</f>
        <v>Individual Project</v>
      </c>
      <c r="BD196" s="155"/>
      <c r="BE196" s="155">
        <f t="shared" si="78"/>
        <v>0</v>
      </c>
      <c r="BF196" s="155" t="str">
        <f t="shared" si="67"/>
        <v/>
      </c>
      <c r="BG196" s="155" t="str">
        <f t="shared" si="68"/>
        <v/>
      </c>
      <c r="BH196" s="155" t="str">
        <f t="shared" si="69"/>
        <v/>
      </c>
      <c r="BI196" s="155" t="str">
        <f t="shared" si="70"/>
        <v/>
      </c>
      <c r="BJ196" s="155" t="str">
        <f t="shared" si="71"/>
        <v/>
      </c>
      <c r="BK196" s="155" t="str">
        <f t="shared" si="72"/>
        <v/>
      </c>
      <c r="BL196" s="155" t="str">
        <f t="shared" si="73"/>
        <v/>
      </c>
      <c r="BM196" s="155" t="str">
        <f t="shared" si="74"/>
        <v/>
      </c>
      <c r="BN196" s="155" t="str">
        <f t="shared" si="75"/>
        <v/>
      </c>
      <c r="BO196" s="155" t="str">
        <f t="shared" si="76"/>
        <v/>
      </c>
      <c r="BP196" s="155">
        <f t="shared" si="77"/>
        <v>0</v>
      </c>
    </row>
    <row r="197" spans="1:68">
      <c r="A197" s="155" t="s">
        <v>319</v>
      </c>
      <c r="B197" s="155" t="s">
        <v>1345</v>
      </c>
      <c r="C197" s="155" t="s">
        <v>208</v>
      </c>
      <c r="D197" s="155">
        <v>5</v>
      </c>
      <c r="E197" s="189">
        <v>0</v>
      </c>
      <c r="F197" s="67">
        <v>0</v>
      </c>
      <c r="G197" s="67">
        <v>0</v>
      </c>
      <c r="H197" s="67">
        <v>0</v>
      </c>
      <c r="I197" s="67">
        <v>390</v>
      </c>
      <c r="J197" s="67">
        <v>2000</v>
      </c>
      <c r="K197" s="67">
        <v>1250</v>
      </c>
      <c r="L197" s="67">
        <v>0</v>
      </c>
      <c r="M197" s="67">
        <v>0</v>
      </c>
      <c r="N197" s="67">
        <v>0</v>
      </c>
      <c r="O197" s="67">
        <v>0</v>
      </c>
      <c r="Q197" s="202" t="s">
        <v>319</v>
      </c>
      <c r="R197" s="202" t="s">
        <v>1345</v>
      </c>
      <c r="S197" s="202" t="s">
        <v>208</v>
      </c>
      <c r="U197" s="155"/>
      <c r="V197" s="155"/>
      <c r="W197" s="155"/>
      <c r="X197" s="155"/>
      <c r="Y197" s="155"/>
      <c r="Z197" s="155"/>
      <c r="AA197" s="155"/>
      <c r="AB197" s="155"/>
      <c r="AC197" s="155"/>
      <c r="AE197" s="76">
        <f t="shared" si="56"/>
        <v>0</v>
      </c>
      <c r="AF197" s="76">
        <f t="shared" si="57"/>
        <v>0</v>
      </c>
      <c r="AG197" s="76">
        <f t="shared" si="58"/>
        <v>0</v>
      </c>
      <c r="AH197" s="76">
        <f t="shared" si="59"/>
        <v>0</v>
      </c>
      <c r="AI197" s="76">
        <f t="shared" si="60"/>
        <v>0</v>
      </c>
      <c r="AJ197" s="76">
        <f t="shared" si="61"/>
        <v>0</v>
      </c>
      <c r="AK197" s="76">
        <f t="shared" si="62"/>
        <v>0</v>
      </c>
      <c r="AL197" s="76">
        <f t="shared" si="63"/>
        <v>0</v>
      </c>
      <c r="AM197" s="76">
        <f t="shared" si="64"/>
        <v>0</v>
      </c>
      <c r="AN197" s="76">
        <f t="shared" si="65"/>
        <v>0</v>
      </c>
      <c r="AP197" s="202" t="s">
        <v>319</v>
      </c>
      <c r="AQ197" s="202" t="s">
        <v>208</v>
      </c>
      <c r="AR197" s="155" cm="1">
        <f t="array" ref="AR197">_xlfn.IFS($AQ197=$AP$1,$AQ$1*AE197,$AQ197=$AP$2,$AQ$2*AE197,$AQ197=$AP$3,$AQ$3*AE197,$AQ197=$AP$4,$AQ$4*AE197)</f>
        <v>0</v>
      </c>
      <c r="AS197" s="155" cm="1">
        <f t="array" ref="AS197">_xlfn.IFS($AQ197=$AP$1,$AQ$1*AF197,$AQ197=$AP$2,$AQ$2*AF197,$AQ197=$AP$3,$AQ$3*AF197,$AQ197=$AP$4,$AQ$4*AF197)</f>
        <v>0</v>
      </c>
      <c r="AT197" s="155" cm="1">
        <f t="array" ref="AT197">_xlfn.IFS($AQ197=$AP$1,$AQ$1*AG197,$AQ197=$AP$2,$AQ$2*AG197,$AQ197=$AP$3,$AQ$3*AG197,$AQ197=$AP$4,$AQ$4*AG197)</f>
        <v>0</v>
      </c>
      <c r="AU197" s="155" cm="1">
        <f t="array" ref="AU197">_xlfn.IFS($AQ197=$AP$1,$AQ$1*AH197,$AQ197=$AP$2,$AQ$2*AH197,$AQ197=$AP$3,$AQ$3*AH197,$AQ197=$AP$4,$AQ$4*AH197)</f>
        <v>0</v>
      </c>
      <c r="AV197" s="155" cm="1">
        <f t="array" ref="AV197">_xlfn.IFS($AQ197=$AP$1,$AQ$1*AI197,$AQ197=$AP$2,$AQ$2*AI197,$AQ197=$AP$3,$AQ$3*AI197,$AQ197=$AP$4,$AQ$4*AI197)</f>
        <v>0</v>
      </c>
      <c r="AW197" s="155" cm="1">
        <f t="array" ref="AW197">_xlfn.IFS($AQ197=$AP$1,$AQ$1*AJ197,$AQ197=$AP$2,$AQ$2*AJ197,$AQ197=$AP$3,$AQ$3*AJ197,$AQ197=$AP$4,$AQ$4*AJ197)</f>
        <v>0</v>
      </c>
      <c r="AX197" s="155" cm="1">
        <f t="array" ref="AX197">_xlfn.IFS($AQ197=$AP$1,$AQ$1*AK197,$AQ197=$AP$2,$AQ$2*AK197,$AQ197=$AP$3,$AQ$3*AK197,$AQ197=$AP$4,$AQ$4*AK197)</f>
        <v>0</v>
      </c>
      <c r="AY197" s="155" cm="1">
        <f t="array" ref="AY197">_xlfn.IFS($AQ197=$AP$1,$AQ$1*AL197,$AQ197=$AP$2,$AQ$2*AL197,$AQ197=$AP$3,$AQ$3*AL197,$AQ197=$AP$4,$AQ$4*AL197)</f>
        <v>0</v>
      </c>
      <c r="AZ197" s="155" cm="1">
        <f t="array" ref="AZ197">_xlfn.IFS($AQ197=$AP$1,$AQ$1*AM197,$AQ197=$AP$2,$AQ$2*AM197,$AQ197=$AP$3,$AQ$3*AM197,$AQ197=$AP$4,$AQ$4*AM197)</f>
        <v>0</v>
      </c>
      <c r="BA197" s="155" cm="1">
        <f t="array" ref="BA197">_xlfn.IFS($AQ197=$AP$1,$AQ$1*AN197,$AQ197=$AP$2,$AQ$2*AN197,$AQ197=$AP$3,$AQ$3*AN197,$AQ197=$AP$4,$AQ$4*AN197)</f>
        <v>0</v>
      </c>
      <c r="BB197" s="155">
        <f>Table2[[#This Row],[FINAL Project System Capacity (MW)]]</f>
        <v>5</v>
      </c>
      <c r="BC197" s="155" t="str">
        <f>Table2[[#This Row],[FN Parent  '#]]</f>
        <v>Individual Project</v>
      </c>
      <c r="BD197" s="155"/>
      <c r="BE197" s="155">
        <f t="shared" si="78"/>
        <v>0</v>
      </c>
      <c r="BF197" s="155" t="str">
        <f t="shared" si="67"/>
        <v/>
      </c>
      <c r="BG197" s="155" t="str">
        <f t="shared" si="68"/>
        <v/>
      </c>
      <c r="BH197" s="155" t="str">
        <f t="shared" si="69"/>
        <v/>
      </c>
      <c r="BI197" s="155" t="str">
        <f t="shared" si="70"/>
        <v/>
      </c>
      <c r="BJ197" s="155" t="str">
        <f t="shared" si="71"/>
        <v/>
      </c>
      <c r="BK197" s="155" t="str">
        <f t="shared" si="72"/>
        <v/>
      </c>
      <c r="BL197" s="155" t="str">
        <f t="shared" si="73"/>
        <v/>
      </c>
      <c r="BM197" s="155" t="str">
        <f t="shared" si="74"/>
        <v/>
      </c>
      <c r="BN197" s="155" t="str">
        <f t="shared" si="75"/>
        <v/>
      </c>
      <c r="BO197" s="155" t="str">
        <f t="shared" si="76"/>
        <v/>
      </c>
      <c r="BP197" s="155">
        <f t="shared" si="77"/>
        <v>0</v>
      </c>
    </row>
    <row r="198" spans="1:68">
      <c r="A198" s="155" t="s">
        <v>319</v>
      </c>
      <c r="B198" s="155" t="s">
        <v>1345</v>
      </c>
      <c r="C198" s="155" t="s">
        <v>208</v>
      </c>
      <c r="D198" s="155">
        <v>5</v>
      </c>
      <c r="E198" s="189">
        <v>0</v>
      </c>
      <c r="F198" s="67">
        <v>0</v>
      </c>
      <c r="G198" s="67">
        <v>0</v>
      </c>
      <c r="H198" s="67">
        <v>0</v>
      </c>
      <c r="I198" s="67">
        <v>0</v>
      </c>
      <c r="J198" s="67">
        <v>0</v>
      </c>
      <c r="K198" s="67">
        <v>0</v>
      </c>
      <c r="L198" s="67">
        <v>69.3</v>
      </c>
      <c r="M198" s="67">
        <v>267.3</v>
      </c>
      <c r="N198" s="67">
        <v>306.89999999999998</v>
      </c>
      <c r="O198" s="67">
        <v>0</v>
      </c>
      <c r="Q198" s="201" t="s">
        <v>319</v>
      </c>
      <c r="R198" s="201" t="s">
        <v>1345</v>
      </c>
      <c r="S198" s="201" t="s">
        <v>208</v>
      </c>
      <c r="U198" s="155"/>
      <c r="V198" s="155"/>
      <c r="W198" s="155"/>
      <c r="X198" s="155"/>
      <c r="Y198" s="155"/>
      <c r="Z198" s="155"/>
      <c r="AA198" s="155"/>
      <c r="AB198" s="155"/>
      <c r="AC198" s="155"/>
      <c r="AE198" s="76">
        <f t="shared" si="56"/>
        <v>0</v>
      </c>
      <c r="AF198" s="76">
        <f t="shared" si="57"/>
        <v>0</v>
      </c>
      <c r="AG198" s="76">
        <f t="shared" si="58"/>
        <v>0</v>
      </c>
      <c r="AH198" s="76">
        <f t="shared" si="59"/>
        <v>0</v>
      </c>
      <c r="AI198" s="76">
        <f t="shared" si="60"/>
        <v>0</v>
      </c>
      <c r="AJ198" s="76">
        <f t="shared" si="61"/>
        <v>0</v>
      </c>
      <c r="AK198" s="76">
        <f t="shared" si="62"/>
        <v>0</v>
      </c>
      <c r="AL198" s="76">
        <f t="shared" si="63"/>
        <v>0</v>
      </c>
      <c r="AM198" s="76">
        <f t="shared" si="64"/>
        <v>0</v>
      </c>
      <c r="AN198" s="76">
        <f t="shared" si="65"/>
        <v>0</v>
      </c>
      <c r="AP198" s="201" t="s">
        <v>319</v>
      </c>
      <c r="AQ198" s="201" t="s">
        <v>208</v>
      </c>
      <c r="AR198" s="155" cm="1">
        <f t="array" ref="AR198">_xlfn.IFS($AQ198=$AP$1,$AQ$1*AE198,$AQ198=$AP$2,$AQ$2*AE198,$AQ198=$AP$3,$AQ$3*AE198,$AQ198=$AP$4,$AQ$4*AE198)</f>
        <v>0</v>
      </c>
      <c r="AS198" s="155" cm="1">
        <f t="array" ref="AS198">_xlfn.IFS($AQ198=$AP$1,$AQ$1*AF198,$AQ198=$AP$2,$AQ$2*AF198,$AQ198=$AP$3,$AQ$3*AF198,$AQ198=$AP$4,$AQ$4*AF198)</f>
        <v>0</v>
      </c>
      <c r="AT198" s="155" cm="1">
        <f t="array" ref="AT198">_xlfn.IFS($AQ198=$AP$1,$AQ$1*AG198,$AQ198=$AP$2,$AQ$2*AG198,$AQ198=$AP$3,$AQ$3*AG198,$AQ198=$AP$4,$AQ$4*AG198)</f>
        <v>0</v>
      </c>
      <c r="AU198" s="155" cm="1">
        <f t="array" ref="AU198">_xlfn.IFS($AQ198=$AP$1,$AQ$1*AH198,$AQ198=$AP$2,$AQ$2*AH198,$AQ198=$AP$3,$AQ$3*AH198,$AQ198=$AP$4,$AQ$4*AH198)</f>
        <v>0</v>
      </c>
      <c r="AV198" s="155" cm="1">
        <f t="array" ref="AV198">_xlfn.IFS($AQ198=$AP$1,$AQ$1*AI198,$AQ198=$AP$2,$AQ$2*AI198,$AQ198=$AP$3,$AQ$3*AI198,$AQ198=$AP$4,$AQ$4*AI198)</f>
        <v>0</v>
      </c>
      <c r="AW198" s="155" cm="1">
        <f t="array" ref="AW198">_xlfn.IFS($AQ198=$AP$1,$AQ$1*AJ198,$AQ198=$AP$2,$AQ$2*AJ198,$AQ198=$AP$3,$AQ$3*AJ198,$AQ198=$AP$4,$AQ$4*AJ198)</f>
        <v>0</v>
      </c>
      <c r="AX198" s="155" cm="1">
        <f t="array" ref="AX198">_xlfn.IFS($AQ198=$AP$1,$AQ$1*AK198,$AQ198=$AP$2,$AQ$2*AK198,$AQ198=$AP$3,$AQ$3*AK198,$AQ198=$AP$4,$AQ$4*AK198)</f>
        <v>0</v>
      </c>
      <c r="AY198" s="155" cm="1">
        <f t="array" ref="AY198">_xlfn.IFS($AQ198=$AP$1,$AQ$1*AL198,$AQ198=$AP$2,$AQ$2*AL198,$AQ198=$AP$3,$AQ$3*AL198,$AQ198=$AP$4,$AQ$4*AL198)</f>
        <v>0</v>
      </c>
      <c r="AZ198" s="155" cm="1">
        <f t="array" ref="AZ198">_xlfn.IFS($AQ198=$AP$1,$AQ$1*AM198,$AQ198=$AP$2,$AQ$2*AM198,$AQ198=$AP$3,$AQ$3*AM198,$AQ198=$AP$4,$AQ$4*AM198)</f>
        <v>0</v>
      </c>
      <c r="BA198" s="155" cm="1">
        <f t="array" ref="BA198">_xlfn.IFS($AQ198=$AP$1,$AQ$1*AN198,$AQ198=$AP$2,$AQ$2*AN198,$AQ198=$AP$3,$AQ$3*AN198,$AQ198=$AP$4,$AQ$4*AN198)</f>
        <v>0</v>
      </c>
      <c r="BB198" s="155">
        <f>Table2[[#This Row],[FINAL Project System Capacity (MW)]]</f>
        <v>5</v>
      </c>
      <c r="BC198" s="155" t="str">
        <f>Table2[[#This Row],[FN Parent  '#]]</f>
        <v>Individual Project</v>
      </c>
      <c r="BD198" s="155"/>
      <c r="BE198" s="155">
        <f t="shared" si="78"/>
        <v>0</v>
      </c>
      <c r="BF198" s="155" t="str">
        <f t="shared" si="67"/>
        <v/>
      </c>
      <c r="BG198" s="155" t="str">
        <f t="shared" si="68"/>
        <v/>
      </c>
      <c r="BH198" s="155" t="str">
        <f t="shared" si="69"/>
        <v/>
      </c>
      <c r="BI198" s="155" t="str">
        <f t="shared" si="70"/>
        <v/>
      </c>
      <c r="BJ198" s="155" t="str">
        <f t="shared" si="71"/>
        <v/>
      </c>
      <c r="BK198" s="155" t="str">
        <f t="shared" si="72"/>
        <v/>
      </c>
      <c r="BL198" s="155" t="str">
        <f t="shared" si="73"/>
        <v/>
      </c>
      <c r="BM198" s="155" t="str">
        <f t="shared" si="74"/>
        <v/>
      </c>
      <c r="BN198" s="155" t="str">
        <f t="shared" si="75"/>
        <v/>
      </c>
      <c r="BO198" s="155" t="str">
        <f t="shared" si="76"/>
        <v/>
      </c>
      <c r="BP198" s="155">
        <f t="shared" si="77"/>
        <v>0</v>
      </c>
    </row>
    <row r="199" spans="1:68">
      <c r="A199" s="155" t="s">
        <v>321</v>
      </c>
      <c r="B199" s="155" t="s">
        <v>1345</v>
      </c>
      <c r="C199" s="155" t="s">
        <v>208</v>
      </c>
      <c r="D199" s="155">
        <v>13</v>
      </c>
      <c r="E199" s="189">
        <v>2979.81756</v>
      </c>
      <c r="F199" s="67">
        <v>1238</v>
      </c>
      <c r="G199" s="67">
        <v>510</v>
      </c>
      <c r="H199" s="67">
        <v>0</v>
      </c>
      <c r="I199" s="67">
        <v>0</v>
      </c>
      <c r="J199" s="67">
        <v>0</v>
      </c>
      <c r="K199" s="67">
        <v>0</v>
      </c>
      <c r="L199" s="67">
        <v>0</v>
      </c>
      <c r="M199" s="67">
        <v>0</v>
      </c>
      <c r="N199" s="67">
        <v>0</v>
      </c>
      <c r="O199" s="67">
        <v>0</v>
      </c>
      <c r="Q199" s="202" t="s">
        <v>321</v>
      </c>
      <c r="R199" s="202" t="s">
        <v>1345</v>
      </c>
      <c r="S199" s="202" t="s">
        <v>208</v>
      </c>
      <c r="T199" s="76">
        <f>SUM($E199:F199)</f>
        <v>4217.8175599999995</v>
      </c>
      <c r="U199" s="76">
        <f>SUM($E199:G199)</f>
        <v>4727.8175599999995</v>
      </c>
      <c r="V199" s="76">
        <f>SUM($E199:H199)</f>
        <v>4727.8175599999995</v>
      </c>
      <c r="W199" s="76">
        <f>SUM($E199:I199)</f>
        <v>4727.8175599999995</v>
      </c>
      <c r="X199" s="76">
        <f>SUM($E199:J199)</f>
        <v>4727.8175599999995</v>
      </c>
      <c r="Y199" s="76">
        <f>SUM($E199:K199)</f>
        <v>4727.8175599999995</v>
      </c>
      <c r="Z199" s="76">
        <f>SUM($E199:L199)</f>
        <v>4727.8175599999995</v>
      </c>
      <c r="AA199" s="76">
        <f>SUM($E199:M199)</f>
        <v>4727.8175599999995</v>
      </c>
      <c r="AB199" s="76">
        <f>SUM($E199:N199)</f>
        <v>4727.8175599999995</v>
      </c>
      <c r="AC199" s="76">
        <f>SUM($E199:O199)</f>
        <v>4727.8175599999995</v>
      </c>
      <c r="AE199" s="76">
        <f t="shared" ref="AE199:AE243" si="79">T199*$AE$3^(AE$5-$AE$5)</f>
        <v>4217.8175599999995</v>
      </c>
      <c r="AF199" s="76">
        <f t="shared" ref="AF199:AF243" si="80">U199*$AE$3^(AF$5-$AE$5)</f>
        <v>4827.1017287599989</v>
      </c>
      <c r="AG199" s="76">
        <f t="shared" ref="AG199:AG243" si="81">V199*$AE$3^(AG$5-$AE$5)</f>
        <v>4928.4708650639586</v>
      </c>
      <c r="AH199" s="76">
        <f t="shared" ref="AH199:AH243" si="82">W199*$AE$3^(AH$5-$AE$5)</f>
        <v>5031.9687532303014</v>
      </c>
      <c r="AI199" s="76">
        <f t="shared" ref="AI199:AI243" si="83">X199*$AE$3^(AI$5-$AE$5)</f>
        <v>5137.6400970481363</v>
      </c>
      <c r="AJ199" s="76">
        <f t="shared" ref="AJ199:AJ243" si="84">Y199*$AE$3^(AJ$5-$AE$5)</f>
        <v>5245.5305390861467</v>
      </c>
      <c r="AK199" s="76">
        <f t="shared" ref="AK199:AK243" si="85">Z199*$AE$3^(AK$5-$AE$5)</f>
        <v>5355.686680406955</v>
      </c>
      <c r="AL199" s="76">
        <f t="shared" ref="AL199:AL243" si="86">AA199*$AE$3^(AL$5-$AE$5)</f>
        <v>5468.1561006955008</v>
      </c>
      <c r="AM199" s="76">
        <f t="shared" ref="AM199:AM243" si="87">AB199*$AE$3^(AM$5-$AE$5)</f>
        <v>5582.9873788101049</v>
      </c>
      <c r="AN199" s="76">
        <f t="shared" ref="AN199:AN243" si="88">AC199*$AE$3^(AN$5-$AE$5)</f>
        <v>5700.2301137651166</v>
      </c>
      <c r="AP199" s="202" t="s">
        <v>321</v>
      </c>
      <c r="AQ199" s="202" t="s">
        <v>208</v>
      </c>
      <c r="AR199" s="155" cm="1">
        <f t="array" ref="AR199">_xlfn.IFS($AQ199=$AP$1,$AQ$1*AE199,$AQ199=$AP$2,$AQ$2*AE199,$AQ199=$AP$3,$AQ$3*AE199,$AQ199=$AP$4,$AQ$4*AE199)</f>
        <v>595.94665023765788</v>
      </c>
      <c r="AS199" s="155" cm="1">
        <f t="array" ref="AS199">_xlfn.IFS($AQ199=$AP$1,$AQ$1*AF199,$AQ199=$AP$2,$AQ$2*AF199,$AQ199=$AP$3,$AQ$3*AF199,$AQ199=$AP$4,$AQ$4*AF199)</f>
        <v>682.03402937393264</v>
      </c>
      <c r="AT199" s="155" cm="1">
        <f t="array" ref="AT199">_xlfn.IFS($AQ199=$AP$1,$AQ$1*AG199,$AQ199=$AP$2,$AQ$2*AG199,$AQ199=$AP$3,$AQ$3*AG199,$AQ199=$AP$4,$AQ$4*AG199)</f>
        <v>696.35674399078516</v>
      </c>
      <c r="AU199" s="155" cm="1">
        <f t="array" ref="AU199">_xlfn.IFS($AQ199=$AP$1,$AQ$1*AH199,$AQ199=$AP$2,$AQ$2*AH199,$AQ199=$AP$3,$AQ$3*AH199,$AQ199=$AP$4,$AQ$4*AH199)</f>
        <v>710.98023561459161</v>
      </c>
      <c r="AV199" s="155" cm="1">
        <f t="array" ref="AV199">_xlfn.IFS($AQ199=$AP$1,$AQ$1*AI199,$AQ199=$AP$2,$AQ$2*AI199,$AQ199=$AP$3,$AQ$3*AI199,$AQ199=$AP$4,$AQ$4*AI199)</f>
        <v>725.91082056249786</v>
      </c>
      <c r="AW199" s="155" cm="1">
        <f t="array" ref="AW199">_xlfn.IFS($AQ199=$AP$1,$AQ$1*AJ199,$AQ199=$AP$2,$AQ$2*AJ199,$AQ199=$AP$3,$AQ$3*AJ199,$AQ199=$AP$4,$AQ$4*AJ199)</f>
        <v>741.15494779431026</v>
      </c>
      <c r="AX199" s="155" cm="1">
        <f t="array" ref="AX199">_xlfn.IFS($AQ199=$AP$1,$AQ$1*AK199,$AQ199=$AP$2,$AQ$2*AK199,$AQ199=$AP$3,$AQ$3*AK199,$AQ199=$AP$4,$AQ$4*AK199)</f>
        <v>756.71920169799068</v>
      </c>
      <c r="AY199" s="155" cm="1">
        <f t="array" ref="AY199">_xlfn.IFS($AQ199=$AP$1,$AQ$1*AL199,$AQ199=$AP$2,$AQ$2*AL199,$AQ199=$AP$3,$AQ$3*AL199,$AQ199=$AP$4,$AQ$4*AL199)</f>
        <v>772.61030493364842</v>
      </c>
      <c r="AZ199" s="155" cm="1">
        <f t="array" ref="AZ199">_xlfn.IFS($AQ199=$AP$1,$AQ$1*AM199,$AQ199=$AP$2,$AQ$2*AM199,$AQ199=$AP$3,$AQ$3*AM199,$AQ199=$AP$4,$AQ$4*AM199)</f>
        <v>788.8351213372548</v>
      </c>
      <c r="BA199" s="155" cm="1">
        <f t="array" ref="BA199">_xlfn.IFS($AQ199=$AP$1,$AQ$1*AN199,$AQ199=$AP$2,$AQ$2*AN199,$AQ199=$AP$3,$AQ$3*AN199,$AQ199=$AP$4,$AQ$4*AN199)</f>
        <v>805.40065888533718</v>
      </c>
      <c r="BB199" s="155">
        <f>Table2[[#This Row],[FINAL Project System Capacity (MW)]]</f>
        <v>13</v>
      </c>
      <c r="BC199" s="155" t="str">
        <f>Table2[[#This Row],[FN Parent  '#]]</f>
        <v>Individual Project</v>
      </c>
      <c r="BD199" s="155">
        <f t="shared" ref="BD199:BD243" si="89">BB199</f>
        <v>13</v>
      </c>
      <c r="BE199" s="155">
        <f t="shared" ref="BE199:BE243" si="90">BD199</f>
        <v>13</v>
      </c>
      <c r="BF199" s="155">
        <f t="shared" ref="BF199:BF243" si="91">IFERROR(AR199/$BD199,"")</f>
        <v>45.842050018281377</v>
      </c>
      <c r="BG199" s="155">
        <f t="shared" ref="BG199:BG243" si="92">IFERROR(AS199/$BD199,"")</f>
        <v>52.464156105687124</v>
      </c>
      <c r="BH199" s="155">
        <f t="shared" ref="BH199:BH243" si="93">IFERROR(AT199/$BD199,"")</f>
        <v>53.565903383906551</v>
      </c>
      <c r="BI199" s="155">
        <f t="shared" ref="BI199:BI243" si="94">IFERROR(AU199/$BD199,"")</f>
        <v>54.690787354968585</v>
      </c>
      <c r="BJ199" s="155">
        <f t="shared" ref="BJ199:BJ243" si="95">IFERROR(AV199/$BD199,"")</f>
        <v>55.839293889422912</v>
      </c>
      <c r="BK199" s="155">
        <f t="shared" ref="BK199:BK243" si="96">IFERROR(AW199/$BD199,"")</f>
        <v>57.011919061100791</v>
      </c>
      <c r="BL199" s="155">
        <f t="shared" ref="BL199:BL243" si="97">IFERROR(AX199/$BD199,"")</f>
        <v>58.2091693613839</v>
      </c>
      <c r="BM199" s="155">
        <f t="shared" ref="BM199:BM243" si="98">IFERROR(AY199/$BD199,"")</f>
        <v>59.431561917972957</v>
      </c>
      <c r="BN199" s="155">
        <f t="shared" ref="BN199:BN243" si="99">IFERROR(AZ199/$BD199,"")</f>
        <v>60.679624718250366</v>
      </c>
      <c r="BO199" s="155">
        <f t="shared" ref="BO199:BO243" si="100">IFERROR(BA199/$BD199,"")</f>
        <v>61.95389683733363</v>
      </c>
      <c r="BP199" s="155">
        <f t="shared" ref="BP199:BP253" si="101">NPV($BP$2,BF199:BO199)/((1-(1+$BP$2)^-10)/$BP$2)</f>
        <v>55.151791018911986</v>
      </c>
    </row>
    <row r="200" spans="1:68">
      <c r="A200" s="155" t="s">
        <v>266</v>
      </c>
      <c r="B200" s="155" t="s">
        <v>1345</v>
      </c>
      <c r="C200" s="155" t="s">
        <v>208</v>
      </c>
      <c r="D200" s="155">
        <v>1</v>
      </c>
      <c r="E200" s="189">
        <v>192.33851999999999</v>
      </c>
      <c r="F200" s="67">
        <v>190.71915999999999</v>
      </c>
      <c r="G200" s="67">
        <v>190.71915999999999</v>
      </c>
      <c r="H200" s="67">
        <v>143.79170999999999</v>
      </c>
      <c r="I200" s="67">
        <v>3338.6907900000001</v>
      </c>
      <c r="J200" s="67">
        <v>493.82065999999998</v>
      </c>
      <c r="K200" s="67">
        <v>85.389020000000002</v>
      </c>
      <c r="L200" s="67">
        <v>0</v>
      </c>
      <c r="M200" s="67">
        <v>0</v>
      </c>
      <c r="N200" s="67">
        <v>0</v>
      </c>
      <c r="O200" s="67">
        <v>0</v>
      </c>
      <c r="Q200" s="201" t="s">
        <v>266</v>
      </c>
      <c r="R200" s="201" t="s">
        <v>1345</v>
      </c>
      <c r="S200" s="201" t="s">
        <v>208</v>
      </c>
      <c r="T200" s="76">
        <f>SUM($E200:F201)</f>
        <v>618.85771999999997</v>
      </c>
      <c r="U200" s="76">
        <f>SUM($E200:G201)</f>
        <v>809.57687999999996</v>
      </c>
      <c r="V200" s="76">
        <f>SUM($E200:H201)</f>
        <v>953.36858999999993</v>
      </c>
      <c r="W200" s="76">
        <f>SUM($E200:I201)</f>
        <v>4292.0593799999997</v>
      </c>
      <c r="X200" s="76">
        <f>SUM($E200:J201)</f>
        <v>4785.88004</v>
      </c>
      <c r="Y200" s="76">
        <f>SUM($E200:K201)</f>
        <v>4871.2690599999996</v>
      </c>
      <c r="Z200" s="76">
        <f>SUM($E200:L201)</f>
        <v>4871.2690599999996</v>
      </c>
      <c r="AA200" s="76">
        <f>SUM($E200:M201)</f>
        <v>4871.2690599999996</v>
      </c>
      <c r="AB200" s="76">
        <f>SUM($E200:N201)</f>
        <v>4871.2690599999996</v>
      </c>
      <c r="AC200" s="76">
        <f>SUM($E200:O201)</f>
        <v>4871.2690599999996</v>
      </c>
      <c r="AE200" s="76">
        <f t="shared" si="79"/>
        <v>618.85771999999997</v>
      </c>
      <c r="AF200" s="76">
        <f t="shared" si="80"/>
        <v>826.57799447999992</v>
      </c>
      <c r="AG200" s="76">
        <f t="shared" si="81"/>
        <v>993.8305063281897</v>
      </c>
      <c r="AH200" s="76">
        <f t="shared" si="82"/>
        <v>4568.1772642616561</v>
      </c>
      <c r="AI200" s="76">
        <f t="shared" si="83"/>
        <v>5200.7356208487754</v>
      </c>
      <c r="AJ200" s="76">
        <f t="shared" si="84"/>
        <v>5404.690492823388</v>
      </c>
      <c r="AK200" s="76">
        <f t="shared" si="85"/>
        <v>5518.1889931726782</v>
      </c>
      <c r="AL200" s="76">
        <f t="shared" si="86"/>
        <v>5634.0709620293046</v>
      </c>
      <c r="AM200" s="76">
        <f t="shared" si="87"/>
        <v>5752.3864522319191</v>
      </c>
      <c r="AN200" s="76">
        <f t="shared" si="88"/>
        <v>5873.1865677287878</v>
      </c>
      <c r="AP200" s="201" t="s">
        <v>266</v>
      </c>
      <c r="AQ200" s="201" t="s">
        <v>208</v>
      </c>
      <c r="AR200" s="155" cm="1">
        <f t="array" ref="AR200">_xlfn.IFS($AQ200=$AP$1,$AQ$1*AE200,$AQ200=$AP$2,$AQ$2*AE200,$AQ200=$AP$3,$AQ$3*AE200,$AQ200=$AP$4,$AQ$4*AE200)</f>
        <v>87.440051628907923</v>
      </c>
      <c r="AS200" s="155" cm="1">
        <f t="array" ref="AS200">_xlfn.IFS($AQ200=$AP$1,$AQ$1*AF200,$AQ200=$AP$2,$AQ$2*AF200,$AQ200=$AP$3,$AQ$3*AF200,$AQ200=$AP$4,$AQ$4*AF200)</f>
        <v>116.78940114482269</v>
      </c>
      <c r="AT200" s="155" cm="1">
        <f t="array" ref="AT200">_xlfn.IFS($AQ200=$AP$1,$AQ$1*AG200,$AQ200=$AP$2,$AQ$2*AG200,$AQ200=$AP$3,$AQ$3*AG200,$AQ200=$AP$4,$AQ$4*AG200)</f>
        <v>140.42095295138373</v>
      </c>
      <c r="AU200" s="155" cm="1">
        <f t="array" ref="AU200">_xlfn.IFS($AQ200=$AP$1,$AQ$1*AH200,$AQ200=$AP$2,$AQ$2*AH200,$AQ200=$AP$3,$AQ$3*AH200,$AQ200=$AP$4,$AQ$4*AH200)</f>
        <v>645.4499037954032</v>
      </c>
      <c r="AV200" s="155" cm="1">
        <f t="array" ref="AV200">_xlfn.IFS($AQ200=$AP$1,$AQ$1*AI200,$AQ200=$AP$2,$AQ$2*AI200,$AQ200=$AP$3,$AQ$3*AI200,$AQ200=$AP$4,$AQ$4*AI200)</f>
        <v>734.82575477173884</v>
      </c>
      <c r="AW200" s="155" cm="1">
        <f t="array" ref="AW200">_xlfn.IFS($AQ200=$AP$1,$AQ$1*AJ200,$AQ200=$AP$2,$AQ$2*AJ200,$AQ200=$AP$3,$AQ$3*AJ200,$AQ200=$AP$4,$AQ$4*AJ200)</f>
        <v>763.64308056259665</v>
      </c>
      <c r="AX200" s="155" cm="1">
        <f t="array" ref="AX200">_xlfn.IFS($AQ200=$AP$1,$AQ$1*AK200,$AQ200=$AP$2,$AQ$2*AK200,$AQ200=$AP$3,$AQ$3*AK200,$AQ200=$AP$4,$AQ$4*AK200)</f>
        <v>779.67958525441099</v>
      </c>
      <c r="AY200" s="155" cm="1">
        <f t="array" ref="AY200">_xlfn.IFS($AQ200=$AP$1,$AQ$1*AL200,$AQ200=$AP$2,$AQ$2*AL200,$AQ200=$AP$3,$AQ$3*AL200,$AQ200=$AP$4,$AQ$4*AL200)</f>
        <v>796.05285654475369</v>
      </c>
      <c r="AZ200" s="155" cm="1">
        <f t="array" ref="AZ200">_xlfn.IFS($AQ200=$AP$1,$AQ$1*AM200,$AQ200=$AP$2,$AQ$2*AM200,$AQ200=$AP$3,$AQ$3*AM200,$AQ200=$AP$4,$AQ$4*AM200)</f>
        <v>812.76996653219339</v>
      </c>
      <c r="BA200" s="155" cm="1">
        <f t="array" ref="BA200">_xlfn.IFS($AQ200=$AP$1,$AQ$1*AN200,$AQ200=$AP$2,$AQ$2*AN200,$AQ200=$AP$3,$AQ$3*AN200,$AQ200=$AP$4,$AQ$4*AN200)</f>
        <v>829.83813582936921</v>
      </c>
      <c r="BB200" s="155">
        <f>Table2[[#This Row],[FINAL Project System Capacity (MW)]]</f>
        <v>1</v>
      </c>
      <c r="BC200" s="155" t="str">
        <f>Table2[[#This Row],[FN Parent  '#]]</f>
        <v>Individual Project</v>
      </c>
      <c r="BD200" s="155">
        <f>BB200+BB201</f>
        <v>3</v>
      </c>
      <c r="BE200" s="155">
        <f t="shared" si="90"/>
        <v>3</v>
      </c>
      <c r="BF200" s="155">
        <f t="shared" si="91"/>
        <v>29.146683876302642</v>
      </c>
      <c r="BG200" s="155">
        <f t="shared" si="92"/>
        <v>38.929800381607564</v>
      </c>
      <c r="BH200" s="155">
        <f t="shared" si="93"/>
        <v>46.806984317127906</v>
      </c>
      <c r="BI200" s="155">
        <f t="shared" si="94"/>
        <v>215.14996793180106</v>
      </c>
      <c r="BJ200" s="155">
        <f t="shared" si="95"/>
        <v>244.94191825724627</v>
      </c>
      <c r="BK200" s="155">
        <f t="shared" si="96"/>
        <v>254.54769352086555</v>
      </c>
      <c r="BL200" s="155">
        <f t="shared" si="97"/>
        <v>259.89319508480366</v>
      </c>
      <c r="BM200" s="155">
        <f t="shared" si="98"/>
        <v>265.35095218158455</v>
      </c>
      <c r="BN200" s="155">
        <f t="shared" si="99"/>
        <v>270.92332217739778</v>
      </c>
      <c r="BO200" s="155">
        <f t="shared" si="100"/>
        <v>276.61271194312309</v>
      </c>
      <c r="BP200" s="155">
        <f t="shared" si="101"/>
        <v>172.89950703008137</v>
      </c>
    </row>
    <row r="201" spans="1:68">
      <c r="A201" s="155" t="s">
        <v>266</v>
      </c>
      <c r="B201" s="155" t="s">
        <v>1345</v>
      </c>
      <c r="C201" s="155" t="s">
        <v>208</v>
      </c>
      <c r="D201" s="155">
        <v>2</v>
      </c>
      <c r="E201" s="189">
        <v>0</v>
      </c>
      <c r="F201" s="67">
        <v>235.80004</v>
      </c>
      <c r="G201" s="67">
        <v>0</v>
      </c>
      <c r="H201" s="67">
        <v>0</v>
      </c>
      <c r="I201" s="67">
        <v>0</v>
      </c>
      <c r="J201" s="67">
        <v>0</v>
      </c>
      <c r="K201" s="67">
        <v>0</v>
      </c>
      <c r="L201" s="67">
        <v>0</v>
      </c>
      <c r="M201" s="67">
        <v>0</v>
      </c>
      <c r="N201" s="67">
        <v>0</v>
      </c>
      <c r="O201" s="67">
        <v>0</v>
      </c>
      <c r="Q201" s="202" t="s">
        <v>266</v>
      </c>
      <c r="R201" s="202" t="s">
        <v>1345</v>
      </c>
      <c r="S201" s="202" t="s">
        <v>208</v>
      </c>
      <c r="U201" s="155"/>
      <c r="V201" s="155"/>
      <c r="W201" s="155"/>
      <c r="X201" s="155"/>
      <c r="Y201" s="155"/>
      <c r="Z201" s="155"/>
      <c r="AA201" s="155"/>
      <c r="AB201" s="155"/>
      <c r="AC201" s="155"/>
      <c r="AE201" s="76">
        <f t="shared" si="79"/>
        <v>0</v>
      </c>
      <c r="AF201" s="76">
        <f t="shared" si="80"/>
        <v>0</v>
      </c>
      <c r="AG201" s="76">
        <f t="shared" si="81"/>
        <v>0</v>
      </c>
      <c r="AH201" s="76">
        <f t="shared" si="82"/>
        <v>0</v>
      </c>
      <c r="AI201" s="76">
        <f t="shared" si="83"/>
        <v>0</v>
      </c>
      <c r="AJ201" s="76">
        <f t="shared" si="84"/>
        <v>0</v>
      </c>
      <c r="AK201" s="76">
        <f t="shared" si="85"/>
        <v>0</v>
      </c>
      <c r="AL201" s="76">
        <f t="shared" si="86"/>
        <v>0</v>
      </c>
      <c r="AM201" s="76">
        <f t="shared" si="87"/>
        <v>0</v>
      </c>
      <c r="AN201" s="76">
        <f t="shared" si="88"/>
        <v>0</v>
      </c>
      <c r="AP201" s="202" t="s">
        <v>266</v>
      </c>
      <c r="AQ201" s="202" t="s">
        <v>208</v>
      </c>
      <c r="AR201" s="155" cm="1">
        <f t="array" ref="AR201">_xlfn.IFS($AQ201=$AP$1,$AQ$1*AE201,$AQ201=$AP$2,$AQ$2*AE201,$AQ201=$AP$3,$AQ$3*AE201,$AQ201=$AP$4,$AQ$4*AE201)</f>
        <v>0</v>
      </c>
      <c r="AS201" s="155" cm="1">
        <f t="array" ref="AS201">_xlfn.IFS($AQ201=$AP$1,$AQ$1*AF201,$AQ201=$AP$2,$AQ$2*AF201,$AQ201=$AP$3,$AQ$3*AF201,$AQ201=$AP$4,$AQ$4*AF201)</f>
        <v>0</v>
      </c>
      <c r="AT201" s="155" cm="1">
        <f t="array" ref="AT201">_xlfn.IFS($AQ201=$AP$1,$AQ$1*AG201,$AQ201=$AP$2,$AQ$2*AG201,$AQ201=$AP$3,$AQ$3*AG201,$AQ201=$AP$4,$AQ$4*AG201)</f>
        <v>0</v>
      </c>
      <c r="AU201" s="155" cm="1">
        <f t="array" ref="AU201">_xlfn.IFS($AQ201=$AP$1,$AQ$1*AH201,$AQ201=$AP$2,$AQ$2*AH201,$AQ201=$AP$3,$AQ$3*AH201,$AQ201=$AP$4,$AQ$4*AH201)</f>
        <v>0</v>
      </c>
      <c r="AV201" s="155" cm="1">
        <f t="array" ref="AV201">_xlfn.IFS($AQ201=$AP$1,$AQ$1*AI201,$AQ201=$AP$2,$AQ$2*AI201,$AQ201=$AP$3,$AQ$3*AI201,$AQ201=$AP$4,$AQ$4*AI201)</f>
        <v>0</v>
      </c>
      <c r="AW201" s="155" cm="1">
        <f t="array" ref="AW201">_xlfn.IFS($AQ201=$AP$1,$AQ$1*AJ201,$AQ201=$AP$2,$AQ$2*AJ201,$AQ201=$AP$3,$AQ$3*AJ201,$AQ201=$AP$4,$AQ$4*AJ201)</f>
        <v>0</v>
      </c>
      <c r="AX201" s="155" cm="1">
        <f t="array" ref="AX201">_xlfn.IFS($AQ201=$AP$1,$AQ$1*AK201,$AQ201=$AP$2,$AQ$2*AK201,$AQ201=$AP$3,$AQ$3*AK201,$AQ201=$AP$4,$AQ$4*AK201)</f>
        <v>0</v>
      </c>
      <c r="AY201" s="155" cm="1">
        <f t="array" ref="AY201">_xlfn.IFS($AQ201=$AP$1,$AQ$1*AL201,$AQ201=$AP$2,$AQ$2*AL201,$AQ201=$AP$3,$AQ$3*AL201,$AQ201=$AP$4,$AQ$4*AL201)</f>
        <v>0</v>
      </c>
      <c r="AZ201" s="155" cm="1">
        <f t="array" ref="AZ201">_xlfn.IFS($AQ201=$AP$1,$AQ$1*AM201,$AQ201=$AP$2,$AQ$2*AM201,$AQ201=$AP$3,$AQ$3*AM201,$AQ201=$AP$4,$AQ$4*AM201)</f>
        <v>0</v>
      </c>
      <c r="BA201" s="155" cm="1">
        <f t="array" ref="BA201">_xlfn.IFS($AQ201=$AP$1,$AQ$1*AN201,$AQ201=$AP$2,$AQ$2*AN201,$AQ201=$AP$3,$AQ$3*AN201,$AQ201=$AP$4,$AQ$4*AN201)</f>
        <v>0</v>
      </c>
      <c r="BB201" s="155">
        <f>Table2[[#This Row],[FINAL Project System Capacity (MW)]]</f>
        <v>2</v>
      </c>
      <c r="BC201" s="155" t="str">
        <f>Table2[[#This Row],[FN Parent  '#]]</f>
        <v>Individual Project</v>
      </c>
      <c r="BD201" s="155"/>
      <c r="BE201" s="155">
        <f t="shared" si="90"/>
        <v>0</v>
      </c>
      <c r="BF201" s="155" t="str">
        <f t="shared" si="91"/>
        <v/>
      </c>
      <c r="BG201" s="155" t="str">
        <f t="shared" si="92"/>
        <v/>
      </c>
      <c r="BH201" s="155" t="str">
        <f t="shared" si="93"/>
        <v/>
      </c>
      <c r="BI201" s="155" t="str">
        <f t="shared" si="94"/>
        <v/>
      </c>
      <c r="BJ201" s="155" t="str">
        <f t="shared" si="95"/>
        <v/>
      </c>
      <c r="BK201" s="155" t="str">
        <f t="shared" si="96"/>
        <v/>
      </c>
      <c r="BL201" s="155" t="str">
        <f t="shared" si="97"/>
        <v/>
      </c>
      <c r="BM201" s="155" t="str">
        <f t="shared" si="98"/>
        <v/>
      </c>
      <c r="BN201" s="155" t="str">
        <f t="shared" si="99"/>
        <v/>
      </c>
      <c r="BO201" s="155" t="str">
        <f t="shared" si="100"/>
        <v/>
      </c>
      <c r="BP201" s="155">
        <f t="shared" si="101"/>
        <v>0</v>
      </c>
    </row>
    <row r="202" spans="1:68">
      <c r="A202" s="155" t="s">
        <v>214</v>
      </c>
      <c r="B202" s="155" t="s">
        <v>1136</v>
      </c>
      <c r="C202" s="155" t="s">
        <v>208</v>
      </c>
      <c r="D202" s="155">
        <v>12</v>
      </c>
      <c r="E202" s="189">
        <v>0</v>
      </c>
      <c r="F202" s="67">
        <v>0</v>
      </c>
      <c r="G202" s="67">
        <v>0</v>
      </c>
      <c r="H202" s="67">
        <v>2922</v>
      </c>
      <c r="I202" s="67">
        <v>50</v>
      </c>
      <c r="J202" s="67">
        <v>0</v>
      </c>
      <c r="K202" s="67">
        <v>0</v>
      </c>
      <c r="L202" s="67">
        <v>0</v>
      </c>
      <c r="M202" s="67">
        <v>0</v>
      </c>
      <c r="N202" s="67">
        <v>0</v>
      </c>
      <c r="O202" s="67">
        <v>0</v>
      </c>
      <c r="Q202" s="201" t="s">
        <v>214</v>
      </c>
      <c r="R202" s="201" t="s">
        <v>1136</v>
      </c>
      <c r="S202" s="201" t="s">
        <v>208</v>
      </c>
      <c r="T202" s="76">
        <f>SUM($E202:F203)</f>
        <v>0</v>
      </c>
      <c r="U202" s="76">
        <f>SUM($E202:G203)</f>
        <v>0</v>
      </c>
      <c r="V202" s="76">
        <f>SUM($E202:H203)</f>
        <v>2922</v>
      </c>
      <c r="W202" s="76">
        <f>SUM($E202:I203)</f>
        <v>2972</v>
      </c>
      <c r="X202" s="76">
        <f>SUM($E202:J203)</f>
        <v>3072</v>
      </c>
      <c r="Y202" s="76">
        <f>SUM($E202:K203)</f>
        <v>3572</v>
      </c>
      <c r="Z202" s="76">
        <f>SUM($E202:L203)</f>
        <v>8572</v>
      </c>
      <c r="AA202" s="76">
        <f>SUM($E202:M203)</f>
        <v>10572</v>
      </c>
      <c r="AB202" s="76">
        <f>SUM($E202:N203)</f>
        <v>10672</v>
      </c>
      <c r="AC202" s="76">
        <f>SUM($E202:O203)</f>
        <v>10672</v>
      </c>
      <c r="AE202" s="76">
        <f t="shared" si="79"/>
        <v>0</v>
      </c>
      <c r="AF202" s="76">
        <f t="shared" si="80"/>
        <v>0</v>
      </c>
      <c r="AG202" s="76">
        <f t="shared" si="81"/>
        <v>3046.0126019999993</v>
      </c>
      <c r="AH202" s="76">
        <f t="shared" si="82"/>
        <v>3163.195479691999</v>
      </c>
      <c r="AI202" s="76">
        <f t="shared" si="83"/>
        <v>3338.2909086136306</v>
      </c>
      <c r="AJ202" s="76">
        <f t="shared" si="84"/>
        <v>3963.1468109390662</v>
      </c>
      <c r="AK202" s="76">
        <f t="shared" si="85"/>
        <v>9710.3887029956422</v>
      </c>
      <c r="AL202" s="76">
        <f t="shared" si="86"/>
        <v>12227.490922165118</v>
      </c>
      <c r="AM202" s="76">
        <f t="shared" si="87"/>
        <v>12602.356277610139</v>
      </c>
      <c r="AN202" s="76">
        <f t="shared" si="88"/>
        <v>12867.00575943995</v>
      </c>
      <c r="AP202" s="201" t="s">
        <v>214</v>
      </c>
      <c r="AQ202" s="201" t="s">
        <v>208</v>
      </c>
      <c r="AR202" s="155" cm="1">
        <f t="array" ref="AR202">_xlfn.IFS($AQ202=$AP$1,$AQ$1*AE202,$AQ202=$AP$2,$AQ$2*AE202,$AQ202=$AP$3,$AQ$3*AE202,$AQ202=$AP$4,$AQ$4*AE202)</f>
        <v>0</v>
      </c>
      <c r="AS202" s="155" cm="1">
        <f t="array" ref="AS202">_xlfn.IFS($AQ202=$AP$1,$AQ$1*AF202,$AQ202=$AP$2,$AQ$2*AF202,$AQ202=$AP$3,$AQ$3*AF202,$AQ202=$AP$4,$AQ$4*AF202)</f>
        <v>0</v>
      </c>
      <c r="AT202" s="155" cm="1">
        <f t="array" ref="AT202">_xlfn.IFS($AQ202=$AP$1,$AQ$1*AG202,$AQ202=$AP$2,$AQ$2*AG202,$AQ202=$AP$3,$AQ$3*AG202,$AQ202=$AP$4,$AQ$4*AG202)</f>
        <v>430.37921411271094</v>
      </c>
      <c r="AU202" s="155" cm="1">
        <f t="array" ref="AU202">_xlfn.IFS($AQ202=$AP$1,$AQ$1*AH202,$AQ202=$AP$2,$AQ$2*AH202,$AQ202=$AP$3,$AQ$3*AH202,$AQ202=$AP$4,$AQ$4*AH202)</f>
        <v>446.93629426905517</v>
      </c>
      <c r="AV202" s="155" cm="1">
        <f t="array" ref="AV202">_xlfn.IFS($AQ202=$AP$1,$AQ$1*AI202,$AQ202=$AP$2,$AQ$2*AI202,$AQ202=$AP$3,$AQ$3*AI202,$AQ202=$AP$4,$AQ$4*AI202)</f>
        <v>471.67599266837908</v>
      </c>
      <c r="AW202" s="155" cm="1">
        <f t="array" ref="AW202">_xlfn.IFS($AQ202=$AP$1,$AQ$1*AJ202,$AQ202=$AP$2,$AQ$2*AJ202,$AQ202=$AP$3,$AQ$3*AJ202,$AQ202=$AP$4,$AQ$4*AJ202)</f>
        <v>559.9635434158497</v>
      </c>
      <c r="AX202" s="155" cm="1">
        <f t="array" ref="AX202">_xlfn.IFS($AQ202=$AP$1,$AQ$1*AK202,$AQ202=$AP$2,$AQ$2*AK202,$AQ202=$AP$3,$AQ$3*AK202,$AQ202=$AP$4,$AQ$4*AK202)</f>
        <v>1372.0066213712309</v>
      </c>
      <c r="AY202" s="155" cm="1">
        <f t="array" ref="AY202">_xlfn.IFS($AQ202=$AP$1,$AQ$1*AL202,$AQ202=$AP$2,$AQ$2*AL202,$AQ202=$AP$3,$AQ$3*AL202,$AQ202=$AP$4,$AQ$4*AL202)</f>
        <v>1727.6546821232525</v>
      </c>
      <c r="AZ202" s="155" cm="1">
        <f t="array" ref="AZ202">_xlfn.IFS($AQ202=$AP$1,$AQ$1*AM202,$AQ202=$AP$2,$AQ$2*AM202,$AQ202=$AP$3,$AQ$3*AM202,$AQ202=$AP$4,$AQ$4*AM202)</f>
        <v>1780.6204042507904</v>
      </c>
      <c r="BA202" s="155" cm="1">
        <f t="array" ref="BA202">_xlfn.IFS($AQ202=$AP$1,$AQ$1*AN202,$AQ202=$AP$2,$AQ$2*AN202,$AQ202=$AP$3,$AQ$3*AN202,$AQ202=$AP$4,$AQ$4*AN202)</f>
        <v>1818.0134327400567</v>
      </c>
      <c r="BB202" s="155">
        <f>Table2[[#This Row],[FINAL Project System Capacity (MW)]]</f>
        <v>12</v>
      </c>
      <c r="BC202" s="155" t="str">
        <f>Table2[[#This Row],[FN Parent  '#]]</f>
        <v>FN010097</v>
      </c>
      <c r="BD202" s="155">
        <f>BB202+BB203</f>
        <v>32</v>
      </c>
      <c r="BE202" s="155">
        <f t="shared" si="90"/>
        <v>32</v>
      </c>
      <c r="BF202" s="155">
        <f t="shared" si="91"/>
        <v>0</v>
      </c>
      <c r="BG202" s="155">
        <f t="shared" si="92"/>
        <v>0</v>
      </c>
      <c r="BH202" s="155">
        <f t="shared" si="93"/>
        <v>13.449350441022217</v>
      </c>
      <c r="BI202" s="155">
        <f t="shared" si="94"/>
        <v>13.966759195907974</v>
      </c>
      <c r="BJ202" s="155">
        <f t="shared" si="95"/>
        <v>14.739874770886846</v>
      </c>
      <c r="BK202" s="155">
        <f t="shared" si="96"/>
        <v>17.498860731745303</v>
      </c>
      <c r="BL202" s="155">
        <f t="shared" si="97"/>
        <v>42.875206917850967</v>
      </c>
      <c r="BM202" s="155">
        <f t="shared" si="98"/>
        <v>53.989208816351642</v>
      </c>
      <c r="BN202" s="155">
        <f t="shared" si="99"/>
        <v>55.644387632837201</v>
      </c>
      <c r="BO202" s="155">
        <f t="shared" si="100"/>
        <v>56.812919773126772</v>
      </c>
      <c r="BP202" s="155">
        <f t="shared" si="101"/>
        <v>23.00271176897904</v>
      </c>
    </row>
    <row r="203" spans="1:68">
      <c r="A203" s="155" t="s">
        <v>214</v>
      </c>
      <c r="B203" s="155" t="s">
        <v>1345</v>
      </c>
      <c r="C203" s="155" t="s">
        <v>208</v>
      </c>
      <c r="D203" s="155">
        <v>20</v>
      </c>
      <c r="E203" s="189">
        <v>0</v>
      </c>
      <c r="F203" s="67">
        <v>0</v>
      </c>
      <c r="G203" s="67">
        <v>0</v>
      </c>
      <c r="H203" s="67">
        <v>0</v>
      </c>
      <c r="I203" s="67">
        <v>0</v>
      </c>
      <c r="J203" s="67">
        <v>100</v>
      </c>
      <c r="K203" s="67">
        <v>500</v>
      </c>
      <c r="L203" s="67">
        <v>5000</v>
      </c>
      <c r="M203" s="67">
        <v>2000</v>
      </c>
      <c r="N203" s="67">
        <v>100</v>
      </c>
      <c r="O203" s="67">
        <v>0</v>
      </c>
      <c r="Q203" s="202" t="s">
        <v>214</v>
      </c>
      <c r="R203" s="202" t="s">
        <v>1345</v>
      </c>
      <c r="S203" s="202" t="s">
        <v>208</v>
      </c>
      <c r="U203" s="155"/>
      <c r="V203" s="155"/>
      <c r="W203" s="155"/>
      <c r="X203" s="155"/>
      <c r="Y203" s="155"/>
      <c r="Z203" s="155"/>
      <c r="AA203" s="155"/>
      <c r="AB203" s="155"/>
      <c r="AC203" s="155"/>
      <c r="AE203" s="76">
        <f t="shared" si="79"/>
        <v>0</v>
      </c>
      <c r="AF203" s="76">
        <f t="shared" si="80"/>
        <v>0</v>
      </c>
      <c r="AG203" s="76">
        <f t="shared" si="81"/>
        <v>0</v>
      </c>
      <c r="AH203" s="76">
        <f t="shared" si="82"/>
        <v>0</v>
      </c>
      <c r="AI203" s="76">
        <f t="shared" si="83"/>
        <v>0</v>
      </c>
      <c r="AJ203" s="76">
        <f t="shared" si="84"/>
        <v>0</v>
      </c>
      <c r="AK203" s="76">
        <f t="shared" si="85"/>
        <v>0</v>
      </c>
      <c r="AL203" s="76">
        <f t="shared" si="86"/>
        <v>0</v>
      </c>
      <c r="AM203" s="76">
        <f t="shared" si="87"/>
        <v>0</v>
      </c>
      <c r="AN203" s="76">
        <f t="shared" si="88"/>
        <v>0</v>
      </c>
      <c r="AP203" s="202" t="s">
        <v>214</v>
      </c>
      <c r="AQ203" s="202" t="s">
        <v>208</v>
      </c>
      <c r="AR203" s="155" cm="1">
        <f t="array" ref="AR203">_xlfn.IFS($AQ203=$AP$1,$AQ$1*AE203,$AQ203=$AP$2,$AQ$2*AE203,$AQ203=$AP$3,$AQ$3*AE203,$AQ203=$AP$4,$AQ$4*AE203)</f>
        <v>0</v>
      </c>
      <c r="AS203" s="155" cm="1">
        <f t="array" ref="AS203">_xlfn.IFS($AQ203=$AP$1,$AQ$1*AF203,$AQ203=$AP$2,$AQ$2*AF203,$AQ203=$AP$3,$AQ$3*AF203,$AQ203=$AP$4,$AQ$4*AF203)</f>
        <v>0</v>
      </c>
      <c r="AT203" s="155" cm="1">
        <f t="array" ref="AT203">_xlfn.IFS($AQ203=$AP$1,$AQ$1*AG203,$AQ203=$AP$2,$AQ$2*AG203,$AQ203=$AP$3,$AQ$3*AG203,$AQ203=$AP$4,$AQ$4*AG203)</f>
        <v>0</v>
      </c>
      <c r="AU203" s="155" cm="1">
        <f t="array" ref="AU203">_xlfn.IFS($AQ203=$AP$1,$AQ$1*AH203,$AQ203=$AP$2,$AQ$2*AH203,$AQ203=$AP$3,$AQ$3*AH203,$AQ203=$AP$4,$AQ$4*AH203)</f>
        <v>0</v>
      </c>
      <c r="AV203" s="155" cm="1">
        <f t="array" ref="AV203">_xlfn.IFS($AQ203=$AP$1,$AQ$1*AI203,$AQ203=$AP$2,$AQ$2*AI203,$AQ203=$AP$3,$AQ$3*AI203,$AQ203=$AP$4,$AQ$4*AI203)</f>
        <v>0</v>
      </c>
      <c r="AW203" s="155" cm="1">
        <f t="array" ref="AW203">_xlfn.IFS($AQ203=$AP$1,$AQ$1*AJ203,$AQ203=$AP$2,$AQ$2*AJ203,$AQ203=$AP$3,$AQ$3*AJ203,$AQ203=$AP$4,$AQ$4*AJ203)</f>
        <v>0</v>
      </c>
      <c r="AX203" s="155" cm="1">
        <f t="array" ref="AX203">_xlfn.IFS($AQ203=$AP$1,$AQ$1*AK203,$AQ203=$AP$2,$AQ$2*AK203,$AQ203=$AP$3,$AQ$3*AK203,$AQ203=$AP$4,$AQ$4*AK203)</f>
        <v>0</v>
      </c>
      <c r="AY203" s="155" cm="1">
        <f t="array" ref="AY203">_xlfn.IFS($AQ203=$AP$1,$AQ$1*AL203,$AQ203=$AP$2,$AQ$2*AL203,$AQ203=$AP$3,$AQ$3*AL203,$AQ203=$AP$4,$AQ$4*AL203)</f>
        <v>0</v>
      </c>
      <c r="AZ203" s="155" cm="1">
        <f t="array" ref="AZ203">_xlfn.IFS($AQ203=$AP$1,$AQ$1*AM203,$AQ203=$AP$2,$AQ$2*AM203,$AQ203=$AP$3,$AQ$3*AM203,$AQ203=$AP$4,$AQ$4*AM203)</f>
        <v>0</v>
      </c>
      <c r="BA203" s="155" cm="1">
        <f t="array" ref="BA203">_xlfn.IFS($AQ203=$AP$1,$AQ$1*AN203,$AQ203=$AP$2,$AQ$2*AN203,$AQ203=$AP$3,$AQ$3*AN203,$AQ203=$AP$4,$AQ$4*AN203)</f>
        <v>0</v>
      </c>
      <c r="BB203" s="155">
        <f>Table2[[#This Row],[FINAL Project System Capacity (MW)]]</f>
        <v>20</v>
      </c>
      <c r="BC203" s="155" t="str">
        <f>Table2[[#This Row],[FN Parent  '#]]</f>
        <v>Individual Project</v>
      </c>
      <c r="BD203" s="155"/>
      <c r="BE203" s="155">
        <f t="shared" si="90"/>
        <v>0</v>
      </c>
      <c r="BF203" s="155" t="str">
        <f t="shared" si="91"/>
        <v/>
      </c>
      <c r="BG203" s="155" t="str">
        <f t="shared" si="92"/>
        <v/>
      </c>
      <c r="BH203" s="155" t="str">
        <f t="shared" si="93"/>
        <v/>
      </c>
      <c r="BI203" s="155" t="str">
        <f t="shared" si="94"/>
        <v/>
      </c>
      <c r="BJ203" s="155" t="str">
        <f t="shared" si="95"/>
        <v/>
      </c>
      <c r="BK203" s="155" t="str">
        <f t="shared" si="96"/>
        <v/>
      </c>
      <c r="BL203" s="155" t="str">
        <f t="shared" si="97"/>
        <v/>
      </c>
      <c r="BM203" s="155" t="str">
        <f t="shared" si="98"/>
        <v/>
      </c>
      <c r="BN203" s="155" t="str">
        <f t="shared" si="99"/>
        <v/>
      </c>
      <c r="BO203" s="155" t="str">
        <f t="shared" si="100"/>
        <v/>
      </c>
      <c r="BP203" s="155">
        <f t="shared" si="101"/>
        <v>0</v>
      </c>
    </row>
    <row r="204" spans="1:68">
      <c r="A204" s="155" t="s">
        <v>214</v>
      </c>
      <c r="B204" s="155" t="s">
        <v>1136</v>
      </c>
      <c r="C204" s="155" t="s">
        <v>205</v>
      </c>
      <c r="D204" s="155">
        <v>12</v>
      </c>
      <c r="E204" s="189">
        <v>0</v>
      </c>
      <c r="F204" s="67">
        <v>130</v>
      </c>
      <c r="G204" s="67">
        <v>520</v>
      </c>
      <c r="H204" s="67">
        <v>0</v>
      </c>
      <c r="I204" s="67">
        <v>0</v>
      </c>
      <c r="J204" s="67">
        <v>0</v>
      </c>
      <c r="K204" s="67">
        <v>0</v>
      </c>
      <c r="L204" s="67">
        <v>0</v>
      </c>
      <c r="M204" s="67">
        <v>0</v>
      </c>
      <c r="N204" s="67">
        <v>0</v>
      </c>
      <c r="O204" s="67">
        <v>0</v>
      </c>
      <c r="Q204" s="201" t="s">
        <v>214</v>
      </c>
      <c r="R204" s="201" t="s">
        <v>1136</v>
      </c>
      <c r="S204" s="201" t="s">
        <v>205</v>
      </c>
      <c r="T204" s="76">
        <f>SUM($E204:F204)</f>
        <v>130</v>
      </c>
      <c r="U204" s="76">
        <f>SUM($E204:G204)</f>
        <v>650</v>
      </c>
      <c r="V204" s="76">
        <f>SUM($E204:H204)</f>
        <v>650</v>
      </c>
      <c r="W204" s="76">
        <f>SUM($E204:I204)</f>
        <v>650</v>
      </c>
      <c r="X204" s="76">
        <f>SUM($E204:J204)</f>
        <v>650</v>
      </c>
      <c r="Y204" s="76">
        <f>SUM($E204:K204)</f>
        <v>650</v>
      </c>
      <c r="Z204" s="76">
        <f>SUM($E204:L204)</f>
        <v>650</v>
      </c>
      <c r="AA204" s="76">
        <f>SUM($E204:M204)</f>
        <v>650</v>
      </c>
      <c r="AB204" s="76">
        <f>SUM($E204:N204)</f>
        <v>650</v>
      </c>
      <c r="AC204" s="76">
        <f>SUM($E204:O204)</f>
        <v>650</v>
      </c>
      <c r="AE204" s="76">
        <f t="shared" si="79"/>
        <v>130</v>
      </c>
      <c r="AF204" s="76">
        <f t="shared" si="80"/>
        <v>663.65</v>
      </c>
      <c r="AG204" s="76">
        <f t="shared" si="81"/>
        <v>677.58664999999985</v>
      </c>
      <c r="AH204" s="76">
        <f t="shared" si="82"/>
        <v>691.81596964999983</v>
      </c>
      <c r="AI204" s="76">
        <f t="shared" si="83"/>
        <v>706.34410501264961</v>
      </c>
      <c r="AJ204" s="76">
        <f t="shared" si="84"/>
        <v>721.17733121791525</v>
      </c>
      <c r="AK204" s="76">
        <f t="shared" si="85"/>
        <v>736.32205517349132</v>
      </c>
      <c r="AL204" s="76">
        <f t="shared" si="86"/>
        <v>751.78481833213459</v>
      </c>
      <c r="AM204" s="76">
        <f t="shared" si="87"/>
        <v>767.57229951710929</v>
      </c>
      <c r="AN204" s="76">
        <f t="shared" si="88"/>
        <v>783.69131780696841</v>
      </c>
      <c r="AP204" s="201" t="s">
        <v>214</v>
      </c>
      <c r="AQ204" s="201" t="s">
        <v>205</v>
      </c>
      <c r="AR204" s="155" cm="1">
        <f t="array" ref="AR204">_xlfn.IFS($AQ204=$AP$1,$AQ$1*AE204,$AQ204=$AP$2,$AQ$2*AE204,$AQ204=$AP$3,$AQ$3*AE204,$AQ204=$AP$4,$AQ$4*AE204)</f>
        <v>10.666950457200448</v>
      </c>
      <c r="AS204" s="155" cm="1">
        <f t="array" ref="AS204">_xlfn.IFS($AQ204=$AP$1,$AQ$1*AF204,$AQ204=$AP$2,$AQ$2*AF204,$AQ204=$AP$3,$AQ$3*AF204,$AQ204=$AP$4,$AQ$4*AF204)</f>
        <v>54.454782084008286</v>
      </c>
      <c r="AT204" s="155" cm="1">
        <f t="array" ref="AT204">_xlfn.IFS($AQ204=$AP$1,$AQ$1*AG204,$AQ204=$AP$2,$AQ$2*AG204,$AQ204=$AP$3,$AQ$3*AG204,$AQ204=$AP$4,$AQ$4*AG204)</f>
        <v>55.598332507772447</v>
      </c>
      <c r="AU204" s="155" cm="1">
        <f t="array" ref="AU204">_xlfn.IFS($AQ204=$AP$1,$AQ$1*AH204,$AQ204=$AP$2,$AQ$2*AH204,$AQ204=$AP$3,$AQ$3*AH204,$AQ204=$AP$4,$AQ$4*AH204)</f>
        <v>56.76589749043567</v>
      </c>
      <c r="AV204" s="155" cm="1">
        <f t="array" ref="AV204">_xlfn.IFS($AQ204=$AP$1,$AQ$1*AI204,$AQ204=$AP$2,$AQ$2*AI204,$AQ204=$AP$3,$AQ$3*AI204,$AQ204=$AP$4,$AQ$4*AI204)</f>
        <v>57.9579813377348</v>
      </c>
      <c r="AW204" s="155" cm="1">
        <f t="array" ref="AW204">_xlfn.IFS($AQ204=$AP$1,$AQ$1*AJ204,$AQ204=$AP$2,$AQ$2*AJ204,$AQ204=$AP$3,$AQ$3*AJ204,$AQ204=$AP$4,$AQ$4*AJ204)</f>
        <v>59.17509894582723</v>
      </c>
      <c r="AX204" s="155" cm="1">
        <f t="array" ref="AX204">_xlfn.IFS($AQ204=$AP$1,$AQ$1*AK204,$AQ204=$AP$2,$AQ$2*AK204,$AQ204=$AP$3,$AQ$3*AK204,$AQ204=$AP$4,$AQ$4*AK204)</f>
        <v>60.417776023689591</v>
      </c>
      <c r="AY204" s="155" cm="1">
        <f t="array" ref="AY204">_xlfn.IFS($AQ204=$AP$1,$AQ$1*AL204,$AQ204=$AP$2,$AQ$2*AL204,$AQ204=$AP$3,$AQ$3*AL204,$AQ204=$AP$4,$AQ$4*AL204)</f>
        <v>61.686549320187069</v>
      </c>
      <c r="AZ204" s="155" cm="1">
        <f t="array" ref="AZ204">_xlfn.IFS($AQ204=$AP$1,$AQ$1*AM204,$AQ204=$AP$2,$AQ$2*AM204,$AQ204=$AP$3,$AQ$3*AM204,$AQ204=$AP$4,$AQ$4*AM204)</f>
        <v>62.981966855910983</v>
      </c>
      <c r="BA204" s="155" cm="1">
        <f t="array" ref="BA204">_xlfn.IFS($AQ204=$AP$1,$AQ$1*AN204,$AQ204=$AP$2,$AQ$2*AN204,$AQ204=$AP$3,$AQ$3*AN204,$AQ204=$AP$4,$AQ$4*AN204)</f>
        <v>64.3045881598851</v>
      </c>
      <c r="BB204" s="155">
        <f>Table2[[#This Row],[FINAL Project System Capacity (MW)]]</f>
        <v>12</v>
      </c>
      <c r="BC204" s="155" t="str">
        <f>Table2[[#This Row],[FN Parent  '#]]</f>
        <v>FN010097</v>
      </c>
      <c r="BD204" s="155">
        <f t="shared" si="89"/>
        <v>12</v>
      </c>
      <c r="BF204" s="155">
        <f t="shared" si="91"/>
        <v>0.88891253810003734</v>
      </c>
      <c r="BG204" s="155">
        <f t="shared" si="92"/>
        <v>4.5378985070006905</v>
      </c>
      <c r="BH204" s="155">
        <f t="shared" si="93"/>
        <v>4.6331943756477036</v>
      </c>
      <c r="BI204" s="155">
        <f t="shared" si="94"/>
        <v>4.7304914575363055</v>
      </c>
      <c r="BJ204" s="155">
        <f t="shared" si="95"/>
        <v>4.829831778144567</v>
      </c>
      <c r="BK204" s="155">
        <f t="shared" si="96"/>
        <v>4.9312582454856022</v>
      </c>
      <c r="BL204" s="155">
        <f t="shared" si="97"/>
        <v>5.0348146686407995</v>
      </c>
      <c r="BM204" s="155">
        <f t="shared" si="98"/>
        <v>5.1405457766822558</v>
      </c>
      <c r="BN204" s="155">
        <f t="shared" si="99"/>
        <v>5.2484972379925816</v>
      </c>
      <c r="BO204" s="155">
        <f t="shared" si="100"/>
        <v>5.358715679990425</v>
      </c>
      <c r="BP204" s="155">
        <f t="shared" si="101"/>
        <v>4.3629979352168426</v>
      </c>
    </row>
    <row r="205" spans="1:68">
      <c r="A205" s="155" t="s">
        <v>324</v>
      </c>
      <c r="B205" s="155" t="s">
        <v>1345</v>
      </c>
      <c r="C205" s="155" t="s">
        <v>207</v>
      </c>
      <c r="D205" s="155">
        <v>3</v>
      </c>
      <c r="E205" s="189">
        <v>0</v>
      </c>
      <c r="F205" s="67">
        <v>0</v>
      </c>
      <c r="G205" s="67">
        <v>0</v>
      </c>
      <c r="H205" s="67">
        <v>0</v>
      </c>
      <c r="I205" s="67">
        <v>84</v>
      </c>
      <c r="J205" s="67">
        <v>1506</v>
      </c>
      <c r="K205" s="67">
        <v>828</v>
      </c>
      <c r="L205" s="67">
        <v>82</v>
      </c>
      <c r="M205" s="67">
        <v>0</v>
      </c>
      <c r="N205" s="67">
        <v>0</v>
      </c>
      <c r="O205" s="67">
        <v>0</v>
      </c>
      <c r="Q205" s="202" t="s">
        <v>324</v>
      </c>
      <c r="R205" s="202" t="s">
        <v>1345</v>
      </c>
      <c r="S205" s="202" t="s">
        <v>207</v>
      </c>
      <c r="T205" s="76">
        <f>SUM($E205:F205)</f>
        <v>0</v>
      </c>
      <c r="U205" s="76">
        <f>SUM($E205:G205)</f>
        <v>0</v>
      </c>
      <c r="V205" s="76">
        <f>SUM($E205:H205)</f>
        <v>0</v>
      </c>
      <c r="W205" s="76">
        <f>SUM($E205:I205)</f>
        <v>84</v>
      </c>
      <c r="X205" s="76">
        <f>SUM($E205:J205)</f>
        <v>1590</v>
      </c>
      <c r="Y205" s="76">
        <f>SUM($E205:K205)</f>
        <v>2418</v>
      </c>
      <c r="Z205" s="76">
        <f>SUM($E205:L205)</f>
        <v>2500</v>
      </c>
      <c r="AA205" s="76">
        <f>SUM($E205:M205)</f>
        <v>2500</v>
      </c>
      <c r="AB205" s="76">
        <f>SUM($E205:N205)</f>
        <v>2500</v>
      </c>
      <c r="AC205" s="76">
        <f>SUM($E205:O205)</f>
        <v>2500</v>
      </c>
      <c r="AE205" s="76">
        <f t="shared" si="79"/>
        <v>0</v>
      </c>
      <c r="AF205" s="76">
        <f t="shared" si="80"/>
        <v>0</v>
      </c>
      <c r="AG205" s="76">
        <f t="shared" si="81"/>
        <v>0</v>
      </c>
      <c r="AH205" s="76">
        <f t="shared" si="82"/>
        <v>89.403909923999976</v>
      </c>
      <c r="AI205" s="76">
        <f t="shared" si="83"/>
        <v>1727.8263491847893</v>
      </c>
      <c r="AJ205" s="76">
        <f t="shared" si="84"/>
        <v>2682.7796721306445</v>
      </c>
      <c r="AK205" s="76">
        <f t="shared" si="85"/>
        <v>2832.0079045134285</v>
      </c>
      <c r="AL205" s="76">
        <f t="shared" si="86"/>
        <v>2891.4800705082098</v>
      </c>
      <c r="AM205" s="76">
        <f t="shared" si="87"/>
        <v>2952.201151988882</v>
      </c>
      <c r="AN205" s="76">
        <f t="shared" si="88"/>
        <v>3014.197376180648</v>
      </c>
      <c r="AP205" s="202" t="s">
        <v>324</v>
      </c>
      <c r="AQ205" s="202" t="s">
        <v>207</v>
      </c>
      <c r="AR205" s="155" cm="1">
        <f t="array" ref="AR205">_xlfn.IFS($AQ205=$AP$1,$AQ$1*AE205,$AQ205=$AP$2,$AQ$2*AE205,$AQ205=$AP$3,$AQ$3*AE205,$AQ205=$AP$4,$AQ$4*AE205)</f>
        <v>0</v>
      </c>
      <c r="AS205" s="155" cm="1">
        <f t="array" ref="AS205">_xlfn.IFS($AQ205=$AP$1,$AQ$1*AF205,$AQ205=$AP$2,$AQ$2*AF205,$AQ205=$AP$3,$AQ$3*AF205,$AQ205=$AP$4,$AQ$4*AF205)</f>
        <v>0</v>
      </c>
      <c r="AT205" s="155" cm="1">
        <f t="array" ref="AT205">_xlfn.IFS($AQ205=$AP$1,$AQ$1*AG205,$AQ205=$AP$2,$AQ$2*AG205,$AQ205=$AP$3,$AQ$3*AG205,$AQ205=$AP$4,$AQ$4*AG205)</f>
        <v>0</v>
      </c>
      <c r="AU205" s="155" cm="1">
        <f t="array" ref="AU205">_xlfn.IFS($AQ205=$AP$1,$AQ$1*AH205,$AQ205=$AP$2,$AQ$2*AH205,$AQ205=$AP$3,$AQ$3*AH205,$AQ205=$AP$4,$AQ$4*AH205)</f>
        <v>7.2052477647291866</v>
      </c>
      <c r="AV205" s="155" cm="1">
        <f t="array" ref="AV205">_xlfn.IFS($AQ205=$AP$1,$AQ$1*AI205,$AQ205=$AP$2,$AQ$2*AI205,$AQ205=$AP$3,$AQ$3*AI205,$AQ205=$AP$4,$AQ$4*AI205)</f>
        <v>139.24913296171087</v>
      </c>
      <c r="AW205" s="155" cm="1">
        <f t="array" ref="AW205">_xlfn.IFS($AQ205=$AP$1,$AQ$1*AJ205,$AQ205=$AP$2,$AQ$2*AJ205,$AQ205=$AP$3,$AQ$3*AJ205,$AQ205=$AP$4,$AQ$4*AJ205)</f>
        <v>216.21081507858273</v>
      </c>
      <c r="AX205" s="155" cm="1">
        <f t="array" ref="AX205">_xlfn.IFS($AQ205=$AP$1,$AQ$1*AK205,$AQ205=$AP$2,$AQ$2*AK205,$AQ205=$AP$3,$AQ$3*AK205,$AQ205=$AP$4,$AQ$4*AK205)</f>
        <v>228.23742989581572</v>
      </c>
      <c r="AY205" s="155" cm="1">
        <f t="array" ref="AY205">_xlfn.IFS($AQ205=$AP$1,$AQ$1*AL205,$AQ205=$AP$2,$AQ$2*AL205,$AQ205=$AP$3,$AQ$3*AL205,$AQ205=$AP$4,$AQ$4*AL205)</f>
        <v>233.0304159236278</v>
      </c>
      <c r="AZ205" s="155" cm="1">
        <f t="array" ref="AZ205">_xlfn.IFS($AQ205=$AP$1,$AQ$1*AM205,$AQ205=$AP$2,$AQ$2*AM205,$AQ205=$AP$3,$AQ$3*AM205,$AQ205=$AP$4,$AQ$4*AM205)</f>
        <v>237.92405465802398</v>
      </c>
      <c r="BA205" s="155" cm="1">
        <f t="array" ref="BA205">_xlfn.IFS($AQ205=$AP$1,$AQ$1*AN205,$AQ205=$AP$2,$AQ$2*AN205,$AQ205=$AP$3,$AQ$3*AN205,$AQ205=$AP$4,$AQ$4*AN205)</f>
        <v>242.92045980584243</v>
      </c>
      <c r="BB205" s="155">
        <f>Table2[[#This Row],[FINAL Project System Capacity (MW)]]</f>
        <v>3</v>
      </c>
      <c r="BC205" s="155" t="str">
        <f>Table2[[#This Row],[FN Parent  '#]]</f>
        <v>Individual Project</v>
      </c>
      <c r="BD205" s="155">
        <f t="shared" si="89"/>
        <v>3</v>
      </c>
      <c r="BE205" s="155">
        <f t="shared" si="90"/>
        <v>3</v>
      </c>
      <c r="BF205" s="155">
        <f t="shared" si="91"/>
        <v>0</v>
      </c>
      <c r="BG205" s="155">
        <f t="shared" si="92"/>
        <v>0</v>
      </c>
      <c r="BH205" s="155">
        <f t="shared" si="93"/>
        <v>0</v>
      </c>
      <c r="BI205" s="155">
        <f t="shared" si="94"/>
        <v>2.401749254909729</v>
      </c>
      <c r="BJ205" s="155">
        <f t="shared" si="95"/>
        <v>46.416377653903623</v>
      </c>
      <c r="BK205" s="155">
        <f t="shared" si="96"/>
        <v>72.070271692860914</v>
      </c>
      <c r="BL205" s="155">
        <f t="shared" si="97"/>
        <v>76.079143298605246</v>
      </c>
      <c r="BM205" s="155">
        <f t="shared" si="98"/>
        <v>77.676805307875938</v>
      </c>
      <c r="BN205" s="155">
        <f t="shared" si="99"/>
        <v>79.308018219341321</v>
      </c>
      <c r="BO205" s="155">
        <f t="shared" si="100"/>
        <v>80.973486601947471</v>
      </c>
      <c r="BP205" s="155">
        <f t="shared" si="101"/>
        <v>37.110899722959367</v>
      </c>
    </row>
    <row r="206" spans="1:68">
      <c r="A206" s="155" t="s">
        <v>326</v>
      </c>
      <c r="B206" s="155" t="s">
        <v>1345</v>
      </c>
      <c r="C206" s="155" t="s">
        <v>208</v>
      </c>
      <c r="D206" s="155">
        <v>4.8</v>
      </c>
      <c r="E206" s="189">
        <v>233.89500000000001</v>
      </c>
      <c r="F206" s="67">
        <v>293.64998000000003</v>
      </c>
      <c r="G206" s="67">
        <v>149.18751</v>
      </c>
      <c r="H206" s="67">
        <v>0</v>
      </c>
      <c r="I206" s="67">
        <v>0</v>
      </c>
      <c r="J206" s="67">
        <v>0</v>
      </c>
      <c r="K206" s="67">
        <v>0</v>
      </c>
      <c r="L206" s="67">
        <v>0</v>
      </c>
      <c r="M206" s="67">
        <v>0</v>
      </c>
      <c r="N206" s="67">
        <v>0</v>
      </c>
      <c r="O206" s="67">
        <v>0</v>
      </c>
      <c r="Q206" s="201" t="s">
        <v>326</v>
      </c>
      <c r="R206" s="201" t="s">
        <v>1345</v>
      </c>
      <c r="S206" s="201" t="s">
        <v>208</v>
      </c>
      <c r="T206" s="76">
        <f>SUM($E206:F206)</f>
        <v>527.54498000000001</v>
      </c>
      <c r="U206" s="76">
        <f>SUM($E206:G206)</f>
        <v>676.73248999999998</v>
      </c>
      <c r="V206" s="76">
        <f>SUM($E206:H206)</f>
        <v>676.73248999999998</v>
      </c>
      <c r="W206" s="76">
        <f>SUM($E206:I206)</f>
        <v>676.73248999999998</v>
      </c>
      <c r="X206" s="76">
        <f>SUM($E206:J206)</f>
        <v>676.73248999999998</v>
      </c>
      <c r="Y206" s="76">
        <f>SUM($E206:K206)</f>
        <v>676.73248999999998</v>
      </c>
      <c r="Z206" s="76">
        <f>SUM($E206:L206)</f>
        <v>676.73248999999998</v>
      </c>
      <c r="AA206" s="76">
        <f>SUM($E206:M206)</f>
        <v>676.73248999999998</v>
      </c>
      <c r="AB206" s="76">
        <f>SUM($E206:N206)</f>
        <v>676.73248999999998</v>
      </c>
      <c r="AC206" s="76">
        <f>SUM($E206:O206)</f>
        <v>676.73248999999998</v>
      </c>
      <c r="AE206" s="76">
        <f t="shared" si="79"/>
        <v>527.54498000000001</v>
      </c>
      <c r="AF206" s="76">
        <f t="shared" si="80"/>
        <v>690.94387228999994</v>
      </c>
      <c r="AG206" s="76">
        <f t="shared" si="81"/>
        <v>705.45369360808979</v>
      </c>
      <c r="AH206" s="76">
        <f t="shared" si="82"/>
        <v>720.26822117385962</v>
      </c>
      <c r="AI206" s="76">
        <f t="shared" si="83"/>
        <v>735.39385381851059</v>
      </c>
      <c r="AJ206" s="76">
        <f t="shared" si="84"/>
        <v>750.83712474869924</v>
      </c>
      <c r="AK206" s="76">
        <f t="shared" si="85"/>
        <v>766.60470436842184</v>
      </c>
      <c r="AL206" s="76">
        <f t="shared" si="86"/>
        <v>782.70340316015859</v>
      </c>
      <c r="AM206" s="76">
        <f t="shared" si="87"/>
        <v>799.1401746265218</v>
      </c>
      <c r="AN206" s="76">
        <f t="shared" si="88"/>
        <v>815.92211829367864</v>
      </c>
      <c r="AP206" s="201" t="s">
        <v>326</v>
      </c>
      <c r="AQ206" s="201" t="s">
        <v>208</v>
      </c>
      <c r="AR206" s="155" cm="1">
        <f t="array" ref="AR206">_xlfn.IFS($AQ206=$AP$1,$AQ$1*AE206,$AQ206=$AP$2,$AQ$2*AE206,$AQ206=$AP$3,$AQ$3*AE206,$AQ206=$AP$4,$AQ$4*AE206)</f>
        <v>74.538231966745442</v>
      </c>
      <c r="AS206" s="155" cm="1">
        <f t="array" ref="AS206">_xlfn.IFS($AQ206=$AP$1,$AQ$1*AF206,$AQ206=$AP$2,$AQ$2*AF206,$AQ206=$AP$3,$AQ$3*AF206,$AQ206=$AP$4,$AQ$4*AF206)</f>
        <v>97.625295626457017</v>
      </c>
      <c r="AT206" s="155" cm="1">
        <f t="array" ref="AT206">_xlfn.IFS($AQ206=$AP$1,$AQ$1*AG206,$AQ206=$AP$2,$AQ$2*AG206,$AQ206=$AP$3,$AQ$3*AG206,$AQ206=$AP$4,$AQ$4*AG206)</f>
        <v>99.675426834612594</v>
      </c>
      <c r="AU206" s="155" cm="1">
        <f t="array" ref="AU206">_xlfn.IFS($AQ206=$AP$1,$AQ$1*AH206,$AQ206=$AP$2,$AQ$2*AH206,$AQ206=$AP$3,$AQ$3*AH206,$AQ206=$AP$4,$AQ$4*AH206)</f>
        <v>101.76861079813945</v>
      </c>
      <c r="AV206" s="155" cm="1">
        <f t="array" ref="AV206">_xlfn.IFS($AQ206=$AP$1,$AQ$1*AI206,$AQ206=$AP$2,$AQ$2*AI206,$AQ206=$AP$3,$AQ$3*AI206,$AQ206=$AP$4,$AQ$4*AI206)</f>
        <v>103.90575162490036</v>
      </c>
      <c r="AW206" s="155" cm="1">
        <f t="array" ref="AW206">_xlfn.IFS($AQ206=$AP$1,$AQ$1*AJ206,$AQ206=$AP$2,$AQ$2*AJ206,$AQ206=$AP$3,$AQ$3*AJ206,$AQ206=$AP$4,$AQ$4*AJ206)</f>
        <v>106.08777240902326</v>
      </c>
      <c r="AX206" s="155" cm="1">
        <f t="array" ref="AX206">_xlfn.IFS($AQ206=$AP$1,$AQ$1*AK206,$AQ206=$AP$2,$AQ$2*AK206,$AQ206=$AP$3,$AQ$3*AK206,$AQ206=$AP$4,$AQ$4*AK206)</f>
        <v>108.31561562961274</v>
      </c>
      <c r="AY206" s="155" cm="1">
        <f t="array" ref="AY206">_xlfn.IFS($AQ206=$AP$1,$AQ$1*AL206,$AQ206=$AP$2,$AQ$2*AL206,$AQ206=$AP$3,$AQ$3*AL206,$AQ206=$AP$4,$AQ$4*AL206)</f>
        <v>110.59024355783458</v>
      </c>
      <c r="AZ206" s="155" cm="1">
        <f t="array" ref="AZ206">_xlfn.IFS($AQ206=$AP$1,$AQ$1*AM206,$AQ206=$AP$2,$AQ$2*AM206,$AQ206=$AP$3,$AQ$3*AM206,$AQ206=$AP$4,$AQ$4*AM206)</f>
        <v>112.91263867254909</v>
      </c>
      <c r="BA206" s="155" cm="1">
        <f t="array" ref="BA206">_xlfn.IFS($AQ206=$AP$1,$AQ$1*AN206,$AQ206=$AP$2,$AQ$2*AN206,$AQ206=$AP$3,$AQ$3*AN206,$AQ206=$AP$4,$AQ$4*AN206)</f>
        <v>115.28380408467261</v>
      </c>
      <c r="BB206" s="155">
        <f>Table2[[#This Row],[FINAL Project System Capacity (MW)]]</f>
        <v>4.8</v>
      </c>
      <c r="BC206" s="155" t="str">
        <f>Table2[[#This Row],[FN Parent  '#]]</f>
        <v>Individual Project</v>
      </c>
      <c r="BD206" s="155">
        <f t="shared" si="89"/>
        <v>4.8</v>
      </c>
      <c r="BE206" s="155">
        <f t="shared" si="90"/>
        <v>4.8</v>
      </c>
      <c r="BF206" s="155">
        <f t="shared" si="91"/>
        <v>15.528798326405301</v>
      </c>
      <c r="BG206" s="155">
        <f t="shared" si="92"/>
        <v>20.338603255511881</v>
      </c>
      <c r="BH206" s="155">
        <f t="shared" si="93"/>
        <v>20.765713923877623</v>
      </c>
      <c r="BI206" s="155">
        <f t="shared" si="94"/>
        <v>21.201793916279051</v>
      </c>
      <c r="BJ206" s="155">
        <f t="shared" si="95"/>
        <v>21.64703158852091</v>
      </c>
      <c r="BK206" s="155">
        <f t="shared" si="96"/>
        <v>22.101619251879846</v>
      </c>
      <c r="BL206" s="155">
        <f t="shared" si="97"/>
        <v>22.565753256169319</v>
      </c>
      <c r="BM206" s="155">
        <f t="shared" si="98"/>
        <v>23.039634074548871</v>
      </c>
      <c r="BN206" s="155">
        <f t="shared" si="99"/>
        <v>23.523466390114397</v>
      </c>
      <c r="BO206" s="155">
        <f t="shared" si="100"/>
        <v>24.017459184306794</v>
      </c>
      <c r="BP206" s="155">
        <f t="shared" si="101"/>
        <v>21.083527496081032</v>
      </c>
    </row>
    <row r="207" spans="1:68">
      <c r="A207" s="155" t="s">
        <v>328</v>
      </c>
      <c r="B207" s="155" t="s">
        <v>1345</v>
      </c>
      <c r="C207" s="155" t="s">
        <v>207</v>
      </c>
      <c r="D207" s="155">
        <v>29.5</v>
      </c>
      <c r="E207" s="189">
        <v>0</v>
      </c>
      <c r="F207" s="67">
        <v>0</v>
      </c>
      <c r="G207" s="67">
        <v>50</v>
      </c>
      <c r="H207" s="67">
        <v>471.64</v>
      </c>
      <c r="I207" s="67">
        <v>0</v>
      </c>
      <c r="J207" s="67">
        <v>0</v>
      </c>
      <c r="K207" s="67">
        <v>0</v>
      </c>
      <c r="L207" s="67">
        <v>0</v>
      </c>
      <c r="M207" s="67">
        <v>0</v>
      </c>
      <c r="N207" s="67">
        <v>0</v>
      </c>
      <c r="O207" s="67">
        <v>0</v>
      </c>
      <c r="Q207" s="202" t="s">
        <v>328</v>
      </c>
      <c r="R207" s="202" t="s">
        <v>1345</v>
      </c>
      <c r="S207" s="202" t="s">
        <v>207</v>
      </c>
      <c r="T207" s="76">
        <f>SUM($E207:F207)</f>
        <v>0</v>
      </c>
      <c r="U207" s="76">
        <f>SUM($E207:G207)</f>
        <v>50</v>
      </c>
      <c r="V207" s="76">
        <f>SUM($E207:H207)</f>
        <v>521.64</v>
      </c>
      <c r="W207" s="76">
        <f>SUM($E207:I207)</f>
        <v>521.64</v>
      </c>
      <c r="X207" s="76">
        <f>SUM($E207:J207)</f>
        <v>521.64</v>
      </c>
      <c r="Y207" s="76">
        <f>SUM($E207:K207)</f>
        <v>521.64</v>
      </c>
      <c r="Z207" s="76">
        <f>SUM($E207:L207)</f>
        <v>521.64</v>
      </c>
      <c r="AA207" s="76">
        <f>SUM($E207:M207)</f>
        <v>521.64</v>
      </c>
      <c r="AB207" s="76">
        <f>SUM($E207:N207)</f>
        <v>521.64</v>
      </c>
      <c r="AC207" s="76">
        <f>SUM($E207:O207)</f>
        <v>521.64</v>
      </c>
      <c r="AE207" s="76">
        <f t="shared" si="79"/>
        <v>0</v>
      </c>
      <c r="AF207" s="76">
        <f t="shared" si="80"/>
        <v>51.05</v>
      </c>
      <c r="AG207" s="76">
        <f t="shared" si="81"/>
        <v>543.77892323999981</v>
      </c>
      <c r="AH207" s="76">
        <f t="shared" si="82"/>
        <v>555.19828062803981</v>
      </c>
      <c r="AI207" s="76">
        <f t="shared" si="83"/>
        <v>566.85744452122856</v>
      </c>
      <c r="AJ207" s="76">
        <f t="shared" si="84"/>
        <v>578.76145085617429</v>
      </c>
      <c r="AK207" s="76">
        <f t="shared" si="85"/>
        <v>590.9154413241539</v>
      </c>
      <c r="AL207" s="76">
        <f t="shared" si="86"/>
        <v>603.32466559196109</v>
      </c>
      <c r="AM207" s="76">
        <f t="shared" si="87"/>
        <v>615.99448356939217</v>
      </c>
      <c r="AN207" s="76">
        <f t="shared" si="88"/>
        <v>628.93036772434925</v>
      </c>
      <c r="AP207" s="202" t="s">
        <v>328</v>
      </c>
      <c r="AQ207" s="202" t="s">
        <v>207</v>
      </c>
      <c r="AR207" s="155" cm="1">
        <f t="array" ref="AR207">_xlfn.IFS($AQ207=$AP$1,$AQ$1*AE207,$AQ207=$AP$2,$AQ$2*AE207,$AQ207=$AP$3,$AQ$3*AE207,$AQ207=$AP$4,$AQ$4*AE207)</f>
        <v>0</v>
      </c>
      <c r="AS207" s="155" cm="1">
        <f t="array" ref="AS207">_xlfn.IFS($AQ207=$AP$1,$AQ$1*AF207,$AQ207=$AP$2,$AQ$2*AF207,$AQ207=$AP$3,$AQ$3*AF207,$AQ207=$AP$4,$AQ$4*AF207)</f>
        <v>4.114226085884904</v>
      </c>
      <c r="AT207" s="155" cm="1">
        <f t="array" ref="AT207">_xlfn.IFS($AQ207=$AP$1,$AQ$1*AG207,$AQ207=$AP$2,$AQ$2*AG207,$AQ207=$AP$3,$AQ$3*AG207,$AQ207=$AP$4,$AQ$4*AG207)</f>
        <v>43.824278764905237</v>
      </c>
      <c r="AU207" s="155" cm="1">
        <f t="array" ref="AU207">_xlfn.IFS($AQ207=$AP$1,$AQ$1*AH207,$AQ207=$AP$2,$AQ$2*AH207,$AQ207=$AP$3,$AQ$3*AH207,$AQ207=$AP$4,$AQ$4*AH207)</f>
        <v>44.744588618968244</v>
      </c>
      <c r="AV207" s="155" cm="1">
        <f t="array" ref="AV207">_xlfn.IFS($AQ207=$AP$1,$AQ$1*AI207,$AQ207=$AP$2,$AQ$2*AI207,$AQ207=$AP$3,$AQ$3*AI207,$AQ207=$AP$4,$AQ$4*AI207)</f>
        <v>45.684224979966572</v>
      </c>
      <c r="AW207" s="155" cm="1">
        <f t="array" ref="AW207">_xlfn.IFS($AQ207=$AP$1,$AQ$1*AJ207,$AQ207=$AP$2,$AQ$2*AJ207,$AQ207=$AP$3,$AQ$3*AJ207,$AQ207=$AP$4,$AQ$4*AJ207)</f>
        <v>46.643593704545864</v>
      </c>
      <c r="AX207" s="155" cm="1">
        <f t="array" ref="AX207">_xlfn.IFS($AQ207=$AP$1,$AQ$1*AK207,$AQ207=$AP$2,$AQ$2*AK207,$AQ207=$AP$3,$AQ$3*AK207,$AQ207=$AP$4,$AQ$4*AK207)</f>
        <v>47.623109172341323</v>
      </c>
      <c r="AY207" s="155" cm="1">
        <f t="array" ref="AY207">_xlfn.IFS($AQ207=$AP$1,$AQ$1*AL207,$AQ207=$AP$2,$AQ$2*AL207,$AQ207=$AP$3,$AQ$3*AL207,$AQ207=$AP$4,$AQ$4*AL207)</f>
        <v>48.623194464960491</v>
      </c>
      <c r="AZ207" s="155" cm="1">
        <f t="array" ref="AZ207">_xlfn.IFS($AQ207=$AP$1,$AQ$1*AM207,$AQ207=$AP$2,$AQ$2*AM207,$AQ207=$AP$3,$AQ$3*AM207,$AQ207=$AP$4,$AQ$4*AM207)</f>
        <v>49.644281548724649</v>
      </c>
      <c r="BA207" s="155" cm="1">
        <f t="array" ref="BA207">_xlfn.IFS($AQ207=$AP$1,$AQ$1*AN207,$AQ207=$AP$2,$AQ$2*AN207,$AQ207=$AP$3,$AQ$3*AN207,$AQ207=$AP$4,$AQ$4*AN207)</f>
        <v>50.686811461247856</v>
      </c>
      <c r="BB207" s="155">
        <f>Table2[[#This Row],[FINAL Project System Capacity (MW)]]</f>
        <v>29.5</v>
      </c>
      <c r="BC207" s="155" t="str">
        <f>Table2[[#This Row],[FN Parent  '#]]</f>
        <v>Individual Project</v>
      </c>
      <c r="BD207" s="155">
        <f t="shared" si="89"/>
        <v>29.5</v>
      </c>
      <c r="BE207" s="155">
        <f t="shared" si="90"/>
        <v>29.5</v>
      </c>
      <c r="BF207" s="155">
        <f t="shared" si="91"/>
        <v>0</v>
      </c>
      <c r="BG207" s="155">
        <f t="shared" si="92"/>
        <v>0.13946529104694591</v>
      </c>
      <c r="BH207" s="155">
        <f t="shared" si="93"/>
        <v>1.485568771691703</v>
      </c>
      <c r="BI207" s="155">
        <f t="shared" si="94"/>
        <v>1.5167657158972285</v>
      </c>
      <c r="BJ207" s="155">
        <f t="shared" si="95"/>
        <v>1.5486177959310703</v>
      </c>
      <c r="BK207" s="155">
        <f t="shared" si="96"/>
        <v>1.5811387696456225</v>
      </c>
      <c r="BL207" s="155">
        <f t="shared" si="97"/>
        <v>1.6143426838081805</v>
      </c>
      <c r="BM207" s="155">
        <f t="shared" si="98"/>
        <v>1.6482438801681523</v>
      </c>
      <c r="BN207" s="155">
        <f t="shared" si="99"/>
        <v>1.6828570016516831</v>
      </c>
      <c r="BO207" s="155">
        <f t="shared" si="100"/>
        <v>1.7181969986863681</v>
      </c>
      <c r="BP207" s="155">
        <f t="shared" si="101"/>
        <v>1.1981773529651205</v>
      </c>
    </row>
    <row r="208" spans="1:68">
      <c r="A208" s="155" t="s">
        <v>330</v>
      </c>
      <c r="B208" s="155" t="s">
        <v>1345</v>
      </c>
      <c r="C208" s="155" t="s">
        <v>207</v>
      </c>
      <c r="D208" s="155">
        <v>9.1</v>
      </c>
      <c r="E208" s="189">
        <v>2.18716</v>
      </c>
      <c r="F208" s="67">
        <v>0</v>
      </c>
      <c r="G208" s="67">
        <v>10.14751</v>
      </c>
      <c r="H208" s="67">
        <v>0</v>
      </c>
      <c r="I208" s="67">
        <v>0</v>
      </c>
      <c r="J208" s="67">
        <v>0</v>
      </c>
      <c r="K208" s="67">
        <v>0</v>
      </c>
      <c r="L208" s="67">
        <v>15.25</v>
      </c>
      <c r="M208" s="67">
        <v>188.13042999999999</v>
      </c>
      <c r="N208" s="67">
        <v>225.0181</v>
      </c>
      <c r="O208" s="67">
        <v>9.1666699999999999</v>
      </c>
      <c r="Q208" s="201" t="s">
        <v>330</v>
      </c>
      <c r="R208" s="201" t="s">
        <v>1345</v>
      </c>
      <c r="S208" s="201" t="s">
        <v>207</v>
      </c>
      <c r="T208" s="76">
        <f>SUM($E208:F208)</f>
        <v>2.18716</v>
      </c>
      <c r="U208" s="76">
        <f>SUM($E208:G208)</f>
        <v>12.334670000000001</v>
      </c>
      <c r="V208" s="76">
        <f>SUM($E208:H208)</f>
        <v>12.334670000000001</v>
      </c>
      <c r="W208" s="76">
        <f>SUM($E208:I208)</f>
        <v>12.334670000000001</v>
      </c>
      <c r="X208" s="76">
        <f>SUM($E208:J208)</f>
        <v>12.334670000000001</v>
      </c>
      <c r="Y208" s="76">
        <f>SUM($E208:K208)</f>
        <v>12.334670000000001</v>
      </c>
      <c r="Z208" s="76">
        <f>SUM($E208:L208)</f>
        <v>27.584670000000003</v>
      </c>
      <c r="AA208" s="76">
        <f>SUM($E208:M208)</f>
        <v>215.71510000000001</v>
      </c>
      <c r="AB208" s="76">
        <f>SUM($E208:N208)</f>
        <v>440.73320000000001</v>
      </c>
      <c r="AC208" s="76">
        <f>SUM($E208:O208)</f>
        <v>449.89987000000002</v>
      </c>
      <c r="AE208" s="76">
        <f t="shared" si="79"/>
        <v>2.18716</v>
      </c>
      <c r="AF208" s="76">
        <f t="shared" si="80"/>
        <v>12.59369807</v>
      </c>
      <c r="AG208" s="76">
        <f t="shared" si="81"/>
        <v>12.858165729469997</v>
      </c>
      <c r="AH208" s="76">
        <f t="shared" si="82"/>
        <v>13.128187209788868</v>
      </c>
      <c r="AI208" s="76">
        <f t="shared" si="83"/>
        <v>13.40387914119443</v>
      </c>
      <c r="AJ208" s="76">
        <f t="shared" si="84"/>
        <v>13.685360603159511</v>
      </c>
      <c r="AK208" s="76">
        <f t="shared" si="85"/>
        <v>31.248001393357775</v>
      </c>
      <c r="AL208" s="76">
        <f t="shared" si="86"/>
        <v>249.49436502307424</v>
      </c>
      <c r="AM208" s="76">
        <f t="shared" si="87"/>
        <v>520.45322430389854</v>
      </c>
      <c r="AN208" s="76">
        <f t="shared" si="88"/>
        <v>542.43480307920584</v>
      </c>
      <c r="AP208" s="201" t="s">
        <v>330</v>
      </c>
      <c r="AQ208" s="201" t="s">
        <v>207</v>
      </c>
      <c r="AR208" s="155" cm="1">
        <f t="array" ref="AR208">_xlfn.IFS($AQ208=$AP$1,$AQ$1*AE208,$AQ208=$AP$2,$AQ$2*AE208,$AQ208=$AP$3,$AQ$3*AE208,$AQ208=$AP$4,$AQ$4*AE208)</f>
        <v>0.1762677909109506</v>
      </c>
      <c r="AS208" s="155" cm="1">
        <f t="array" ref="AS208">_xlfn.IFS($AQ208=$AP$1,$AQ$1*AF208,$AQ208=$AP$2,$AQ$2*AF208,$AQ208=$AP$3,$AQ$3*AF208,$AQ208=$AP$4,$AQ$4*AF208)</f>
        <v>1.0149524214956391</v>
      </c>
      <c r="AT208" s="155" cm="1">
        <f t="array" ref="AT208">_xlfn.IFS($AQ208=$AP$1,$AQ$1*AG208,$AQ208=$AP$2,$AQ$2*AG208,$AQ208=$AP$3,$AQ$3*AG208,$AQ208=$AP$4,$AQ$4*AG208)</f>
        <v>1.0362664223470472</v>
      </c>
      <c r="AU208" s="155" cm="1">
        <f t="array" ref="AU208">_xlfn.IFS($AQ208=$AP$1,$AQ$1*AH208,$AQ208=$AP$2,$AQ$2*AH208,$AQ208=$AP$3,$AQ$3*AH208,$AQ208=$AP$4,$AQ$4*AH208)</f>
        <v>1.0580280172163354</v>
      </c>
      <c r="AV208" s="155" cm="1">
        <f t="array" ref="AV208">_xlfn.IFS($AQ208=$AP$1,$AQ$1*AI208,$AQ208=$AP$2,$AQ$2*AI208,$AQ208=$AP$3,$AQ$3*AI208,$AQ208=$AP$4,$AQ$4*AI208)</f>
        <v>1.0802466055778781</v>
      </c>
      <c r="AW208" s="155" cm="1">
        <f t="array" ref="AW208">_xlfn.IFS($AQ208=$AP$1,$AQ$1*AJ208,$AQ208=$AP$2,$AQ$2*AJ208,$AQ208=$AP$3,$AQ$3*AJ208,$AQ208=$AP$4,$AQ$4*AJ208)</f>
        <v>1.1029317842950133</v>
      </c>
      <c r="AX208" s="155" cm="1">
        <f t="array" ref="AX208">_xlfn.IFS($AQ208=$AP$1,$AQ$1*AK208,$AQ208=$AP$2,$AQ$2*AK208,$AQ208=$AP$3,$AQ$3*AK208,$AQ208=$AP$4,$AQ$4*AK208)</f>
        <v>2.5183416741296845</v>
      </c>
      <c r="AY208" s="155" cm="1">
        <f t="array" ref="AY208">_xlfn.IFS($AQ208=$AP$1,$AQ$1*AL208,$AQ208=$AP$2,$AQ$2*AL208,$AQ208=$AP$3,$AQ$3*AL208,$AQ208=$AP$4,$AQ$4*AL208)</f>
        <v>20.107271789602787</v>
      </c>
      <c r="AZ208" s="155" cm="1">
        <f t="array" ref="AZ208">_xlfn.IFS($AQ208=$AP$1,$AQ$1*AM208,$AQ208=$AP$2,$AQ$2*AM208,$AQ208=$AP$3,$AQ$3*AM208,$AQ208=$AP$4,$AQ$4*AM208)</f>
        <v>41.944411986562322</v>
      </c>
      <c r="BA208" s="155" cm="1">
        <f t="array" ref="BA208">_xlfn.IFS($AQ208=$AP$1,$AQ$1*AN208,$AQ208=$AP$2,$AQ$2*AN208,$AQ208=$AP$3,$AQ$3*AN208,$AQ208=$AP$4,$AQ$4*AN208)</f>
        <v>43.715953314795492</v>
      </c>
      <c r="BB208" s="155">
        <f>Table2[[#This Row],[FINAL Project System Capacity (MW)]]</f>
        <v>9.1</v>
      </c>
      <c r="BC208" s="155" t="str">
        <f>Table2[[#This Row],[FN Parent  '#]]</f>
        <v>Individual Project</v>
      </c>
      <c r="BD208" s="155">
        <f t="shared" si="89"/>
        <v>9.1</v>
      </c>
      <c r="BE208" s="155">
        <f t="shared" si="90"/>
        <v>9.1</v>
      </c>
      <c r="BF208" s="155">
        <f t="shared" si="91"/>
        <v>1.9370086913291274E-2</v>
      </c>
      <c r="BG208" s="155">
        <f t="shared" si="92"/>
        <v>0.11153323313138892</v>
      </c>
      <c r="BH208" s="155">
        <f t="shared" si="93"/>
        <v>0.11387543102714805</v>
      </c>
      <c r="BI208" s="155">
        <f t="shared" si="94"/>
        <v>0.11626681507871818</v>
      </c>
      <c r="BJ208" s="155">
        <f t="shared" si="95"/>
        <v>0.11870841819537123</v>
      </c>
      <c r="BK208" s="155">
        <f t="shared" si="96"/>
        <v>0.12120129497747399</v>
      </c>
      <c r="BL208" s="155">
        <f t="shared" si="97"/>
        <v>0.27674084331095433</v>
      </c>
      <c r="BM208" s="155">
        <f t="shared" si="98"/>
        <v>2.2095903065497571</v>
      </c>
      <c r="BN208" s="155">
        <f t="shared" si="99"/>
        <v>4.6092760424793759</v>
      </c>
      <c r="BO208" s="155">
        <f t="shared" si="100"/>
        <v>4.8039509137137903</v>
      </c>
      <c r="BP208" s="155">
        <f t="shared" si="101"/>
        <v>0.98270428383678776</v>
      </c>
    </row>
    <row r="209" spans="1:68">
      <c r="A209" s="155" t="s">
        <v>331</v>
      </c>
      <c r="B209" s="155" t="s">
        <v>1345</v>
      </c>
      <c r="C209" s="155" t="s">
        <v>208</v>
      </c>
      <c r="D209" s="155">
        <v>2.5</v>
      </c>
      <c r="E209" s="189">
        <v>72.806080000000009</v>
      </c>
      <c r="F209" s="67">
        <v>437.76</v>
      </c>
      <c r="G209" s="67">
        <v>0</v>
      </c>
      <c r="H209" s="67">
        <v>0</v>
      </c>
      <c r="I209" s="67">
        <v>0</v>
      </c>
      <c r="J209" s="67">
        <v>0</v>
      </c>
      <c r="K209" s="67">
        <v>0</v>
      </c>
      <c r="L209" s="67">
        <v>0</v>
      </c>
      <c r="M209" s="67">
        <v>0</v>
      </c>
      <c r="N209" s="67">
        <v>0</v>
      </c>
      <c r="O209" s="67">
        <v>0</v>
      </c>
      <c r="Q209" s="202" t="s">
        <v>331</v>
      </c>
      <c r="R209" s="202" t="s">
        <v>1345</v>
      </c>
      <c r="S209" s="202" t="s">
        <v>208</v>
      </c>
      <c r="T209" s="76">
        <f>SUM($E209:F209)</f>
        <v>510.56608</v>
      </c>
      <c r="U209" s="76">
        <f>SUM($E209:G209)</f>
        <v>510.56608</v>
      </c>
      <c r="V209" s="76">
        <f>SUM($E209:H209)</f>
        <v>510.56608</v>
      </c>
      <c r="W209" s="76">
        <f>SUM($E209:I209)</f>
        <v>510.56608</v>
      </c>
      <c r="X209" s="76">
        <f>SUM($E209:J209)</f>
        <v>510.56608</v>
      </c>
      <c r="Y209" s="76">
        <f>SUM($E209:K209)</f>
        <v>510.56608</v>
      </c>
      <c r="Z209" s="76">
        <f>SUM($E209:L209)</f>
        <v>510.56608</v>
      </c>
      <c r="AA209" s="76">
        <f>SUM($E209:M209)</f>
        <v>510.56608</v>
      </c>
      <c r="AB209" s="76">
        <f>SUM($E209:N209)</f>
        <v>510.56608</v>
      </c>
      <c r="AC209" s="76">
        <f>SUM($E209:O209)</f>
        <v>510.56608</v>
      </c>
      <c r="AE209" s="76">
        <f t="shared" si="79"/>
        <v>510.56608</v>
      </c>
      <c r="AF209" s="76">
        <f t="shared" si="80"/>
        <v>521.28796767999995</v>
      </c>
      <c r="AG209" s="76">
        <f t="shared" si="81"/>
        <v>532.23501500127986</v>
      </c>
      <c r="AH209" s="76">
        <f t="shared" si="82"/>
        <v>543.41195031630673</v>
      </c>
      <c r="AI209" s="76">
        <f t="shared" si="83"/>
        <v>554.82360127294908</v>
      </c>
      <c r="AJ209" s="76">
        <f t="shared" si="84"/>
        <v>566.47489689968086</v>
      </c>
      <c r="AK209" s="76">
        <f t="shared" si="85"/>
        <v>578.37086973457417</v>
      </c>
      <c r="AL209" s="76">
        <f t="shared" si="86"/>
        <v>590.51665799900013</v>
      </c>
      <c r="AM209" s="76">
        <f t="shared" si="87"/>
        <v>602.91750781697908</v>
      </c>
      <c r="AN209" s="76">
        <f t="shared" si="88"/>
        <v>615.57877548113549</v>
      </c>
      <c r="AP209" s="202" t="s">
        <v>331</v>
      </c>
      <c r="AQ209" s="202" t="s">
        <v>208</v>
      </c>
      <c r="AR209" s="155" cm="1">
        <f t="array" ref="AR209">_xlfn.IFS($AQ209=$AP$1,$AQ$1*AE209,$AQ209=$AP$2,$AQ$2*AE209,$AQ209=$AP$3,$AQ$3*AE209,$AQ209=$AP$4,$AQ$4*AE209)</f>
        <v>72.139238071020799</v>
      </c>
      <c r="AS209" s="155" cm="1">
        <f t="array" ref="AS209">_xlfn.IFS($AQ209=$AP$1,$AQ$1*AF209,$AQ209=$AP$2,$AQ$2*AF209,$AQ209=$AP$3,$AQ$3*AF209,$AQ209=$AP$4,$AQ$4*AF209)</f>
        <v>73.654162070512228</v>
      </c>
      <c r="AT209" s="155" cm="1">
        <f t="array" ref="AT209">_xlfn.IFS($AQ209=$AP$1,$AQ$1*AG209,$AQ209=$AP$2,$AQ$2*AG209,$AQ209=$AP$3,$AQ$3*AG209,$AQ209=$AP$4,$AQ$4*AG209)</f>
        <v>75.200899473992976</v>
      </c>
      <c r="AU209" s="155" cm="1">
        <f t="array" ref="AU209">_xlfn.IFS($AQ209=$AP$1,$AQ$1*AH209,$AQ209=$AP$2,$AQ$2*AH209,$AQ209=$AP$3,$AQ$3*AH209,$AQ209=$AP$4,$AQ$4*AH209)</f>
        <v>76.780118362946823</v>
      </c>
      <c r="AV209" s="155" cm="1">
        <f t="array" ref="AV209">_xlfn.IFS($AQ209=$AP$1,$AQ$1*AI209,$AQ209=$AP$2,$AQ$2*AI209,$AQ209=$AP$3,$AQ$3*AI209,$AQ209=$AP$4,$AQ$4*AI209)</f>
        <v>78.392500848568702</v>
      </c>
      <c r="AW209" s="155" cm="1">
        <f t="array" ref="AW209">_xlfn.IFS($AQ209=$AP$1,$AQ$1*AJ209,$AQ209=$AP$2,$AQ$2*AJ209,$AQ209=$AP$3,$AQ$3*AJ209,$AQ209=$AP$4,$AQ$4*AJ209)</f>
        <v>80.038743366388616</v>
      </c>
      <c r="AX209" s="155" cm="1">
        <f t="array" ref="AX209">_xlfn.IFS($AQ209=$AP$1,$AQ$1*AK209,$AQ209=$AP$2,$AQ$2*AK209,$AQ209=$AP$3,$AQ$3*AK209,$AQ209=$AP$4,$AQ$4*AK209)</f>
        <v>81.719556977082789</v>
      </c>
      <c r="AY209" s="155" cm="1">
        <f t="array" ref="AY209">_xlfn.IFS($AQ209=$AP$1,$AQ$1*AL209,$AQ209=$AP$2,$AQ$2*AL209,$AQ209=$AP$3,$AQ$3*AL209,$AQ209=$AP$4,$AQ$4*AL209)</f>
        <v>83.435667673601515</v>
      </c>
      <c r="AZ209" s="155" cm="1">
        <f t="array" ref="AZ209">_xlfn.IFS($AQ209=$AP$1,$AQ$1*AM209,$AQ209=$AP$2,$AQ$2*AM209,$AQ209=$AP$3,$AQ$3*AM209,$AQ209=$AP$4,$AQ$4*AM209)</f>
        <v>85.187816694747127</v>
      </c>
      <c r="BA209" s="155" cm="1">
        <f t="array" ref="BA209">_xlfn.IFS($AQ209=$AP$1,$AQ$1*AN209,$AQ209=$AP$2,$AQ$2*AN209,$AQ209=$AP$3,$AQ$3*AN209,$AQ209=$AP$4,$AQ$4*AN209)</f>
        <v>86.976760845336798</v>
      </c>
      <c r="BB209" s="155">
        <f>Table2[[#This Row],[FINAL Project System Capacity (MW)]]</f>
        <v>2.5</v>
      </c>
      <c r="BC209" s="155" t="str">
        <f>Table2[[#This Row],[FN Parent  '#]]</f>
        <v>Individual Project</v>
      </c>
      <c r="BD209" s="155">
        <f t="shared" si="89"/>
        <v>2.5</v>
      </c>
      <c r="BE209" s="155">
        <f t="shared" si="90"/>
        <v>2.5</v>
      </c>
      <c r="BF209" s="155">
        <f t="shared" si="91"/>
        <v>28.855695228408319</v>
      </c>
      <c r="BG209" s="155">
        <f t="shared" si="92"/>
        <v>29.461664828204892</v>
      </c>
      <c r="BH209" s="155">
        <f t="shared" si="93"/>
        <v>30.080359789597189</v>
      </c>
      <c r="BI209" s="155">
        <f t="shared" si="94"/>
        <v>30.712047345178728</v>
      </c>
      <c r="BJ209" s="155">
        <f t="shared" si="95"/>
        <v>31.357000339427479</v>
      </c>
      <c r="BK209" s="155">
        <f t="shared" si="96"/>
        <v>32.015497346555449</v>
      </c>
      <c r="BL209" s="155">
        <f t="shared" si="97"/>
        <v>32.687822790833117</v>
      </c>
      <c r="BM209" s="155">
        <f t="shared" si="98"/>
        <v>33.374267069440606</v>
      </c>
      <c r="BN209" s="155">
        <f t="shared" si="99"/>
        <v>34.075126677898851</v>
      </c>
      <c r="BO209" s="155">
        <f t="shared" si="100"/>
        <v>34.790704338134717</v>
      </c>
      <c r="BP209" s="155">
        <f t="shared" si="101"/>
        <v>31.383132119017084</v>
      </c>
    </row>
    <row r="210" spans="1:68">
      <c r="A210" s="155" t="s">
        <v>333</v>
      </c>
      <c r="B210" s="155" t="s">
        <v>1345</v>
      </c>
      <c r="C210" s="155" t="s">
        <v>208</v>
      </c>
      <c r="D210" s="155">
        <v>2.0609999999999999</v>
      </c>
      <c r="E210" s="189">
        <v>7.4305599999999998</v>
      </c>
      <c r="F210" s="67">
        <v>0</v>
      </c>
      <c r="G210" s="67">
        <v>0</v>
      </c>
      <c r="H210" s="67">
        <v>0</v>
      </c>
      <c r="I210" s="67">
        <v>1390.60989</v>
      </c>
      <c r="J210" s="67">
        <v>0</v>
      </c>
      <c r="K210" s="67">
        <v>0</v>
      </c>
      <c r="L210" s="67">
        <v>0</v>
      </c>
      <c r="M210" s="67">
        <v>0</v>
      </c>
      <c r="N210" s="67">
        <v>0</v>
      </c>
      <c r="O210" s="67">
        <v>0</v>
      </c>
      <c r="Q210" s="201" t="s">
        <v>333</v>
      </c>
      <c r="R210" s="201" t="s">
        <v>1345</v>
      </c>
      <c r="S210" s="201" t="s">
        <v>208</v>
      </c>
      <c r="T210" s="76">
        <f>SUM($E210:F211)</f>
        <v>120.74128</v>
      </c>
      <c r="U210" s="76">
        <f>SUM($E210:G211)</f>
        <v>176.74128000000002</v>
      </c>
      <c r="V210" s="76">
        <f>SUM($E210:H211)</f>
        <v>932.74127999999996</v>
      </c>
      <c r="W210" s="76">
        <f>SUM($E210:I211)</f>
        <v>2323.3511699999999</v>
      </c>
      <c r="X210" s="76">
        <f>SUM($E210:J211)</f>
        <v>2323.3511699999999</v>
      </c>
      <c r="Y210" s="76">
        <f>SUM($E210:K211)</f>
        <v>2323.3511699999999</v>
      </c>
      <c r="Z210" s="76">
        <f>SUM($E210:L211)</f>
        <v>2323.3511699999999</v>
      </c>
      <c r="AA210" s="76">
        <f>SUM($E210:M211)</f>
        <v>2323.3511699999999</v>
      </c>
      <c r="AB210" s="76">
        <f>SUM($E210:N211)</f>
        <v>2323.3511699999999</v>
      </c>
      <c r="AC210" s="76">
        <f>SUM($E210:O211)</f>
        <v>2323.3511699999999</v>
      </c>
      <c r="AE210" s="76">
        <f t="shared" si="79"/>
        <v>120.74128</v>
      </c>
      <c r="AF210" s="76">
        <f t="shared" si="80"/>
        <v>180.45284688000001</v>
      </c>
      <c r="AG210" s="76">
        <f t="shared" si="81"/>
        <v>972.3277526644797</v>
      </c>
      <c r="AH210" s="76">
        <f t="shared" si="82"/>
        <v>2472.8176038630945</v>
      </c>
      <c r="AI210" s="76">
        <f t="shared" si="83"/>
        <v>2524.7467735442192</v>
      </c>
      <c r="AJ210" s="76">
        <f t="shared" si="84"/>
        <v>2577.7664557886474</v>
      </c>
      <c r="AK210" s="76">
        <f t="shared" si="85"/>
        <v>2631.8995513602085</v>
      </c>
      <c r="AL210" s="76">
        <f t="shared" si="86"/>
        <v>2687.1694419387727</v>
      </c>
      <c r="AM210" s="76">
        <f t="shared" si="87"/>
        <v>2743.6000002194864</v>
      </c>
      <c r="AN210" s="76">
        <f t="shared" si="88"/>
        <v>2801.2156002240954</v>
      </c>
      <c r="AP210" s="201" t="s">
        <v>333</v>
      </c>
      <c r="AQ210" s="201" t="s">
        <v>208</v>
      </c>
      <c r="AR210" s="155" cm="1">
        <f t="array" ref="AR210">_xlfn.IFS($AQ210=$AP$1,$AQ$1*AE210,$AQ210=$AP$2,$AQ$2*AE210,$AQ210=$AP$3,$AQ$3*AE210,$AQ210=$AP$4,$AQ$4*AE210)</f>
        <v>17.059856273491146</v>
      </c>
      <c r="AS210" s="155" cm="1">
        <f t="array" ref="AS210">_xlfn.IFS($AQ210=$AP$1,$AQ$1*AF210,$AQ210=$AP$2,$AQ$2*AF210,$AQ210=$AP$3,$AQ$3*AF210,$AQ210=$AP$4,$AQ$4*AF210)</f>
        <v>25.496662217885262</v>
      </c>
      <c r="AT210" s="155" cm="1">
        <f t="array" ref="AT210">_xlfn.IFS($AQ210=$AP$1,$AQ$1*AG210,$AQ210=$AP$2,$AQ$2*AG210,$AQ210=$AP$3,$AQ$3*AG210,$AQ210=$AP$4,$AQ$4*AG210)</f>
        <v>137.38277175115812</v>
      </c>
      <c r="AU210" s="155" cm="1">
        <f t="array" ref="AU210">_xlfn.IFS($AQ210=$AP$1,$AQ$1*AH210,$AQ210=$AP$2,$AQ$2*AH210,$AQ210=$AP$3,$AQ$3*AH210,$AQ210=$AP$4,$AQ$4*AH210)</f>
        <v>349.39096978649854</v>
      </c>
      <c r="AV210" s="155" cm="1">
        <f t="array" ref="AV210">_xlfn.IFS($AQ210=$AP$1,$AQ$1*AI210,$AQ210=$AP$2,$AQ$2*AI210,$AQ210=$AP$3,$AQ$3*AI210,$AQ210=$AP$4,$AQ$4*AI210)</f>
        <v>356.72818015201494</v>
      </c>
      <c r="AW210" s="155" cm="1">
        <f t="array" ref="AW210">_xlfn.IFS($AQ210=$AP$1,$AQ$1*AJ210,$AQ210=$AP$2,$AQ$2*AJ210,$AQ210=$AP$3,$AQ$3*AJ210,$AQ210=$AP$4,$AQ$4*AJ210)</f>
        <v>364.2194719352072</v>
      </c>
      <c r="AX210" s="155" cm="1">
        <f t="array" ref="AX210">_xlfn.IFS($AQ210=$AP$1,$AQ$1*AK210,$AQ210=$AP$2,$AQ$2*AK210,$AQ210=$AP$3,$AQ$3*AK210,$AQ210=$AP$4,$AQ$4*AK210)</f>
        <v>371.86808084584652</v>
      </c>
      <c r="AY210" s="155" cm="1">
        <f t="array" ref="AY210">_xlfn.IFS($AQ210=$AP$1,$AQ$1*AL210,$AQ210=$AP$2,$AQ$2*AL210,$AQ210=$AP$3,$AQ$3*AL210,$AQ210=$AP$4,$AQ$4*AL210)</f>
        <v>379.67731054360922</v>
      </c>
      <c r="AZ210" s="155" cm="1">
        <f t="array" ref="AZ210">_xlfn.IFS($AQ210=$AP$1,$AQ$1*AM210,$AQ210=$AP$2,$AQ$2*AM210,$AQ210=$AP$3,$AQ$3*AM210,$AQ210=$AP$4,$AQ$4*AM210)</f>
        <v>387.65053406502494</v>
      </c>
      <c r="BA210" s="155" cm="1">
        <f t="array" ref="BA210">_xlfn.IFS($AQ210=$AP$1,$AQ$1*AN210,$AQ210=$AP$2,$AQ$2*AN210,$AQ210=$AP$3,$AQ$3*AN210,$AQ210=$AP$4,$AQ$4*AN210)</f>
        <v>395.79119528039047</v>
      </c>
      <c r="BB210" s="155">
        <f>Table2[[#This Row],[FINAL Project System Capacity (MW)]]</f>
        <v>2.0609999999999999</v>
      </c>
      <c r="BC210" s="155" t="str">
        <f>Table2[[#This Row],[FN Parent  '#]]</f>
        <v>Individual Project</v>
      </c>
      <c r="BD210" s="155">
        <f>BB210+BB211</f>
        <v>4.0270000000000001</v>
      </c>
      <c r="BE210" s="155">
        <f t="shared" si="90"/>
        <v>4.0270000000000001</v>
      </c>
      <c r="BF210" s="155">
        <f t="shared" si="91"/>
        <v>4.2363685804547169</v>
      </c>
      <c r="BG210" s="155">
        <f t="shared" si="92"/>
        <v>6.3314284126856872</v>
      </c>
      <c r="BH210" s="155">
        <f t="shared" si="93"/>
        <v>34.115413894004995</v>
      </c>
      <c r="BI210" s="155">
        <f t="shared" si="94"/>
        <v>86.76209828321295</v>
      </c>
      <c r="BJ210" s="155">
        <f t="shared" si="95"/>
        <v>88.584102347160396</v>
      </c>
      <c r="BK210" s="155">
        <f t="shared" si="96"/>
        <v>90.44436849645075</v>
      </c>
      <c r="BL210" s="155">
        <f t="shared" si="97"/>
        <v>92.343700234876209</v>
      </c>
      <c r="BM210" s="155">
        <f t="shared" si="98"/>
        <v>94.282917939808598</v>
      </c>
      <c r="BN210" s="155">
        <f t="shared" si="99"/>
        <v>96.262859216544555</v>
      </c>
      <c r="BO210" s="155">
        <f t="shared" si="100"/>
        <v>98.284379260091995</v>
      </c>
      <c r="BP210" s="155">
        <f t="shared" si="101"/>
        <v>62.997880891488386</v>
      </c>
    </row>
    <row r="211" spans="1:68">
      <c r="A211" s="155" t="s">
        <v>333</v>
      </c>
      <c r="B211" s="155" t="s">
        <v>1345</v>
      </c>
      <c r="C211" s="155" t="s">
        <v>208</v>
      </c>
      <c r="D211" s="155">
        <v>1.966</v>
      </c>
      <c r="E211" s="189">
        <v>113.31072</v>
      </c>
      <c r="F211" s="67">
        <v>0</v>
      </c>
      <c r="G211" s="67">
        <v>56</v>
      </c>
      <c r="H211" s="67">
        <v>756</v>
      </c>
      <c r="I211" s="67">
        <v>0</v>
      </c>
      <c r="J211" s="67">
        <v>0</v>
      </c>
      <c r="K211" s="67">
        <v>0</v>
      </c>
      <c r="L211" s="67">
        <v>0</v>
      </c>
      <c r="M211" s="67">
        <v>0</v>
      </c>
      <c r="N211" s="67">
        <v>0</v>
      </c>
      <c r="O211" s="67">
        <v>0</v>
      </c>
      <c r="Q211" s="202" t="s">
        <v>333</v>
      </c>
      <c r="R211" s="202" t="s">
        <v>1345</v>
      </c>
      <c r="S211" s="202" t="s">
        <v>208</v>
      </c>
      <c r="U211" s="155"/>
      <c r="V211" s="155"/>
      <c r="W211" s="155"/>
      <c r="X211" s="155"/>
      <c r="Y211" s="155"/>
      <c r="Z211" s="155"/>
      <c r="AA211" s="155"/>
      <c r="AB211" s="155"/>
      <c r="AC211" s="155"/>
      <c r="AE211" s="76">
        <f t="shared" si="79"/>
        <v>0</v>
      </c>
      <c r="AF211" s="76">
        <f t="shared" si="80"/>
        <v>0</v>
      </c>
      <c r="AG211" s="76">
        <f t="shared" si="81"/>
        <v>0</v>
      </c>
      <c r="AH211" s="76">
        <f t="shared" si="82"/>
        <v>0</v>
      </c>
      <c r="AI211" s="76">
        <f t="shared" si="83"/>
        <v>0</v>
      </c>
      <c r="AJ211" s="76">
        <f t="shared" si="84"/>
        <v>0</v>
      </c>
      <c r="AK211" s="76">
        <f t="shared" si="85"/>
        <v>0</v>
      </c>
      <c r="AL211" s="76">
        <f t="shared" si="86"/>
        <v>0</v>
      </c>
      <c r="AM211" s="76">
        <f t="shared" si="87"/>
        <v>0</v>
      </c>
      <c r="AN211" s="76">
        <f t="shared" si="88"/>
        <v>0</v>
      </c>
      <c r="AP211" s="202" t="s">
        <v>333</v>
      </c>
      <c r="AQ211" s="202" t="s">
        <v>208</v>
      </c>
      <c r="AR211" s="155" cm="1">
        <f t="array" ref="AR211">_xlfn.IFS($AQ211=$AP$1,$AQ$1*AE211,$AQ211=$AP$2,$AQ$2*AE211,$AQ211=$AP$3,$AQ$3*AE211,$AQ211=$AP$4,$AQ$4*AE211)</f>
        <v>0</v>
      </c>
      <c r="AS211" s="155" cm="1">
        <f t="array" ref="AS211">_xlfn.IFS($AQ211=$AP$1,$AQ$1*AF211,$AQ211=$AP$2,$AQ$2*AF211,$AQ211=$AP$3,$AQ$3*AF211,$AQ211=$AP$4,$AQ$4*AF211)</f>
        <v>0</v>
      </c>
      <c r="AT211" s="155" cm="1">
        <f t="array" ref="AT211">_xlfn.IFS($AQ211=$AP$1,$AQ$1*AG211,$AQ211=$AP$2,$AQ$2*AG211,$AQ211=$AP$3,$AQ$3*AG211,$AQ211=$AP$4,$AQ$4*AG211)</f>
        <v>0</v>
      </c>
      <c r="AU211" s="155" cm="1">
        <f t="array" ref="AU211">_xlfn.IFS($AQ211=$AP$1,$AQ$1*AH211,$AQ211=$AP$2,$AQ$2*AH211,$AQ211=$AP$3,$AQ$3*AH211,$AQ211=$AP$4,$AQ$4*AH211)</f>
        <v>0</v>
      </c>
      <c r="AV211" s="155" cm="1">
        <f t="array" ref="AV211">_xlfn.IFS($AQ211=$AP$1,$AQ$1*AI211,$AQ211=$AP$2,$AQ$2*AI211,$AQ211=$AP$3,$AQ$3*AI211,$AQ211=$AP$4,$AQ$4*AI211)</f>
        <v>0</v>
      </c>
      <c r="AW211" s="155" cm="1">
        <f t="array" ref="AW211">_xlfn.IFS($AQ211=$AP$1,$AQ$1*AJ211,$AQ211=$AP$2,$AQ$2*AJ211,$AQ211=$AP$3,$AQ$3*AJ211,$AQ211=$AP$4,$AQ$4*AJ211)</f>
        <v>0</v>
      </c>
      <c r="AX211" s="155" cm="1">
        <f t="array" ref="AX211">_xlfn.IFS($AQ211=$AP$1,$AQ$1*AK211,$AQ211=$AP$2,$AQ$2*AK211,$AQ211=$AP$3,$AQ$3*AK211,$AQ211=$AP$4,$AQ$4*AK211)</f>
        <v>0</v>
      </c>
      <c r="AY211" s="155" cm="1">
        <f t="array" ref="AY211">_xlfn.IFS($AQ211=$AP$1,$AQ$1*AL211,$AQ211=$AP$2,$AQ$2*AL211,$AQ211=$AP$3,$AQ$3*AL211,$AQ211=$AP$4,$AQ$4*AL211)</f>
        <v>0</v>
      </c>
      <c r="AZ211" s="155" cm="1">
        <f t="array" ref="AZ211">_xlfn.IFS($AQ211=$AP$1,$AQ$1*AM211,$AQ211=$AP$2,$AQ$2*AM211,$AQ211=$AP$3,$AQ$3*AM211,$AQ211=$AP$4,$AQ$4*AM211)</f>
        <v>0</v>
      </c>
      <c r="BA211" s="155" cm="1">
        <f t="array" ref="BA211">_xlfn.IFS($AQ211=$AP$1,$AQ$1*AN211,$AQ211=$AP$2,$AQ$2*AN211,$AQ211=$AP$3,$AQ$3*AN211,$AQ211=$AP$4,$AQ$4*AN211)</f>
        <v>0</v>
      </c>
      <c r="BB211" s="155">
        <f>Table2[[#This Row],[FINAL Project System Capacity (MW)]]</f>
        <v>1.966</v>
      </c>
      <c r="BC211" s="155" t="str">
        <f>Table2[[#This Row],[FN Parent  '#]]</f>
        <v>Individual Project</v>
      </c>
      <c r="BD211" s="155"/>
      <c r="BE211" s="155">
        <f t="shared" si="90"/>
        <v>0</v>
      </c>
      <c r="BF211" s="155" t="str">
        <f t="shared" si="91"/>
        <v/>
      </c>
      <c r="BG211" s="155" t="str">
        <f t="shared" si="92"/>
        <v/>
      </c>
      <c r="BH211" s="155" t="str">
        <f t="shared" si="93"/>
        <v/>
      </c>
      <c r="BI211" s="155" t="str">
        <f t="shared" si="94"/>
        <v/>
      </c>
      <c r="BJ211" s="155" t="str">
        <f t="shared" si="95"/>
        <v/>
      </c>
      <c r="BK211" s="155" t="str">
        <f t="shared" si="96"/>
        <v/>
      </c>
      <c r="BL211" s="155" t="str">
        <f t="shared" si="97"/>
        <v/>
      </c>
      <c r="BM211" s="155" t="str">
        <f t="shared" si="98"/>
        <v/>
      </c>
      <c r="BN211" s="155" t="str">
        <f t="shared" si="99"/>
        <v/>
      </c>
      <c r="BO211" s="155" t="str">
        <f t="shared" si="100"/>
        <v/>
      </c>
      <c r="BP211" s="155">
        <f t="shared" si="101"/>
        <v>0</v>
      </c>
    </row>
    <row r="212" spans="1:68">
      <c r="A212" s="155" t="s">
        <v>334</v>
      </c>
      <c r="B212" s="155" t="s">
        <v>1345</v>
      </c>
      <c r="C212" s="155" t="s">
        <v>207</v>
      </c>
      <c r="D212" s="155">
        <v>17.600000000000001</v>
      </c>
      <c r="E212" s="189">
        <v>0</v>
      </c>
      <c r="F212" s="67">
        <v>159.81595999999999</v>
      </c>
      <c r="G212" s="67">
        <v>877.48706000000004</v>
      </c>
      <c r="H212" s="67">
        <v>1813.8321900000001</v>
      </c>
      <c r="I212" s="67">
        <v>3068.4891499999999</v>
      </c>
      <c r="J212" s="67">
        <v>3355.1104399999999</v>
      </c>
      <c r="K212" s="67">
        <v>0</v>
      </c>
      <c r="L212" s="67">
        <v>0</v>
      </c>
      <c r="M212" s="67">
        <v>0</v>
      </c>
      <c r="N212" s="67">
        <v>0</v>
      </c>
      <c r="O212" s="67">
        <v>0</v>
      </c>
      <c r="Q212" s="201" t="s">
        <v>334</v>
      </c>
      <c r="R212" s="201" t="s">
        <v>1345</v>
      </c>
      <c r="S212" s="201" t="s">
        <v>207</v>
      </c>
      <c r="T212" s="76">
        <f>SUM($E212:F212)</f>
        <v>159.81595999999999</v>
      </c>
      <c r="U212" s="76">
        <f>SUM($E212:G212)</f>
        <v>1037.3030200000001</v>
      </c>
      <c r="V212" s="76">
        <f>SUM($E212:H212)</f>
        <v>2851.1352100000004</v>
      </c>
      <c r="W212" s="76">
        <f>SUM($E212:I212)</f>
        <v>5919.6243599999998</v>
      </c>
      <c r="X212" s="76">
        <f>SUM($E212:J212)</f>
        <v>9274.7348000000002</v>
      </c>
      <c r="Y212" s="76">
        <f>SUM($E212:K212)</f>
        <v>9274.7348000000002</v>
      </c>
      <c r="Z212" s="76">
        <f>SUM($E212:L212)</f>
        <v>9274.7348000000002</v>
      </c>
      <c r="AA212" s="76">
        <f>SUM($E212:M212)</f>
        <v>9274.7348000000002</v>
      </c>
      <c r="AB212" s="76">
        <f>SUM($E212:N212)</f>
        <v>9274.7348000000002</v>
      </c>
      <c r="AC212" s="76">
        <f>SUM($E212:O212)</f>
        <v>9274.7348000000002</v>
      </c>
      <c r="AE212" s="76">
        <f t="shared" si="79"/>
        <v>159.81595999999999</v>
      </c>
      <c r="AF212" s="76">
        <f t="shared" si="80"/>
        <v>1059.0863834199999</v>
      </c>
      <c r="AG212" s="76">
        <f t="shared" si="81"/>
        <v>2972.1402394476095</v>
      </c>
      <c r="AH212" s="76">
        <f t="shared" si="82"/>
        <v>6300.4471793494758</v>
      </c>
      <c r="AI212" s="76">
        <f t="shared" si="83"/>
        <v>10078.698848516426</v>
      </c>
      <c r="AJ212" s="76">
        <f t="shared" si="84"/>
        <v>10290.351524335269</v>
      </c>
      <c r="AK212" s="76">
        <f t="shared" si="85"/>
        <v>10506.448906346308</v>
      </c>
      <c r="AL212" s="76">
        <f t="shared" si="86"/>
        <v>10727.08433337958</v>
      </c>
      <c r="AM212" s="76">
        <f t="shared" si="87"/>
        <v>10952.353104380549</v>
      </c>
      <c r="AN212" s="76">
        <f t="shared" si="88"/>
        <v>11182.352519572538</v>
      </c>
      <c r="AP212" s="201" t="s">
        <v>334</v>
      </c>
      <c r="AQ212" s="201" t="s">
        <v>207</v>
      </c>
      <c r="AR212" s="155" cm="1">
        <f t="array" ref="AR212">_xlfn.IFS($AQ212=$AP$1,$AQ$1*AE212,$AQ212=$AP$2,$AQ$2*AE212,$AQ212=$AP$3,$AQ$3*AE212,$AQ212=$AP$4,$AQ$4*AE212)</f>
        <v>12.879901891728471</v>
      </c>
      <c r="AS212" s="155" cm="1">
        <f t="array" ref="AS212">_xlfn.IFS($AQ212=$AP$1,$AQ$1*AF212,$AQ212=$AP$2,$AQ$2*AF212,$AQ212=$AP$3,$AQ$3*AF212,$AQ212=$AP$4,$AQ$4*AF212)</f>
        <v>85.35398287702381</v>
      </c>
      <c r="AT212" s="155" cm="1">
        <f t="array" ref="AT212">_xlfn.IFS($AQ212=$AP$1,$AQ$1*AG212,$AQ212=$AP$2,$AQ$2*AG212,$AQ212=$AP$3,$AQ$3*AG212,$AQ212=$AP$4,$AQ$4*AG212)</f>
        <v>239.53098734659278</v>
      </c>
      <c r="AU212" s="155" cm="1">
        <f t="array" ref="AU212">_xlfn.IFS($AQ212=$AP$1,$AQ$1*AH212,$AQ212=$AP$2,$AQ$2*AH212,$AQ212=$AP$3,$AQ$3*AH212,$AQ212=$AP$4,$AQ$4*AH212)</f>
        <v>507.76619271341002</v>
      </c>
      <c r="AV212" s="155" cm="1">
        <f t="array" ref="AV212">_xlfn.IFS($AQ212=$AP$1,$AQ$1*AI212,$AQ212=$AP$2,$AQ$2*AI212,$AQ212=$AP$3,$AQ$3*AI212,$AQ212=$AP$4,$AQ$4*AI212)</f>
        <v>812.26338323887228</v>
      </c>
      <c r="AW212" s="155" cm="1">
        <f t="array" ref="AW212">_xlfn.IFS($AQ212=$AP$1,$AQ$1*AJ212,$AQ212=$AP$2,$AQ$2*AJ212,$AQ212=$AP$3,$AQ$3*AJ212,$AQ212=$AP$4,$AQ$4*AJ212)</f>
        <v>829.32091428688841</v>
      </c>
      <c r="AX212" s="155" cm="1">
        <f t="array" ref="AX212">_xlfn.IFS($AQ212=$AP$1,$AQ$1*AK212,$AQ212=$AP$2,$AQ$2*AK212,$AQ212=$AP$3,$AQ$3*AK212,$AQ212=$AP$4,$AQ$4*AK212)</f>
        <v>846.73665348691293</v>
      </c>
      <c r="AY212" s="155" cm="1">
        <f t="array" ref="AY212">_xlfn.IFS($AQ212=$AP$1,$AQ$1*AL212,$AQ212=$AP$2,$AQ$2*AL212,$AQ212=$AP$3,$AQ$3*AL212,$AQ212=$AP$4,$AQ$4*AL212)</f>
        <v>864.51812321013813</v>
      </c>
      <c r="AZ212" s="155" cm="1">
        <f t="array" ref="AZ212">_xlfn.IFS($AQ212=$AP$1,$AQ$1*AM212,$AQ212=$AP$2,$AQ$2*AM212,$AQ212=$AP$3,$AQ$3*AM212,$AQ212=$AP$4,$AQ$4*AM212)</f>
        <v>882.67300379755079</v>
      </c>
      <c r="BA212" s="155" cm="1">
        <f t="array" ref="BA212">_xlfn.IFS($AQ212=$AP$1,$AQ$1*AN212,$AQ212=$AP$2,$AQ$2*AN212,$AQ212=$AP$3,$AQ$3*AN212,$AQ212=$AP$4,$AQ$4*AN212)</f>
        <v>901.20913687729922</v>
      </c>
      <c r="BB212" s="155">
        <f>Table2[[#This Row],[FINAL Project System Capacity (MW)]]</f>
        <v>17.600000000000001</v>
      </c>
      <c r="BC212" s="155" t="str">
        <f>Table2[[#This Row],[FN Parent  '#]]</f>
        <v>Individual Project</v>
      </c>
      <c r="BD212" s="155">
        <f t="shared" si="89"/>
        <v>17.600000000000001</v>
      </c>
      <c r="BE212" s="155">
        <f t="shared" si="90"/>
        <v>17.600000000000001</v>
      </c>
      <c r="BF212" s="155">
        <f t="shared" si="91"/>
        <v>0.73181260748457211</v>
      </c>
      <c r="BG212" s="155">
        <f t="shared" si="92"/>
        <v>4.8496581180127158</v>
      </c>
      <c r="BH212" s="155">
        <f t="shared" si="93"/>
        <v>13.609715190147316</v>
      </c>
      <c r="BI212" s="155">
        <f t="shared" si="94"/>
        <v>28.850351858716476</v>
      </c>
      <c r="BJ212" s="155">
        <f t="shared" si="95"/>
        <v>46.151328593117739</v>
      </c>
      <c r="BK212" s="155">
        <f t="shared" si="96"/>
        <v>47.120506493573203</v>
      </c>
      <c r="BL212" s="155">
        <f t="shared" si="97"/>
        <v>48.110037129938227</v>
      </c>
      <c r="BM212" s="155">
        <f t="shared" si="98"/>
        <v>49.120347909666933</v>
      </c>
      <c r="BN212" s="155">
        <f t="shared" si="99"/>
        <v>50.151875215769927</v>
      </c>
      <c r="BO212" s="155">
        <f t="shared" si="100"/>
        <v>51.205064595301089</v>
      </c>
      <c r="BP212" s="155">
        <f t="shared" si="101"/>
        <v>30.561155748131149</v>
      </c>
    </row>
    <row r="213" spans="1:68">
      <c r="A213" s="155" t="s">
        <v>336</v>
      </c>
      <c r="B213" s="155" t="s">
        <v>1218</v>
      </c>
      <c r="C213" s="155" t="s">
        <v>208</v>
      </c>
      <c r="D213" s="155">
        <v>25</v>
      </c>
      <c r="E213" s="189">
        <v>218.50031999999996</v>
      </c>
      <c r="F213" s="67">
        <v>107.09976</v>
      </c>
      <c r="G213" s="67">
        <v>99.960759999999993</v>
      </c>
      <c r="H213" s="67">
        <v>2437.8559599999999</v>
      </c>
      <c r="I213" s="67">
        <v>0</v>
      </c>
      <c r="J213" s="67">
        <v>0</v>
      </c>
      <c r="K213" s="67">
        <v>0</v>
      </c>
      <c r="L213" s="67">
        <v>0</v>
      </c>
      <c r="M213" s="67">
        <v>0</v>
      </c>
      <c r="N213" s="67">
        <v>0</v>
      </c>
      <c r="O213" s="67">
        <v>0</v>
      </c>
      <c r="Q213" s="202" t="s">
        <v>336</v>
      </c>
      <c r="R213" s="202" t="s">
        <v>1218</v>
      </c>
      <c r="S213" s="202" t="s">
        <v>208</v>
      </c>
      <c r="T213" s="76">
        <f>SUM($E213:F214)</f>
        <v>898.15427999999997</v>
      </c>
      <c r="U213" s="76">
        <f>SUM($E213:G214)</f>
        <v>1535.4543600000002</v>
      </c>
      <c r="V213" s="76">
        <f>SUM($E213:H214)</f>
        <v>6832.3103200000005</v>
      </c>
      <c r="W213" s="76">
        <f>SUM($E213:I214)</f>
        <v>7032.1102000000001</v>
      </c>
      <c r="X213" s="76">
        <f>SUM($E213:J214)</f>
        <v>7032.1102000000001</v>
      </c>
      <c r="Y213" s="76">
        <f>SUM($E213:K214)</f>
        <v>7032.1102000000001</v>
      </c>
      <c r="Z213" s="76">
        <f>SUM($E213:L214)</f>
        <v>7032.1102000000001</v>
      </c>
      <c r="AA213" s="76">
        <f>SUM($E213:M214)</f>
        <v>7032.1102000000001</v>
      </c>
      <c r="AB213" s="76">
        <f>SUM($E213:N214)</f>
        <v>7032.1102000000001</v>
      </c>
      <c r="AC213" s="76">
        <f>SUM($E213:O214)</f>
        <v>7032.1102000000001</v>
      </c>
      <c r="AE213" s="76">
        <f t="shared" si="79"/>
        <v>898.15427999999997</v>
      </c>
      <c r="AF213" s="76">
        <f t="shared" si="80"/>
        <v>1567.69890156</v>
      </c>
      <c r="AG213" s="76">
        <f t="shared" si="81"/>
        <v>7122.2804022911187</v>
      </c>
      <c r="AH213" s="76">
        <f t="shared" si="82"/>
        <v>7484.5017487671603</v>
      </c>
      <c r="AI213" s="76">
        <f t="shared" si="83"/>
        <v>7641.6762854912686</v>
      </c>
      <c r="AJ213" s="76">
        <f t="shared" si="84"/>
        <v>7802.1514874865843</v>
      </c>
      <c r="AK213" s="76">
        <f t="shared" si="85"/>
        <v>7965.996668723802</v>
      </c>
      <c r="AL213" s="76">
        <f t="shared" si="86"/>
        <v>8133.2825987670012</v>
      </c>
      <c r="AM213" s="76">
        <f t="shared" si="87"/>
        <v>8304.0815333411065</v>
      </c>
      <c r="AN213" s="76">
        <f t="shared" si="88"/>
        <v>8478.4672455412692</v>
      </c>
      <c r="AP213" s="202" t="s">
        <v>336</v>
      </c>
      <c r="AQ213" s="202" t="s">
        <v>208</v>
      </c>
      <c r="AR213" s="155" cm="1">
        <f t="array" ref="AR213">_xlfn.IFS($AQ213=$AP$1,$AQ$1*AE213,$AQ213=$AP$2,$AQ$2*AE213,$AQ213=$AP$3,$AQ$3*AE213,$AQ213=$AP$4,$AQ$4*AE213)</f>
        <v>126.90260471166881</v>
      </c>
      <c r="AS213" s="155" cm="1">
        <f t="array" ref="AS213">_xlfn.IFS($AQ213=$AP$1,$AQ$1*AF213,$AQ213=$AP$2,$AQ$2*AF213,$AQ213=$AP$3,$AQ$3*AF213,$AQ213=$AP$4,$AQ$4*AF213)</f>
        <v>221.50434334242229</v>
      </c>
      <c r="AT213" s="155" cm="1">
        <f t="array" ref="AT213">_xlfn.IFS($AQ213=$AP$1,$AQ$1*AG213,$AQ213=$AP$2,$AQ$2*AG213,$AQ213=$AP$3,$AQ$3*AG213,$AQ213=$AP$4,$AQ$4*AG213)</f>
        <v>1006.3259226884888</v>
      </c>
      <c r="AU213" s="155" cm="1">
        <f t="array" ref="AU213">_xlfn.IFS($AQ213=$AP$1,$AQ$1*AH213,$AQ213=$AP$2,$AQ$2*AH213,$AQ213=$AP$3,$AQ$3*AH213,$AQ213=$AP$4,$AQ$4*AH213)</f>
        <v>1057.5051391923366</v>
      </c>
      <c r="AV213" s="155" cm="1">
        <f t="array" ref="AV213">_xlfn.IFS($AQ213=$AP$1,$AQ$1*AI213,$AQ213=$AP$2,$AQ$2*AI213,$AQ213=$AP$3,$AQ$3*AI213,$AQ213=$AP$4,$AQ$4*AI213)</f>
        <v>1079.7127471153756</v>
      </c>
      <c r="AW213" s="155" cm="1">
        <f t="array" ref="AW213">_xlfn.IFS($AQ213=$AP$1,$AQ$1*AJ213,$AQ213=$AP$2,$AQ$2*AJ213,$AQ213=$AP$3,$AQ$3*AJ213,$AQ213=$AP$4,$AQ$4*AJ213)</f>
        <v>1102.3867148047982</v>
      </c>
      <c r="AX213" s="155" cm="1">
        <f t="array" ref="AX213">_xlfn.IFS($AQ213=$AP$1,$AQ$1*AK213,$AQ213=$AP$2,$AQ$2*AK213,$AQ213=$AP$3,$AQ$3*AK213,$AQ213=$AP$4,$AQ$4*AK213)</f>
        <v>1125.5368358156989</v>
      </c>
      <c r="AY213" s="155" cm="1">
        <f t="array" ref="AY213">_xlfn.IFS($AQ213=$AP$1,$AQ$1*AL213,$AQ213=$AP$2,$AQ$2*AL213,$AQ213=$AP$3,$AQ$3*AL213,$AQ213=$AP$4,$AQ$4*AL213)</f>
        <v>1149.1731093678286</v>
      </c>
      <c r="AZ213" s="155" cm="1">
        <f t="array" ref="AZ213">_xlfn.IFS($AQ213=$AP$1,$AQ$1*AM213,$AQ213=$AP$2,$AQ$2*AM213,$AQ213=$AP$3,$AQ$3*AM213,$AQ213=$AP$4,$AQ$4*AM213)</f>
        <v>1173.3057446645525</v>
      </c>
      <c r="BA213" s="155" cm="1">
        <f t="array" ref="BA213">_xlfn.IFS($AQ213=$AP$1,$AQ$1*AN213,$AQ213=$AP$2,$AQ$2*AN213,$AQ213=$AP$3,$AQ$3*AN213,$AQ213=$AP$4,$AQ$4*AN213)</f>
        <v>1197.9451653025083</v>
      </c>
      <c r="BB213" s="155">
        <f>Table2[[#This Row],[FINAL Project System Capacity (MW)]]</f>
        <v>25</v>
      </c>
      <c r="BC213" s="155" t="str">
        <f>Table2[[#This Row],[FN Parent  '#]]</f>
        <v>FN011715</v>
      </c>
      <c r="BD213" s="155">
        <f t="shared" si="89"/>
        <v>25</v>
      </c>
      <c r="BE213" s="155">
        <f t="shared" si="90"/>
        <v>25</v>
      </c>
      <c r="BF213" s="155">
        <f t="shared" si="91"/>
        <v>5.0761041884667524</v>
      </c>
      <c r="BG213" s="155">
        <f t="shared" si="92"/>
        <v>8.8601737336968913</v>
      </c>
      <c r="BH213" s="155">
        <f t="shared" si="93"/>
        <v>40.253036907539553</v>
      </c>
      <c r="BI213" s="155">
        <f t="shared" si="94"/>
        <v>42.300205567693467</v>
      </c>
      <c r="BJ213" s="155">
        <f t="shared" si="95"/>
        <v>43.188509884615023</v>
      </c>
      <c r="BK213" s="155">
        <f t="shared" si="96"/>
        <v>44.095468592191928</v>
      </c>
      <c r="BL213" s="155">
        <f t="shared" si="97"/>
        <v>45.021473432627957</v>
      </c>
      <c r="BM213" s="155">
        <f t="shared" si="98"/>
        <v>45.966924374713145</v>
      </c>
      <c r="BN213" s="155">
        <f t="shared" si="99"/>
        <v>46.932229786582099</v>
      </c>
      <c r="BO213" s="155">
        <f t="shared" si="100"/>
        <v>47.917806612100328</v>
      </c>
      <c r="BP213" s="155">
        <f t="shared" si="101"/>
        <v>34.566932267749685</v>
      </c>
    </row>
    <row r="214" spans="1:68">
      <c r="A214" s="155" t="s">
        <v>336</v>
      </c>
      <c r="B214" s="155" t="s">
        <v>1218</v>
      </c>
      <c r="C214" s="155" t="s">
        <v>208</v>
      </c>
      <c r="D214" s="155">
        <v>25</v>
      </c>
      <c r="E214" s="189">
        <v>347.22672</v>
      </c>
      <c r="F214" s="67">
        <v>225.32748000000001</v>
      </c>
      <c r="G214" s="67">
        <v>537.33932000000004</v>
      </c>
      <c r="H214" s="67">
        <v>2859</v>
      </c>
      <c r="I214" s="67">
        <v>199.79988</v>
      </c>
      <c r="J214" s="67">
        <v>0</v>
      </c>
      <c r="K214" s="67">
        <v>0</v>
      </c>
      <c r="L214" s="67">
        <v>0</v>
      </c>
      <c r="M214" s="67">
        <v>0</v>
      </c>
      <c r="N214" s="67">
        <v>0</v>
      </c>
      <c r="O214" s="67">
        <v>0</v>
      </c>
      <c r="Q214" s="201" t="s">
        <v>336</v>
      </c>
      <c r="R214" s="201" t="s">
        <v>1218</v>
      </c>
      <c r="S214" s="201" t="s">
        <v>208</v>
      </c>
      <c r="U214" s="155"/>
      <c r="V214" s="155"/>
      <c r="W214" s="155"/>
      <c r="X214" s="155"/>
      <c r="Y214" s="155"/>
      <c r="Z214" s="155"/>
      <c r="AA214" s="155"/>
      <c r="AB214" s="155"/>
      <c r="AC214" s="155"/>
      <c r="AE214" s="76">
        <f t="shared" si="79"/>
        <v>0</v>
      </c>
      <c r="AF214" s="76">
        <f t="shared" si="80"/>
        <v>0</v>
      </c>
      <c r="AG214" s="76">
        <f t="shared" si="81"/>
        <v>0</v>
      </c>
      <c r="AH214" s="76">
        <f t="shared" si="82"/>
        <v>0</v>
      </c>
      <c r="AI214" s="76">
        <f t="shared" si="83"/>
        <v>0</v>
      </c>
      <c r="AJ214" s="76">
        <f t="shared" si="84"/>
        <v>0</v>
      </c>
      <c r="AK214" s="76">
        <f t="shared" si="85"/>
        <v>0</v>
      </c>
      <c r="AL214" s="76">
        <f t="shared" si="86"/>
        <v>0</v>
      </c>
      <c r="AM214" s="76">
        <f t="shared" si="87"/>
        <v>0</v>
      </c>
      <c r="AN214" s="76">
        <f t="shared" si="88"/>
        <v>0</v>
      </c>
      <c r="AP214" s="201" t="s">
        <v>336</v>
      </c>
      <c r="AQ214" s="201" t="s">
        <v>208</v>
      </c>
      <c r="AR214" s="155" cm="1">
        <f t="array" ref="AR214">_xlfn.IFS($AQ214=$AP$1,$AQ$1*AE214,$AQ214=$AP$2,$AQ$2*AE214,$AQ214=$AP$3,$AQ$3*AE214,$AQ214=$AP$4,$AQ$4*AE214)</f>
        <v>0</v>
      </c>
      <c r="AS214" s="155" cm="1">
        <f t="array" ref="AS214">_xlfn.IFS($AQ214=$AP$1,$AQ$1*AF214,$AQ214=$AP$2,$AQ$2*AF214,$AQ214=$AP$3,$AQ$3*AF214,$AQ214=$AP$4,$AQ$4*AF214)</f>
        <v>0</v>
      </c>
      <c r="AT214" s="155" cm="1">
        <f t="array" ref="AT214">_xlfn.IFS($AQ214=$AP$1,$AQ$1*AG214,$AQ214=$AP$2,$AQ$2*AG214,$AQ214=$AP$3,$AQ$3*AG214,$AQ214=$AP$4,$AQ$4*AG214)</f>
        <v>0</v>
      </c>
      <c r="AU214" s="155" cm="1">
        <f t="array" ref="AU214">_xlfn.IFS($AQ214=$AP$1,$AQ$1*AH214,$AQ214=$AP$2,$AQ$2*AH214,$AQ214=$AP$3,$AQ$3*AH214,$AQ214=$AP$4,$AQ$4*AH214)</f>
        <v>0</v>
      </c>
      <c r="AV214" s="155" cm="1">
        <f t="array" ref="AV214">_xlfn.IFS($AQ214=$AP$1,$AQ$1*AI214,$AQ214=$AP$2,$AQ$2*AI214,$AQ214=$AP$3,$AQ$3*AI214,$AQ214=$AP$4,$AQ$4*AI214)</f>
        <v>0</v>
      </c>
      <c r="AW214" s="155" cm="1">
        <f t="array" ref="AW214">_xlfn.IFS($AQ214=$AP$1,$AQ$1*AJ214,$AQ214=$AP$2,$AQ$2*AJ214,$AQ214=$AP$3,$AQ$3*AJ214,$AQ214=$AP$4,$AQ$4*AJ214)</f>
        <v>0</v>
      </c>
      <c r="AX214" s="155" cm="1">
        <f t="array" ref="AX214">_xlfn.IFS($AQ214=$AP$1,$AQ$1*AK214,$AQ214=$AP$2,$AQ$2*AK214,$AQ214=$AP$3,$AQ$3*AK214,$AQ214=$AP$4,$AQ$4*AK214)</f>
        <v>0</v>
      </c>
      <c r="AY214" s="155" cm="1">
        <f t="array" ref="AY214">_xlfn.IFS($AQ214=$AP$1,$AQ$1*AL214,$AQ214=$AP$2,$AQ$2*AL214,$AQ214=$AP$3,$AQ$3*AL214,$AQ214=$AP$4,$AQ$4*AL214)</f>
        <v>0</v>
      </c>
      <c r="AZ214" s="155" cm="1">
        <f t="array" ref="AZ214">_xlfn.IFS($AQ214=$AP$1,$AQ$1*AM214,$AQ214=$AP$2,$AQ$2*AM214,$AQ214=$AP$3,$AQ$3*AM214,$AQ214=$AP$4,$AQ$4*AM214)</f>
        <v>0</v>
      </c>
      <c r="BA214" s="155" cm="1">
        <f t="array" ref="BA214">_xlfn.IFS($AQ214=$AP$1,$AQ$1*AN214,$AQ214=$AP$2,$AQ$2*AN214,$AQ214=$AP$3,$AQ$3*AN214,$AQ214=$AP$4,$AQ$4*AN214)</f>
        <v>0</v>
      </c>
      <c r="BB214" s="155"/>
      <c r="BC214" s="155" t="str">
        <f>Table2[[#This Row],[FN Parent  '#]]</f>
        <v>FN011715</v>
      </c>
      <c r="BD214" s="155">
        <f t="shared" si="89"/>
        <v>0</v>
      </c>
      <c r="BF214" s="155" t="str">
        <f t="shared" si="91"/>
        <v/>
      </c>
      <c r="BG214" s="155" t="str">
        <f t="shared" si="92"/>
        <v/>
      </c>
      <c r="BH214" s="155" t="str">
        <f t="shared" si="93"/>
        <v/>
      </c>
      <c r="BI214" s="155" t="str">
        <f t="shared" si="94"/>
        <v/>
      </c>
      <c r="BJ214" s="155" t="str">
        <f t="shared" si="95"/>
        <v/>
      </c>
      <c r="BK214" s="155" t="str">
        <f t="shared" si="96"/>
        <v/>
      </c>
      <c r="BL214" s="155" t="str">
        <f t="shared" si="97"/>
        <v/>
      </c>
      <c r="BM214" s="155" t="str">
        <f t="shared" si="98"/>
        <v/>
      </c>
      <c r="BN214" s="155" t="str">
        <f t="shared" si="99"/>
        <v/>
      </c>
      <c r="BO214" s="155" t="str">
        <f t="shared" si="100"/>
        <v/>
      </c>
      <c r="BP214" s="155">
        <f t="shared" si="101"/>
        <v>0</v>
      </c>
    </row>
    <row r="215" spans="1:68">
      <c r="A215" s="155" t="s">
        <v>336</v>
      </c>
      <c r="B215" s="155" t="s">
        <v>1218</v>
      </c>
      <c r="C215" s="155" t="s">
        <v>207</v>
      </c>
      <c r="D215" s="155">
        <v>25</v>
      </c>
      <c r="E215" s="189">
        <v>1463.3817200000001</v>
      </c>
      <c r="F215" s="67">
        <v>1643.19</v>
      </c>
      <c r="G215" s="67">
        <v>4093.15175</v>
      </c>
      <c r="H215" s="67">
        <v>2144.4158000000002</v>
      </c>
      <c r="I215" s="67">
        <v>227.69488000000001</v>
      </c>
      <c r="J215" s="67">
        <v>0</v>
      </c>
      <c r="K215" s="67">
        <v>0</v>
      </c>
      <c r="L215" s="67">
        <v>0</v>
      </c>
      <c r="M215" s="67">
        <v>0</v>
      </c>
      <c r="N215" s="67">
        <v>0</v>
      </c>
      <c r="O215" s="67">
        <v>0</v>
      </c>
      <c r="Q215" s="202" t="s">
        <v>336</v>
      </c>
      <c r="R215" s="202" t="s">
        <v>1218</v>
      </c>
      <c r="S215" s="202" t="s">
        <v>207</v>
      </c>
      <c r="T215" s="76">
        <f>SUM($E215:F215)</f>
        <v>3106.5717199999999</v>
      </c>
      <c r="U215" s="76">
        <f>SUM($E215:G215)</f>
        <v>7199.7234699999999</v>
      </c>
      <c r="V215" s="76">
        <f>SUM($E215:H215)</f>
        <v>9344.1392699999997</v>
      </c>
      <c r="W215" s="76">
        <f>SUM($E215:I215)</f>
        <v>9571.8341499999988</v>
      </c>
      <c r="X215" s="76">
        <f>SUM($E215:J215)</f>
        <v>9571.8341499999988</v>
      </c>
      <c r="Y215" s="76">
        <f>SUM($E215:K215)</f>
        <v>9571.8341499999988</v>
      </c>
      <c r="Z215" s="76">
        <f>SUM($E215:L215)</f>
        <v>9571.8341499999988</v>
      </c>
      <c r="AA215" s="76">
        <f>SUM($E215:M215)</f>
        <v>9571.8341499999988</v>
      </c>
      <c r="AB215" s="76">
        <f>SUM($E215:N215)</f>
        <v>9571.8341499999988</v>
      </c>
      <c r="AC215" s="76">
        <f>SUM($E215:O215)</f>
        <v>9571.8341499999988</v>
      </c>
      <c r="AE215" s="76">
        <f t="shared" si="79"/>
        <v>3106.5717199999999</v>
      </c>
      <c r="AF215" s="76">
        <f t="shared" si="80"/>
        <v>7350.9176628699988</v>
      </c>
      <c r="AG215" s="76">
        <f t="shared" si="81"/>
        <v>9740.7138847580663</v>
      </c>
      <c r="AH215" s="76">
        <f t="shared" si="82"/>
        <v>10187.611882786508</v>
      </c>
      <c r="AI215" s="76">
        <f t="shared" si="83"/>
        <v>10401.551732325024</v>
      </c>
      <c r="AJ215" s="76">
        <f t="shared" si="84"/>
        <v>10619.984318703848</v>
      </c>
      <c r="AK215" s="76">
        <f t="shared" si="85"/>
        <v>10843.003989396628</v>
      </c>
      <c r="AL215" s="76">
        <f t="shared" si="86"/>
        <v>11070.707073173955</v>
      </c>
      <c r="AM215" s="76">
        <f t="shared" si="87"/>
        <v>11303.191921710606</v>
      </c>
      <c r="AN215" s="76">
        <f t="shared" si="88"/>
        <v>11540.558952066527</v>
      </c>
      <c r="AP215" s="202" t="s">
        <v>336</v>
      </c>
      <c r="AQ215" s="202" t="s">
        <v>207</v>
      </c>
      <c r="AR215" s="155" cm="1">
        <f t="array" ref="AR215">_xlfn.IFS($AQ215=$AP$1,$AQ$1*AE215,$AQ215=$AP$2,$AQ$2*AE215,$AQ215=$AP$3,$AQ$3*AE215,$AQ215=$AP$4,$AQ$4*AE215)</f>
        <v>250.36510104008491</v>
      </c>
      <c r="AS215" s="155" cm="1">
        <f t="array" ref="AS215">_xlfn.IFS($AQ215=$AP$1,$AQ$1*AF215,$AQ215=$AP$2,$AQ$2*AF215,$AQ215=$AP$3,$AQ$3*AF215,$AQ215=$AP$4,$AQ$4*AF215)</f>
        <v>592.42580222863558</v>
      </c>
      <c r="AT215" s="155" cm="1">
        <f t="array" ref="AT215">_xlfn.IFS($AQ215=$AP$1,$AQ$1*AG215,$AQ215=$AP$2,$AQ$2*AG215,$AQ215=$AP$3,$AQ$3*AG215,$AQ215=$AP$4,$AQ$4*AG215)</f>
        <v>785.02446934011596</v>
      </c>
      <c r="AU215" s="155" cm="1">
        <f t="array" ref="AU215">_xlfn.IFS($AQ215=$AP$1,$AQ$1*AH215,$AQ215=$AP$2,$AQ$2*AH215,$AQ215=$AP$3,$AQ$3*AH215,$AQ215=$AP$4,$AQ$4*AH215)</f>
        <v>821.04091206721409</v>
      </c>
      <c r="AV215" s="155" cm="1">
        <f t="array" ref="AV215">_xlfn.IFS($AQ215=$AP$1,$AQ$1*AI215,$AQ215=$AP$2,$AQ$2*AI215,$AQ215=$AP$3,$AQ$3*AI215,$AQ215=$AP$4,$AQ$4*AI215)</f>
        <v>838.28277122062548</v>
      </c>
      <c r="AW215" s="155" cm="1">
        <f t="array" ref="AW215">_xlfn.IFS($AQ215=$AP$1,$AQ$1*AJ215,$AQ215=$AP$2,$AQ$2*AJ215,$AQ215=$AP$3,$AQ$3*AJ215,$AQ215=$AP$4,$AQ$4*AJ215)</f>
        <v>855.88670941625844</v>
      </c>
      <c r="AX215" s="155" cm="1">
        <f t="array" ref="AX215">_xlfn.IFS($AQ215=$AP$1,$AQ$1*AK215,$AQ215=$AP$2,$AQ$2*AK215,$AQ215=$AP$3,$AQ$3*AK215,$AQ215=$AP$4,$AQ$4*AK215)</f>
        <v>873.86033031399984</v>
      </c>
      <c r="AY215" s="155" cm="1">
        <f t="array" ref="AY215">_xlfn.IFS($AQ215=$AP$1,$AQ$1*AL215,$AQ215=$AP$2,$AQ$2*AL215,$AQ215=$AP$3,$AQ$3*AL215,$AQ215=$AP$4,$AQ$4*AL215)</f>
        <v>892.21139725059368</v>
      </c>
      <c r="AZ215" s="155" cm="1">
        <f t="array" ref="AZ215">_xlfn.IFS($AQ215=$AP$1,$AQ$1*AM215,$AQ215=$AP$2,$AQ$2*AM215,$AQ215=$AP$3,$AQ$3*AM215,$AQ215=$AP$4,$AQ$4*AM215)</f>
        <v>910.94783659285599</v>
      </c>
      <c r="BA215" s="155" cm="1">
        <f t="array" ref="BA215">_xlfn.IFS($AQ215=$AP$1,$AQ$1*AN215,$AQ215=$AP$2,$AQ$2*AN215,$AQ215=$AP$3,$AQ$3*AN215,$AQ215=$AP$4,$AQ$4*AN215)</f>
        <v>930.07774116130588</v>
      </c>
      <c r="BB215" s="155">
        <f>Table2[[#This Row],[FINAL Project System Capacity (MW)]]</f>
        <v>25</v>
      </c>
      <c r="BC215" s="155" t="str">
        <f>Table2[[#This Row],[FN Parent  '#]]</f>
        <v>FN011715</v>
      </c>
      <c r="BD215" s="155">
        <f t="shared" si="89"/>
        <v>25</v>
      </c>
      <c r="BF215" s="155">
        <f t="shared" si="91"/>
        <v>10.014604041603397</v>
      </c>
      <c r="BG215" s="155">
        <f t="shared" si="92"/>
        <v>23.697032089145424</v>
      </c>
      <c r="BH215" s="155">
        <f t="shared" si="93"/>
        <v>31.400978773604638</v>
      </c>
      <c r="BI215" s="155">
        <f t="shared" si="94"/>
        <v>32.841636482688564</v>
      </c>
      <c r="BJ215" s="155">
        <f t="shared" si="95"/>
        <v>33.531310848825022</v>
      </c>
      <c r="BK215" s="155">
        <f t="shared" si="96"/>
        <v>34.235468376650338</v>
      </c>
      <c r="BL215" s="155">
        <f t="shared" si="97"/>
        <v>34.954413212559992</v>
      </c>
      <c r="BM215" s="155">
        <f t="shared" si="98"/>
        <v>35.688455890023747</v>
      </c>
      <c r="BN215" s="155">
        <f t="shared" si="99"/>
        <v>36.437913463714239</v>
      </c>
      <c r="BO215" s="155">
        <f t="shared" si="100"/>
        <v>37.203109646452234</v>
      </c>
      <c r="BP215" s="155">
        <f t="shared" si="101"/>
        <v>29.743076990614046</v>
      </c>
    </row>
    <row r="216" spans="1:68">
      <c r="A216" s="155" t="s">
        <v>337</v>
      </c>
      <c r="B216" s="155" t="s">
        <v>1345</v>
      </c>
      <c r="C216" s="155" t="s">
        <v>207</v>
      </c>
      <c r="D216" s="155">
        <v>7.5</v>
      </c>
      <c r="E216" s="189">
        <v>0</v>
      </c>
      <c r="F216" s="67">
        <v>0</v>
      </c>
      <c r="G216" s="67">
        <v>0</v>
      </c>
      <c r="H216" s="67">
        <v>0</v>
      </c>
      <c r="I216" s="67">
        <v>105</v>
      </c>
      <c r="J216" s="67">
        <v>1396.5</v>
      </c>
      <c r="K216" s="67">
        <v>504</v>
      </c>
      <c r="L216" s="67">
        <v>1246.0719999999999</v>
      </c>
      <c r="M216" s="67">
        <v>8274.8610000000008</v>
      </c>
      <c r="N216" s="67">
        <v>8274.8610000000008</v>
      </c>
      <c r="O216" s="67">
        <v>5004.9560000000001</v>
      </c>
      <c r="Q216" s="201" t="s">
        <v>337</v>
      </c>
      <c r="R216" s="201" t="s">
        <v>1345</v>
      </c>
      <c r="S216" s="201" t="s">
        <v>207</v>
      </c>
      <c r="T216" s="76">
        <f>SUM($E216:F216)</f>
        <v>0</v>
      </c>
      <c r="U216" s="76">
        <f>SUM($E216:G216)</f>
        <v>0</v>
      </c>
      <c r="V216" s="76">
        <f>SUM($E216:H216)</f>
        <v>0</v>
      </c>
      <c r="W216" s="76">
        <f>SUM($E216:I216)</f>
        <v>105</v>
      </c>
      <c r="X216" s="76">
        <f>SUM($E216:J216)</f>
        <v>1501.5</v>
      </c>
      <c r="Y216" s="76">
        <f>SUM($E216:K216)</f>
        <v>2005.5</v>
      </c>
      <c r="Z216" s="76">
        <f>SUM($E216:L216)</f>
        <v>3251.5720000000001</v>
      </c>
      <c r="AA216" s="76">
        <f>SUM($E216:M216)</f>
        <v>11526.433000000001</v>
      </c>
      <c r="AB216" s="76">
        <f>SUM($E216:N216)</f>
        <v>19801.294000000002</v>
      </c>
      <c r="AC216" s="76">
        <f>SUM($E216:O216)</f>
        <v>24806.25</v>
      </c>
      <c r="AE216" s="76">
        <f t="shared" si="79"/>
        <v>0</v>
      </c>
      <c r="AF216" s="76">
        <f t="shared" si="80"/>
        <v>0</v>
      </c>
      <c r="AG216" s="76">
        <f t="shared" si="81"/>
        <v>0</v>
      </c>
      <c r="AH216" s="76">
        <f t="shared" si="82"/>
        <v>111.75488740499996</v>
      </c>
      <c r="AI216" s="76">
        <f t="shared" si="83"/>
        <v>1631.6548825792206</v>
      </c>
      <c r="AJ216" s="76">
        <f t="shared" si="84"/>
        <v>2225.1094427038906</v>
      </c>
      <c r="AK216" s="76">
        <f t="shared" si="85"/>
        <v>3683.391042437815</v>
      </c>
      <c r="AL216" s="76">
        <f t="shared" si="86"/>
        <v>13331.380521419265</v>
      </c>
      <c r="AM216" s="76">
        <f t="shared" si="87"/>
        <v>23382.961183068215</v>
      </c>
      <c r="AN216" s="76">
        <f t="shared" si="88"/>
        <v>29908.373465152479</v>
      </c>
      <c r="AP216" s="201" t="s">
        <v>337</v>
      </c>
      <c r="AQ216" s="201" t="s">
        <v>207</v>
      </c>
      <c r="AR216" s="155" cm="1">
        <f t="array" ref="AR216">_xlfn.IFS($AQ216=$AP$1,$AQ$1*AE216,$AQ216=$AP$2,$AQ$2*AE216,$AQ216=$AP$3,$AQ$3*AE216,$AQ216=$AP$4,$AQ$4*AE216)</f>
        <v>0</v>
      </c>
      <c r="AS216" s="155" cm="1">
        <f t="array" ref="AS216">_xlfn.IFS($AQ216=$AP$1,$AQ$1*AF216,$AQ216=$AP$2,$AQ$2*AF216,$AQ216=$AP$3,$AQ$3*AF216,$AQ216=$AP$4,$AQ$4*AF216)</f>
        <v>0</v>
      </c>
      <c r="AT216" s="155" cm="1">
        <f t="array" ref="AT216">_xlfn.IFS($AQ216=$AP$1,$AQ$1*AG216,$AQ216=$AP$2,$AQ$2*AG216,$AQ216=$AP$3,$AQ$3*AG216,$AQ216=$AP$4,$AQ$4*AG216)</f>
        <v>0</v>
      </c>
      <c r="AU216" s="155" cm="1">
        <f t="array" ref="AU216">_xlfn.IFS($AQ216=$AP$1,$AQ$1*AH216,$AQ216=$AP$2,$AQ$2*AH216,$AQ216=$AP$3,$AQ$3*AH216,$AQ216=$AP$4,$AQ$4*AH216)</f>
        <v>9.0065597059114832</v>
      </c>
      <c r="AV216" s="155" cm="1">
        <f t="array" ref="AV216">_xlfn.IFS($AQ216=$AP$1,$AQ$1*AI216,$AQ216=$AP$2,$AQ$2*AI216,$AQ216=$AP$3,$AQ$3*AI216,$AQ216=$AP$4,$AQ$4*AI216)</f>
        <v>131.49847367421941</v>
      </c>
      <c r="AW216" s="155" cm="1">
        <f t="array" ref="AW216">_xlfn.IFS($AQ216=$AP$1,$AQ$1*AJ216,$AQ216=$AP$2,$AQ$2*AJ216,$AQ216=$AP$3,$AQ$3*AJ216,$AQ216=$AP$4,$AQ$4*AJ216)</f>
        <v>179.32621573205031</v>
      </c>
      <c r="AX216" s="155" cm="1">
        <f t="array" ref="AX216">_xlfn.IFS($AQ216=$AP$1,$AQ$1*AK216,$AQ216=$AP$2,$AQ$2*AK216,$AQ216=$AP$3,$AQ$3*AK216,$AQ216=$AP$4,$AQ$4*AK216)</f>
        <v>296.85217456047894</v>
      </c>
      <c r="AY216" s="155" cm="1">
        <f t="array" ref="AY216">_xlfn.IFS($AQ216=$AP$1,$AQ$1*AL216,$AQ216=$AP$2,$AQ$2*AL216,$AQ216=$AP$3,$AQ$3*AL216,$AQ216=$AP$4,$AQ$4*AL216)</f>
        <v>1074.4037904423319</v>
      </c>
      <c r="AZ216" s="155" cm="1">
        <f t="array" ref="AZ216">_xlfn.IFS($AQ216=$AP$1,$AQ$1*AM216,$AQ216=$AP$2,$AQ$2*AM216,$AQ216=$AP$3,$AQ$3*AM216,$AQ216=$AP$4,$AQ$4*AM216)</f>
        <v>1884.481662382241</v>
      </c>
      <c r="BA216" s="155" cm="1">
        <f t="array" ref="BA216">_xlfn.IFS($AQ216=$AP$1,$AQ$1*AN216,$AQ216=$AP$2,$AQ$2*AN216,$AQ216=$AP$3,$AQ$3*AN216,$AQ216=$AP$4,$AQ$4*AN216)</f>
        <v>2410.3782624234714</v>
      </c>
      <c r="BB216" s="155">
        <f>Table2[[#This Row],[FINAL Project System Capacity (MW)]]</f>
        <v>7.5</v>
      </c>
      <c r="BC216" s="155" t="str">
        <f>Table2[[#This Row],[FN Parent  '#]]</f>
        <v>Individual Project</v>
      </c>
      <c r="BD216" s="155">
        <f t="shared" si="89"/>
        <v>7.5</v>
      </c>
      <c r="BE216" s="155">
        <f t="shared" si="90"/>
        <v>7.5</v>
      </c>
      <c r="BF216" s="155">
        <f t="shared" si="91"/>
        <v>0</v>
      </c>
      <c r="BG216" s="155">
        <f t="shared" si="92"/>
        <v>0</v>
      </c>
      <c r="BH216" s="155">
        <f t="shared" si="93"/>
        <v>0</v>
      </c>
      <c r="BI216" s="155">
        <f t="shared" si="94"/>
        <v>1.2008746274548645</v>
      </c>
      <c r="BJ216" s="155">
        <f t="shared" si="95"/>
        <v>17.533129823229256</v>
      </c>
      <c r="BK216" s="155">
        <f t="shared" si="96"/>
        <v>23.910162097606708</v>
      </c>
      <c r="BL216" s="155">
        <f t="shared" si="97"/>
        <v>39.58028994139719</v>
      </c>
      <c r="BM216" s="155">
        <f t="shared" si="98"/>
        <v>143.25383872564424</v>
      </c>
      <c r="BN216" s="155">
        <f t="shared" si="99"/>
        <v>251.26422165096545</v>
      </c>
      <c r="BO216" s="155">
        <f t="shared" si="100"/>
        <v>321.38376832312952</v>
      </c>
      <c r="BP216" s="155">
        <f t="shared" si="101"/>
        <v>62.573577533912619</v>
      </c>
    </row>
    <row r="217" spans="1:68">
      <c r="A217" s="155" t="s">
        <v>339</v>
      </c>
      <c r="B217" s="155" t="s">
        <v>1345</v>
      </c>
      <c r="C217" s="155" t="s">
        <v>208</v>
      </c>
      <c r="D217" s="155">
        <v>5</v>
      </c>
      <c r="E217" s="189">
        <v>0</v>
      </c>
      <c r="F217" s="67">
        <v>0</v>
      </c>
      <c r="G217" s="67">
        <v>0</v>
      </c>
      <c r="H217" s="67">
        <v>0</v>
      </c>
      <c r="I217" s="67">
        <v>0</v>
      </c>
      <c r="J217" s="67">
        <v>0</v>
      </c>
      <c r="K217" s="67">
        <v>0</v>
      </c>
      <c r="L217" s="67">
        <v>396</v>
      </c>
      <c r="M217" s="67">
        <v>1523</v>
      </c>
      <c r="N217" s="67">
        <v>6066</v>
      </c>
      <c r="O217" s="67">
        <v>387</v>
      </c>
      <c r="Q217" s="202" t="s">
        <v>339</v>
      </c>
      <c r="R217" s="202" t="s">
        <v>1345</v>
      </c>
      <c r="S217" s="202" t="s">
        <v>208</v>
      </c>
      <c r="T217" s="76">
        <f>SUM($E217:F217)</f>
        <v>0</v>
      </c>
      <c r="U217" s="76">
        <f>SUM($E217:G217)</f>
        <v>0</v>
      </c>
      <c r="V217" s="76">
        <f>SUM($E217:H217)</f>
        <v>0</v>
      </c>
      <c r="W217" s="76">
        <f>SUM($E217:I217)</f>
        <v>0</v>
      </c>
      <c r="X217" s="76">
        <f>SUM($E217:J217)</f>
        <v>0</v>
      </c>
      <c r="Y217" s="76">
        <f>SUM($E217:K217)</f>
        <v>0</v>
      </c>
      <c r="Z217" s="76">
        <f>SUM($E217:L217)</f>
        <v>396</v>
      </c>
      <c r="AA217" s="76">
        <f>SUM($E217:M217)</f>
        <v>1919</v>
      </c>
      <c r="AB217" s="76">
        <f>SUM($E217:N217)</f>
        <v>7985</v>
      </c>
      <c r="AC217" s="76">
        <f>SUM($E217:O217)</f>
        <v>8372</v>
      </c>
      <c r="AE217" s="76">
        <f t="shared" si="79"/>
        <v>0</v>
      </c>
      <c r="AF217" s="76">
        <f t="shared" si="80"/>
        <v>0</v>
      </c>
      <c r="AG217" s="76">
        <f t="shared" si="81"/>
        <v>0</v>
      </c>
      <c r="AH217" s="76">
        <f t="shared" si="82"/>
        <v>0</v>
      </c>
      <c r="AI217" s="76">
        <f t="shared" si="83"/>
        <v>0</v>
      </c>
      <c r="AJ217" s="76">
        <f t="shared" si="84"/>
        <v>0</v>
      </c>
      <c r="AK217" s="76">
        <f t="shared" si="85"/>
        <v>448.59005207492703</v>
      </c>
      <c r="AL217" s="76">
        <f t="shared" si="86"/>
        <v>2219.5001021221019</v>
      </c>
      <c r="AM217" s="76">
        <f t="shared" si="87"/>
        <v>9429.3304794524884</v>
      </c>
      <c r="AN217" s="76">
        <f t="shared" si="88"/>
        <v>10093.944173353753</v>
      </c>
      <c r="AP217" s="202" t="s">
        <v>339</v>
      </c>
      <c r="AQ217" s="202" t="s">
        <v>208</v>
      </c>
      <c r="AR217" s="155" cm="1">
        <f t="array" ref="AR217">_xlfn.IFS($AQ217=$AP$1,$AQ$1*AE217,$AQ217=$AP$2,$AQ$2*AE217,$AQ217=$AP$3,$AQ$3*AE217,$AQ217=$AP$4,$AQ$4*AE217)</f>
        <v>0</v>
      </c>
      <c r="AS217" s="155" cm="1">
        <f t="array" ref="AS217">_xlfn.IFS($AQ217=$AP$1,$AQ$1*AF217,$AQ217=$AP$2,$AQ$2*AF217,$AQ217=$AP$3,$AQ$3*AF217,$AQ217=$AP$4,$AQ$4*AF217)</f>
        <v>0</v>
      </c>
      <c r="AT217" s="155" cm="1">
        <f t="array" ref="AT217">_xlfn.IFS($AQ217=$AP$1,$AQ$1*AG217,$AQ217=$AP$2,$AQ$2*AG217,$AQ217=$AP$3,$AQ$3*AG217,$AQ217=$AP$4,$AQ$4*AG217)</f>
        <v>0</v>
      </c>
      <c r="AU217" s="155" cm="1">
        <f t="array" ref="AU217">_xlfn.IFS($AQ217=$AP$1,$AQ$1*AH217,$AQ217=$AP$2,$AQ$2*AH217,$AQ217=$AP$3,$AQ$3*AH217,$AQ217=$AP$4,$AQ$4*AH217)</f>
        <v>0</v>
      </c>
      <c r="AV217" s="155" cm="1">
        <f t="array" ref="AV217">_xlfn.IFS($AQ217=$AP$1,$AQ$1*AI217,$AQ217=$AP$2,$AQ$2*AI217,$AQ217=$AP$3,$AQ$3*AI217,$AQ217=$AP$4,$AQ$4*AI217)</f>
        <v>0</v>
      </c>
      <c r="AW217" s="155" cm="1">
        <f t="array" ref="AW217">_xlfn.IFS($AQ217=$AP$1,$AQ$1*AJ217,$AQ217=$AP$2,$AQ$2*AJ217,$AQ217=$AP$3,$AQ$3*AJ217,$AQ217=$AP$4,$AQ$4*AJ217)</f>
        <v>0</v>
      </c>
      <c r="AX217" s="155" cm="1">
        <f t="array" ref="AX217">_xlfn.IFS($AQ217=$AP$1,$AQ$1*AK217,$AQ217=$AP$2,$AQ$2*AK217,$AQ217=$AP$3,$AQ$3*AK217,$AQ217=$AP$4,$AQ$4*AK217)</f>
        <v>63.38248040865696</v>
      </c>
      <c r="AY217" s="155" cm="1">
        <f t="array" ref="AY217">_xlfn.IFS($AQ217=$AP$1,$AQ$1*AL217,$AQ217=$AP$2,$AQ$2*AL217,$AQ217=$AP$3,$AQ$3*AL217,$AQ217=$AP$4,$AQ$4*AL217)</f>
        <v>313.59906687424535</v>
      </c>
      <c r="AZ217" s="155" cm="1">
        <f t="array" ref="AZ217">_xlfn.IFS($AQ217=$AP$1,$AQ$1*AM217,$AQ217=$AP$2,$AQ$2*AM217,$AQ217=$AP$3,$AQ$3*AM217,$AQ217=$AP$4,$AQ$4*AM217)</f>
        <v>1332.2951581655323</v>
      </c>
      <c r="BA217" s="155" cm="1">
        <f t="array" ref="BA217">_xlfn.IFS($AQ217=$AP$1,$AQ$1*AN217,$AQ217=$AP$2,$AQ$2*AN217,$AQ217=$AP$3,$AQ$3*AN217,$AQ217=$AP$4,$AQ$4*AN217)</f>
        <v>1426.2001929253893</v>
      </c>
      <c r="BB217" s="155">
        <f>Table2[[#This Row],[FINAL Project System Capacity (MW)]]</f>
        <v>5</v>
      </c>
      <c r="BC217" s="155" t="str">
        <f>Table2[[#This Row],[FN Parent  '#]]</f>
        <v>Individual Project</v>
      </c>
      <c r="BD217" s="155">
        <f t="shared" si="89"/>
        <v>5</v>
      </c>
      <c r="BE217" s="155">
        <f t="shared" si="90"/>
        <v>5</v>
      </c>
      <c r="BF217" s="155">
        <f t="shared" si="91"/>
        <v>0</v>
      </c>
      <c r="BG217" s="155">
        <f t="shared" si="92"/>
        <v>0</v>
      </c>
      <c r="BH217" s="155">
        <f t="shared" si="93"/>
        <v>0</v>
      </c>
      <c r="BI217" s="155">
        <f t="shared" si="94"/>
        <v>0</v>
      </c>
      <c r="BJ217" s="155">
        <f t="shared" si="95"/>
        <v>0</v>
      </c>
      <c r="BK217" s="155">
        <f t="shared" si="96"/>
        <v>0</v>
      </c>
      <c r="BL217" s="155">
        <f t="shared" si="97"/>
        <v>12.676496081731392</v>
      </c>
      <c r="BM217" s="155">
        <f t="shared" si="98"/>
        <v>62.719813374849068</v>
      </c>
      <c r="BN217" s="155">
        <f t="shared" si="99"/>
        <v>266.45903163310646</v>
      </c>
      <c r="BO217" s="155">
        <f t="shared" si="100"/>
        <v>285.24003858507785</v>
      </c>
      <c r="BP217" s="155">
        <f t="shared" si="101"/>
        <v>47.852868781089342</v>
      </c>
    </row>
    <row r="218" spans="1:68">
      <c r="A218" s="155" t="s">
        <v>218</v>
      </c>
      <c r="B218" s="155" t="s">
        <v>1345</v>
      </c>
      <c r="C218" s="155" t="s">
        <v>208</v>
      </c>
      <c r="D218" s="155">
        <v>2.6</v>
      </c>
      <c r="E218" s="189">
        <v>132.58804000000001</v>
      </c>
      <c r="F218" s="67">
        <v>0</v>
      </c>
      <c r="G218" s="67">
        <v>1071</v>
      </c>
      <c r="H218" s="67">
        <v>0</v>
      </c>
      <c r="I218" s="67">
        <v>0</v>
      </c>
      <c r="J218" s="67">
        <v>0</v>
      </c>
      <c r="K218" s="67">
        <v>0</v>
      </c>
      <c r="L218" s="67">
        <v>0</v>
      </c>
      <c r="M218" s="67">
        <v>0</v>
      </c>
      <c r="N218" s="67">
        <v>0</v>
      </c>
      <c r="O218" s="67">
        <v>0</v>
      </c>
      <c r="Q218" s="201" t="s">
        <v>218</v>
      </c>
      <c r="R218" s="201" t="s">
        <v>1345</v>
      </c>
      <c r="S218" s="201" t="s">
        <v>208</v>
      </c>
      <c r="T218" s="76">
        <f>SUM($E218:F218)</f>
        <v>132.58804000000001</v>
      </c>
      <c r="U218" s="76">
        <f>SUM($E218:G218)</f>
        <v>1203.5880400000001</v>
      </c>
      <c r="V218" s="76">
        <f>SUM($E218:H218)</f>
        <v>1203.5880400000001</v>
      </c>
      <c r="W218" s="76">
        <f>SUM($E218:I218)</f>
        <v>1203.5880400000001</v>
      </c>
      <c r="X218" s="76">
        <f>SUM($E218:J218)</f>
        <v>1203.5880400000001</v>
      </c>
      <c r="Y218" s="76">
        <f>SUM($E218:K218)</f>
        <v>1203.5880400000001</v>
      </c>
      <c r="Z218" s="76">
        <f>SUM($E218:L218)</f>
        <v>1203.5880400000001</v>
      </c>
      <c r="AA218" s="76">
        <f>SUM($E218:M218)</f>
        <v>1203.5880400000001</v>
      </c>
      <c r="AB218" s="76">
        <f>SUM($E218:N218)</f>
        <v>1203.5880400000001</v>
      </c>
      <c r="AC218" s="76">
        <f>SUM($E218:O218)</f>
        <v>1203.5880400000001</v>
      </c>
      <c r="AE218" s="76">
        <f t="shared" si="79"/>
        <v>132.58804000000001</v>
      </c>
      <c r="AF218" s="76">
        <f t="shared" si="80"/>
        <v>1228.86338884</v>
      </c>
      <c r="AG218" s="76">
        <f t="shared" si="81"/>
        <v>1254.6695200056397</v>
      </c>
      <c r="AH218" s="76">
        <f t="shared" si="82"/>
        <v>1281.0175799257581</v>
      </c>
      <c r="AI218" s="76">
        <f t="shared" si="83"/>
        <v>1307.9189491041989</v>
      </c>
      <c r="AJ218" s="76">
        <f t="shared" si="84"/>
        <v>1335.3852470353868</v>
      </c>
      <c r="AK218" s="76">
        <f t="shared" si="85"/>
        <v>1363.4283372231298</v>
      </c>
      <c r="AL218" s="76">
        <f t="shared" si="86"/>
        <v>1392.0603323048153</v>
      </c>
      <c r="AM218" s="76">
        <f t="shared" si="87"/>
        <v>1421.2935992832163</v>
      </c>
      <c r="AN218" s="76">
        <f t="shared" si="88"/>
        <v>1451.1407648681636</v>
      </c>
      <c r="AP218" s="201" t="s">
        <v>218</v>
      </c>
      <c r="AQ218" s="201" t="s">
        <v>208</v>
      </c>
      <c r="AR218" s="155" cm="1">
        <f t="array" ref="AR218">_xlfn.IFS($AQ218=$AP$1,$AQ$1*AE218,$AQ218=$AP$2,$AQ$2*AE218,$AQ218=$AP$3,$AQ$3*AE218,$AQ218=$AP$4,$AQ$4*AE218)</f>
        <v>18.733716471979552</v>
      </c>
      <c r="AS218" s="155" cm="1">
        <f t="array" ref="AS218">_xlfn.IFS($AQ218=$AP$1,$AQ$1*AF218,$AQ218=$AP$2,$AQ$2*AF218,$AQ218=$AP$3,$AQ$3*AF218,$AQ218=$AP$4,$AQ$4*AF218)</f>
        <v>173.62937342858768</v>
      </c>
      <c r="AT218" s="155" cm="1">
        <f t="array" ref="AT218">_xlfn.IFS($AQ218=$AP$1,$AQ$1*AG218,$AQ218=$AP$2,$AQ$2*AG218,$AQ218=$AP$3,$AQ$3*AG218,$AQ218=$AP$4,$AQ$4*AG218)</f>
        <v>177.27559027058797</v>
      </c>
      <c r="AU218" s="155" cm="1">
        <f t="array" ref="AU218">_xlfn.IFS($AQ218=$AP$1,$AQ$1*AH218,$AQ218=$AP$2,$AQ$2*AH218,$AQ218=$AP$3,$AQ$3*AH218,$AQ218=$AP$4,$AQ$4*AH218)</f>
        <v>180.99837766627033</v>
      </c>
      <c r="AV218" s="155" cm="1">
        <f t="array" ref="AV218">_xlfn.IFS($AQ218=$AP$1,$AQ$1*AI218,$AQ218=$AP$2,$AQ$2*AI218,$AQ218=$AP$3,$AQ$3*AI218,$AQ218=$AP$4,$AQ$4*AI218)</f>
        <v>184.79934359726198</v>
      </c>
      <c r="AW218" s="155" cm="1">
        <f t="array" ref="AW218">_xlfn.IFS($AQ218=$AP$1,$AQ$1*AJ218,$AQ218=$AP$2,$AQ$2*AJ218,$AQ218=$AP$3,$AQ$3*AJ218,$AQ218=$AP$4,$AQ$4*AJ218)</f>
        <v>188.68012981280444</v>
      </c>
      <c r="AX218" s="155" cm="1">
        <f t="array" ref="AX218">_xlfn.IFS($AQ218=$AP$1,$AQ$1*AK218,$AQ218=$AP$2,$AQ$2*AK218,$AQ218=$AP$3,$AQ$3*AK218,$AQ218=$AP$4,$AQ$4*AK218)</f>
        <v>192.64241253887332</v>
      </c>
      <c r="AY218" s="155" cm="1">
        <f t="array" ref="AY218">_xlfn.IFS($AQ218=$AP$1,$AQ$1*AL218,$AQ218=$AP$2,$AQ$2*AL218,$AQ218=$AP$3,$AQ$3*AL218,$AQ218=$AP$4,$AQ$4*AL218)</f>
        <v>196.68790320218963</v>
      </c>
      <c r="AZ218" s="155" cm="1">
        <f t="array" ref="AZ218">_xlfn.IFS($AQ218=$AP$1,$AQ$1*AM218,$AQ218=$AP$2,$AQ$2*AM218,$AQ218=$AP$3,$AQ$3*AM218,$AQ218=$AP$4,$AQ$4*AM218)</f>
        <v>200.81834916943558</v>
      </c>
      <c r="BA218" s="155" cm="1">
        <f t="array" ref="BA218">_xlfn.IFS($AQ218=$AP$1,$AQ$1*AN218,$AQ218=$AP$2,$AQ$2*AN218,$AQ218=$AP$3,$AQ$3*AN218,$AQ218=$AP$4,$AQ$4*AN218)</f>
        <v>205.03553450199371</v>
      </c>
      <c r="BB218" s="155">
        <f>Table2[[#This Row],[FINAL Project System Capacity (MW)]]</f>
        <v>2.6</v>
      </c>
      <c r="BC218" s="155" t="str">
        <f>Table2[[#This Row],[FN Parent  '#]]</f>
        <v>Individual Project</v>
      </c>
      <c r="BD218" s="155">
        <f t="shared" si="89"/>
        <v>2.6</v>
      </c>
      <c r="BE218" s="155">
        <f t="shared" si="90"/>
        <v>2.6</v>
      </c>
      <c r="BF218" s="155">
        <f t="shared" si="91"/>
        <v>7.2052755661459811</v>
      </c>
      <c r="BG218" s="155">
        <f t="shared" si="92"/>
        <v>66.780528241764486</v>
      </c>
      <c r="BH218" s="155">
        <f t="shared" si="93"/>
        <v>68.182919334841529</v>
      </c>
      <c r="BI218" s="155">
        <f t="shared" si="94"/>
        <v>69.6147606408732</v>
      </c>
      <c r="BJ218" s="155">
        <f t="shared" si="95"/>
        <v>71.076670614331533</v>
      </c>
      <c r="BK218" s="155">
        <f t="shared" si="96"/>
        <v>72.569280697232472</v>
      </c>
      <c r="BL218" s="155">
        <f t="shared" si="97"/>
        <v>74.093235591874347</v>
      </c>
      <c r="BM218" s="155">
        <f t="shared" si="98"/>
        <v>75.649193539303695</v>
      </c>
      <c r="BN218" s="155">
        <f t="shared" si="99"/>
        <v>77.23782660362906</v>
      </c>
      <c r="BO218" s="155">
        <f t="shared" si="100"/>
        <v>78.859820962305264</v>
      </c>
      <c r="BP218" s="155">
        <f t="shared" si="101"/>
        <v>63.42851166771748</v>
      </c>
    </row>
    <row r="219" spans="1:68">
      <c r="A219" s="155" t="s">
        <v>340</v>
      </c>
      <c r="B219" s="155" t="s">
        <v>1141</v>
      </c>
      <c r="C219" s="155" t="s">
        <v>207</v>
      </c>
      <c r="D219" s="155">
        <v>10</v>
      </c>
      <c r="E219" s="189">
        <v>1444.0274400000001</v>
      </c>
      <c r="F219" s="67">
        <v>1795.8647000000001</v>
      </c>
      <c r="G219" s="67">
        <v>5913.56394</v>
      </c>
      <c r="H219" s="67">
        <v>11598.55393</v>
      </c>
      <c r="I219" s="67">
        <v>8064.6551900000004</v>
      </c>
      <c r="J219" s="67">
        <v>8.13992</v>
      </c>
      <c r="K219" s="67">
        <v>0</v>
      </c>
      <c r="L219" s="67">
        <v>0</v>
      </c>
      <c r="M219" s="67">
        <v>0</v>
      </c>
      <c r="N219" s="67">
        <v>0</v>
      </c>
      <c r="O219" s="67">
        <v>0</v>
      </c>
      <c r="Q219" s="202" t="s">
        <v>340</v>
      </c>
      <c r="R219" s="202" t="s">
        <v>1141</v>
      </c>
      <c r="S219" s="202" t="s">
        <v>207</v>
      </c>
      <c r="T219" s="76">
        <f>SUM($E219:F219)</f>
        <v>3239.8921399999999</v>
      </c>
      <c r="U219" s="76">
        <f>SUM($E219:G219)</f>
        <v>9153.4560799999999</v>
      </c>
      <c r="V219" s="76">
        <f>SUM($E219:H219)</f>
        <v>20752.010009999998</v>
      </c>
      <c r="W219" s="76">
        <f>SUM($E219:I219)</f>
        <v>28816.665199999999</v>
      </c>
      <c r="X219" s="76">
        <f>SUM($E219:J219)</f>
        <v>28824.805120000001</v>
      </c>
      <c r="Y219" s="76">
        <f>SUM($E219:K219)</f>
        <v>28824.805120000001</v>
      </c>
      <c r="Z219" s="76">
        <f>SUM($E219:L219)</f>
        <v>28824.805120000001</v>
      </c>
      <c r="AA219" s="76">
        <f>SUM($E219:M219)</f>
        <v>28824.805120000001</v>
      </c>
      <c r="AB219" s="76">
        <f>SUM($E219:N219)</f>
        <v>28824.805120000001</v>
      </c>
      <c r="AC219" s="76">
        <f>SUM($E219:O219)</f>
        <v>28824.805120000001</v>
      </c>
      <c r="AE219" s="76">
        <f t="shared" si="79"/>
        <v>3239.8921399999999</v>
      </c>
      <c r="AF219" s="76">
        <f t="shared" si="80"/>
        <v>9345.6786576799987</v>
      </c>
      <c r="AG219" s="76">
        <f t="shared" si="81"/>
        <v>21632.746066834403</v>
      </c>
      <c r="AH219" s="76">
        <f t="shared" si="82"/>
        <v>30670.506426796008</v>
      </c>
      <c r="AI219" s="76">
        <f t="shared" si="83"/>
        <v>31323.432576385294</v>
      </c>
      <c r="AJ219" s="76">
        <f t="shared" si="84"/>
        <v>31981.224660489381</v>
      </c>
      <c r="AK219" s="76">
        <f t="shared" si="85"/>
        <v>32652.830378359657</v>
      </c>
      <c r="AL219" s="76">
        <f t="shared" si="86"/>
        <v>33338.539816305209</v>
      </c>
      <c r="AM219" s="76">
        <f t="shared" si="87"/>
        <v>34038.649152447608</v>
      </c>
      <c r="AN219" s="76">
        <f t="shared" si="88"/>
        <v>34753.460784649003</v>
      </c>
      <c r="AP219" s="202" t="s">
        <v>340</v>
      </c>
      <c r="AQ219" s="202" t="s">
        <v>207</v>
      </c>
      <c r="AR219" s="155" cm="1">
        <f t="array" ref="AR219">_xlfn.IFS($AQ219=$AP$1,$AQ$1*AE219,$AQ219=$AP$2,$AQ$2*AE219,$AQ219=$AP$3,$AQ$3*AE219,$AQ219=$AP$4,$AQ$4*AE219)</f>
        <v>261.10967204390727</v>
      </c>
      <c r="AS219" s="155" cm="1">
        <f t="array" ref="AS219">_xlfn.IFS($AQ219=$AP$1,$AQ$1*AF219,$AQ219=$AP$2,$AQ$2*AF219,$AQ219=$AP$3,$AQ$3*AF219,$AQ219=$AP$4,$AQ$4*AF219)</f>
        <v>753.18775560675556</v>
      </c>
      <c r="AT219" s="155" cm="1">
        <f t="array" ref="AT219">_xlfn.IFS($AQ219=$AP$1,$AQ$1*AG219,$AQ219=$AP$2,$AQ$2*AG219,$AQ219=$AP$3,$AQ$3*AG219,$AQ219=$AP$4,$AQ$4*AG219)</f>
        <v>1743.4281719391611</v>
      </c>
      <c r="AU219" s="155" cm="1">
        <f t="array" ref="AU219">_xlfn.IFS($AQ219=$AP$1,$AQ$1*AH219,$AQ219=$AP$2,$AQ$2*AH219,$AQ219=$AP$3,$AQ$3*AH219,$AQ219=$AP$4,$AQ$4*AH219)</f>
        <v>2471.8001490386828</v>
      </c>
      <c r="AV219" s="155" cm="1">
        <f t="array" ref="AV219">_xlfn.IFS($AQ219=$AP$1,$AQ$1*AI219,$AQ219=$AP$2,$AQ$2*AI219,$AQ219=$AP$3,$AQ$3*AI219,$AQ219=$AP$4,$AQ$4*AI219)</f>
        <v>2524.420830660556</v>
      </c>
      <c r="AW219" s="155" cm="1">
        <f t="array" ref="AW219">_xlfn.IFS($AQ219=$AP$1,$AQ$1*AJ219,$AQ219=$AP$2,$AQ$2*AJ219,$AQ219=$AP$3,$AQ$3*AJ219,$AQ219=$AP$4,$AQ$4*AJ219)</f>
        <v>2577.4336681044274</v>
      </c>
      <c r="AX219" s="155" cm="1">
        <f t="array" ref="AX219">_xlfn.IFS($AQ219=$AP$1,$AQ$1*AK219,$AQ219=$AP$2,$AQ$2*AK219,$AQ219=$AP$3,$AQ$3*AK219,$AQ219=$AP$4,$AQ$4*AK219)</f>
        <v>2631.5597751346199</v>
      </c>
      <c r="AY219" s="155" cm="1">
        <f t="array" ref="AY219">_xlfn.IFS($AQ219=$AP$1,$AQ$1*AL219,$AQ219=$AP$2,$AQ$2*AL219,$AQ219=$AP$3,$AQ$3*AL219,$AQ219=$AP$4,$AQ$4*AL219)</f>
        <v>2686.8225304124471</v>
      </c>
      <c r="AZ219" s="155" cm="1">
        <f t="array" ref="AZ219">_xlfn.IFS($AQ219=$AP$1,$AQ$1*AM219,$AQ219=$AP$2,$AQ$2*AM219,$AQ219=$AP$3,$AQ$3*AM219,$AQ219=$AP$4,$AQ$4*AM219)</f>
        <v>2743.2458035511077</v>
      </c>
      <c r="BA219" s="155" cm="1">
        <f t="array" ref="BA219">_xlfn.IFS($AQ219=$AP$1,$AQ$1*AN219,$AQ219=$AP$2,$AQ$2*AN219,$AQ219=$AP$3,$AQ$3*AN219,$AQ219=$AP$4,$AQ$4*AN219)</f>
        <v>2800.8539654256806</v>
      </c>
      <c r="BB219" s="155">
        <f>Table2[[#This Row],[FINAL Project System Capacity (MW)]]</f>
        <v>10</v>
      </c>
      <c r="BC219" s="155" t="str">
        <f>Table2[[#This Row],[FN Parent  '#]]</f>
        <v>FN010876</v>
      </c>
      <c r="BD219" s="155">
        <f t="shared" si="89"/>
        <v>10</v>
      </c>
      <c r="BE219" s="155">
        <f t="shared" si="90"/>
        <v>10</v>
      </c>
      <c r="BF219" s="155">
        <f t="shared" si="91"/>
        <v>26.110967204390725</v>
      </c>
      <c r="BG219" s="155">
        <f t="shared" si="92"/>
        <v>75.318775560675562</v>
      </c>
      <c r="BH219" s="155">
        <f t="shared" si="93"/>
        <v>174.34281719391612</v>
      </c>
      <c r="BI219" s="155">
        <f t="shared" si="94"/>
        <v>247.18001490386828</v>
      </c>
      <c r="BJ219" s="155">
        <f t="shared" si="95"/>
        <v>252.4420830660556</v>
      </c>
      <c r="BK219" s="155">
        <f t="shared" si="96"/>
        <v>257.74336681044275</v>
      </c>
      <c r="BL219" s="155">
        <f t="shared" si="97"/>
        <v>263.15597751346201</v>
      </c>
      <c r="BM219" s="155">
        <f t="shared" si="98"/>
        <v>268.68225304124473</v>
      </c>
      <c r="BN219" s="155">
        <f t="shared" si="99"/>
        <v>274.32458035511075</v>
      </c>
      <c r="BO219" s="155">
        <f t="shared" si="100"/>
        <v>280.08539654256805</v>
      </c>
      <c r="BP219" s="155">
        <f t="shared" si="101"/>
        <v>197.41869588143979</v>
      </c>
    </row>
    <row r="220" spans="1:68">
      <c r="A220" s="155" t="s">
        <v>341</v>
      </c>
      <c r="B220" s="155" t="s">
        <v>1039</v>
      </c>
      <c r="C220" s="155" t="s">
        <v>208</v>
      </c>
      <c r="D220" s="155">
        <v>9</v>
      </c>
      <c r="E220" s="189">
        <v>16656.694320000002</v>
      </c>
      <c r="F220" s="67">
        <v>1298.2460000000001</v>
      </c>
      <c r="G220" s="67">
        <v>0</v>
      </c>
      <c r="H220" s="67">
        <v>0</v>
      </c>
      <c r="I220" s="67">
        <v>0</v>
      </c>
      <c r="J220" s="67">
        <v>0</v>
      </c>
      <c r="K220" s="67">
        <v>0</v>
      </c>
      <c r="L220" s="67">
        <v>0</v>
      </c>
      <c r="M220" s="67">
        <v>0</v>
      </c>
      <c r="N220" s="67">
        <v>0</v>
      </c>
      <c r="O220" s="67">
        <v>0</v>
      </c>
      <c r="Q220" s="201" t="s">
        <v>341</v>
      </c>
      <c r="R220" s="201" t="s">
        <v>1039</v>
      </c>
      <c r="S220" s="201" t="s">
        <v>208</v>
      </c>
      <c r="T220" s="76">
        <f>SUM($E220:F220)</f>
        <v>17954.940320000002</v>
      </c>
      <c r="U220" s="76">
        <f>SUM($E220:G220)</f>
        <v>17954.940320000002</v>
      </c>
      <c r="V220" s="76">
        <f>SUM($E220:H220)</f>
        <v>17954.940320000002</v>
      </c>
      <c r="W220" s="76">
        <f>SUM($E220:I220)</f>
        <v>17954.940320000002</v>
      </c>
      <c r="X220" s="76">
        <f>SUM($E220:J220)</f>
        <v>17954.940320000002</v>
      </c>
      <c r="Y220" s="76">
        <f>SUM($E220:K220)</f>
        <v>17954.940320000002</v>
      </c>
      <c r="Z220" s="76">
        <f>SUM($E220:L220)</f>
        <v>17954.940320000002</v>
      </c>
      <c r="AA220" s="76">
        <f>SUM($E220:M220)</f>
        <v>17954.940320000002</v>
      </c>
      <c r="AB220" s="76">
        <f>SUM($E220:N220)</f>
        <v>17954.940320000002</v>
      </c>
      <c r="AC220" s="76">
        <f>SUM($E220:O220)</f>
        <v>17954.940320000002</v>
      </c>
      <c r="AE220" s="76">
        <f t="shared" si="79"/>
        <v>17954.940320000002</v>
      </c>
      <c r="AF220" s="76">
        <f t="shared" si="80"/>
        <v>18331.994066719999</v>
      </c>
      <c r="AG220" s="76">
        <f t="shared" si="81"/>
        <v>18716.965942121118</v>
      </c>
      <c r="AH220" s="76">
        <f t="shared" si="82"/>
        <v>19110.022226905658</v>
      </c>
      <c r="AI220" s="76">
        <f t="shared" si="83"/>
        <v>19511.332693670673</v>
      </c>
      <c r="AJ220" s="76">
        <f t="shared" si="84"/>
        <v>19921.070680237757</v>
      </c>
      <c r="AK220" s="76">
        <f t="shared" si="85"/>
        <v>20339.413164522746</v>
      </c>
      <c r="AL220" s="76">
        <f t="shared" si="86"/>
        <v>20766.540840977723</v>
      </c>
      <c r="AM220" s="76">
        <f t="shared" si="87"/>
        <v>21202.638198638251</v>
      </c>
      <c r="AN220" s="76">
        <f t="shared" si="88"/>
        <v>21647.89360080965</v>
      </c>
      <c r="AP220" s="201" t="s">
        <v>341</v>
      </c>
      <c r="AQ220" s="201" t="s">
        <v>208</v>
      </c>
      <c r="AR220" s="155" cm="1">
        <f t="array" ref="AR220">_xlfn.IFS($AQ220=$AP$1,$AQ$1*AE220,$AQ220=$AP$2,$AQ$2*AE220,$AQ220=$AP$3,$AQ$3*AE220,$AQ220=$AP$4,$AQ$4*AE220)</f>
        <v>2536.9012259793103</v>
      </c>
      <c r="AS220" s="155" cm="1">
        <f t="array" ref="AS220">_xlfn.IFS($AQ220=$AP$1,$AQ$1*AF220,$AQ220=$AP$2,$AQ$2*AF220,$AQ220=$AP$3,$AQ$3*AF220,$AQ220=$AP$4,$AQ$4*AF220)</f>
        <v>2590.1761517248751</v>
      </c>
      <c r="AT220" s="155" cm="1">
        <f t="array" ref="AT220">_xlfn.IFS($AQ220=$AP$1,$AQ$1*AG220,$AQ220=$AP$2,$AQ$2*AG220,$AQ220=$AP$3,$AQ$3*AG220,$AQ220=$AP$4,$AQ$4*AG220)</f>
        <v>2644.5698509110975</v>
      </c>
      <c r="AU220" s="155" cm="1">
        <f t="array" ref="AU220">_xlfn.IFS($AQ220=$AP$1,$AQ$1*AH220,$AQ220=$AP$2,$AQ$2*AH220,$AQ220=$AP$3,$AQ$3*AH220,$AQ220=$AP$4,$AQ$4*AH220)</f>
        <v>2700.1058177802302</v>
      </c>
      <c r="AV220" s="155" cm="1">
        <f t="array" ref="AV220">_xlfn.IFS($AQ220=$AP$1,$AQ$1*AI220,$AQ220=$AP$2,$AQ$2*AI220,$AQ220=$AP$3,$AQ$3*AI220,$AQ220=$AP$4,$AQ$4*AI220)</f>
        <v>2756.8080399536143</v>
      </c>
      <c r="AW220" s="155" cm="1">
        <f t="array" ref="AW220">_xlfn.IFS($AQ220=$AP$1,$AQ$1*AJ220,$AQ220=$AP$2,$AQ$2*AJ220,$AQ220=$AP$3,$AQ$3*AJ220,$AQ220=$AP$4,$AQ$4*AJ220)</f>
        <v>2814.7010087926406</v>
      </c>
      <c r="AX220" s="155" cm="1">
        <f t="array" ref="AX220">_xlfn.IFS($AQ220=$AP$1,$AQ$1*AK220,$AQ220=$AP$2,$AQ$2*AK220,$AQ220=$AP$3,$AQ$3*AK220,$AQ220=$AP$4,$AQ$4*AK220)</f>
        <v>2873.8097299772853</v>
      </c>
      <c r="AY220" s="155" cm="1">
        <f t="array" ref="AY220">_xlfn.IFS($AQ220=$AP$1,$AQ$1*AL220,$AQ220=$AP$2,$AQ$2*AL220,$AQ220=$AP$3,$AQ$3*AL220,$AQ220=$AP$4,$AQ$4*AL220)</f>
        <v>2934.1597343068079</v>
      </c>
      <c r="AZ220" s="155" cm="1">
        <f t="array" ref="AZ220">_xlfn.IFS($AQ220=$AP$1,$AQ$1*AM220,$AQ220=$AP$2,$AQ$2*AM220,$AQ220=$AP$3,$AQ$3*AM220,$AQ220=$AP$4,$AQ$4*AM220)</f>
        <v>2995.7770887272504</v>
      </c>
      <c r="BA220" s="155" cm="1">
        <f t="array" ref="BA220">_xlfn.IFS($AQ220=$AP$1,$AQ$1*AN220,$AQ220=$AP$2,$AQ$2*AN220,$AQ220=$AP$3,$AQ$3*AN220,$AQ220=$AP$4,$AQ$4*AN220)</f>
        <v>3058.6884075905223</v>
      </c>
      <c r="BB220" s="155">
        <f>Table2[[#This Row],[FINAL Project System Capacity (MW)]]</f>
        <v>9</v>
      </c>
      <c r="BC220" s="155" t="str">
        <f>Table2[[#This Row],[FN Parent  '#]]</f>
        <v>FN006255</v>
      </c>
      <c r="BD220" s="155">
        <f t="shared" si="89"/>
        <v>9</v>
      </c>
      <c r="BE220" s="155">
        <f t="shared" si="90"/>
        <v>9</v>
      </c>
      <c r="BF220" s="155">
        <f t="shared" si="91"/>
        <v>281.87791399770117</v>
      </c>
      <c r="BG220" s="155">
        <f t="shared" si="92"/>
        <v>287.79735019165281</v>
      </c>
      <c r="BH220" s="155">
        <f t="shared" si="93"/>
        <v>293.84109454567749</v>
      </c>
      <c r="BI220" s="155">
        <f t="shared" si="94"/>
        <v>300.01175753113671</v>
      </c>
      <c r="BJ220" s="155">
        <f t="shared" si="95"/>
        <v>306.31200443929049</v>
      </c>
      <c r="BK220" s="155">
        <f t="shared" si="96"/>
        <v>312.74455653251562</v>
      </c>
      <c r="BL220" s="155">
        <f t="shared" si="97"/>
        <v>319.31219221969837</v>
      </c>
      <c r="BM220" s="155">
        <f t="shared" si="98"/>
        <v>326.01774825631196</v>
      </c>
      <c r="BN220" s="155">
        <f t="shared" si="99"/>
        <v>332.86412096969451</v>
      </c>
      <c r="BO220" s="155">
        <f t="shared" si="100"/>
        <v>339.85426751005804</v>
      </c>
      <c r="BP220" s="155">
        <f t="shared" si="101"/>
        <v>306.56727368376579</v>
      </c>
    </row>
    <row r="221" spans="1:68">
      <c r="A221" s="155" t="s">
        <v>341</v>
      </c>
      <c r="B221" s="155" t="s">
        <v>1039</v>
      </c>
      <c r="C221" s="155" t="s">
        <v>207</v>
      </c>
      <c r="D221" s="155">
        <v>9</v>
      </c>
      <c r="E221" s="189">
        <v>14537.266240000001</v>
      </c>
      <c r="F221" s="67">
        <v>9576.7900000000045</v>
      </c>
      <c r="G221" s="67">
        <v>3000</v>
      </c>
      <c r="H221" s="67">
        <v>0</v>
      </c>
      <c r="I221" s="67">
        <v>0</v>
      </c>
      <c r="J221" s="67">
        <v>0</v>
      </c>
      <c r="K221" s="67">
        <v>0</v>
      </c>
      <c r="L221" s="67">
        <v>0</v>
      </c>
      <c r="M221" s="67">
        <v>0</v>
      </c>
      <c r="N221" s="67">
        <v>0</v>
      </c>
      <c r="O221" s="67">
        <v>0</v>
      </c>
      <c r="Q221" s="202" t="s">
        <v>341</v>
      </c>
      <c r="R221" s="202" t="s">
        <v>1039</v>
      </c>
      <c r="S221" s="202" t="s">
        <v>207</v>
      </c>
      <c r="T221" s="76">
        <f>SUM($E221:F221)</f>
        <v>24114.056240000005</v>
      </c>
      <c r="U221" s="76">
        <f>SUM($E221:G221)</f>
        <v>27114.056240000005</v>
      </c>
      <c r="V221" s="76">
        <f>SUM($E221:H221)</f>
        <v>27114.056240000005</v>
      </c>
      <c r="W221" s="76">
        <f>SUM($E221:I221)</f>
        <v>27114.056240000005</v>
      </c>
      <c r="X221" s="76">
        <f>SUM($E221:J221)</f>
        <v>27114.056240000005</v>
      </c>
      <c r="Y221" s="76">
        <f>SUM($E221:K221)</f>
        <v>27114.056240000005</v>
      </c>
      <c r="Z221" s="76">
        <f>SUM($E221:L221)</f>
        <v>27114.056240000005</v>
      </c>
      <c r="AA221" s="76">
        <f>SUM($E221:M221)</f>
        <v>27114.056240000005</v>
      </c>
      <c r="AB221" s="76">
        <f>SUM($E221:N221)</f>
        <v>27114.056240000005</v>
      </c>
      <c r="AC221" s="76">
        <f>SUM($E221:O221)</f>
        <v>27114.056240000005</v>
      </c>
      <c r="AE221" s="76">
        <f t="shared" si="79"/>
        <v>24114.056240000005</v>
      </c>
      <c r="AF221" s="76">
        <f t="shared" si="80"/>
        <v>27683.451421040001</v>
      </c>
      <c r="AG221" s="76">
        <f t="shared" si="81"/>
        <v>28264.803900881838</v>
      </c>
      <c r="AH221" s="76">
        <f t="shared" si="82"/>
        <v>28858.364782800356</v>
      </c>
      <c r="AI221" s="76">
        <f t="shared" si="83"/>
        <v>29464.390443239157</v>
      </c>
      <c r="AJ221" s="76">
        <f t="shared" si="84"/>
        <v>30083.142642547176</v>
      </c>
      <c r="AK221" s="76">
        <f t="shared" si="85"/>
        <v>30714.888638040666</v>
      </c>
      <c r="AL221" s="76">
        <f t="shared" si="86"/>
        <v>31359.901299439516</v>
      </c>
      <c r="AM221" s="76">
        <f t="shared" si="87"/>
        <v>32018.45922672774</v>
      </c>
      <c r="AN221" s="76">
        <f t="shared" si="88"/>
        <v>32690.846870489015</v>
      </c>
      <c r="AP221" s="202" t="s">
        <v>341</v>
      </c>
      <c r="AQ221" s="202" t="s">
        <v>207</v>
      </c>
      <c r="AR221" s="155" cm="1">
        <f t="array" ref="AR221">_xlfn.IFS($AQ221=$AP$1,$AQ$1*AE221,$AQ221=$AP$2,$AQ$2*AE221,$AQ221=$AP$3,$AQ$3*AE221,$AQ221=$AP$4,$AQ$4*AE221)</f>
        <v>1943.4021394535491</v>
      </c>
      <c r="AS221" s="155" cm="1">
        <f t="array" ref="AS221">_xlfn.IFS($AQ221=$AP$1,$AQ$1*AF221,$AQ221=$AP$2,$AQ$2*AF221,$AQ221=$AP$3,$AQ$3*AF221,$AQ221=$AP$4,$AQ$4*AF221)</f>
        <v>2231.0671495351676</v>
      </c>
      <c r="AT221" s="155" cm="1">
        <f t="array" ref="AT221">_xlfn.IFS($AQ221=$AP$1,$AQ$1*AG221,$AQ221=$AP$2,$AQ$2*AG221,$AQ221=$AP$3,$AQ$3*AG221,$AQ221=$AP$4,$AQ$4*AG221)</f>
        <v>2277.9195596754057</v>
      </c>
      <c r="AU221" s="155" cm="1">
        <f t="array" ref="AU221">_xlfn.IFS($AQ221=$AP$1,$AQ$1*AH221,$AQ221=$AP$2,$AQ$2*AH221,$AQ221=$AP$3,$AQ$3*AH221,$AQ221=$AP$4,$AQ$4*AH221)</f>
        <v>2325.7558704285893</v>
      </c>
      <c r="AV221" s="155" cm="1">
        <f t="array" ref="AV221">_xlfn.IFS($AQ221=$AP$1,$AQ$1*AI221,$AQ221=$AP$2,$AQ$2*AI221,$AQ221=$AP$3,$AQ$3*AI221,$AQ221=$AP$4,$AQ$4*AI221)</f>
        <v>2374.5967437075892</v>
      </c>
      <c r="AW221" s="155" cm="1">
        <f t="array" ref="AW221">_xlfn.IFS($AQ221=$AP$1,$AQ$1*AJ221,$AQ221=$AP$2,$AQ$2*AJ221,$AQ221=$AP$3,$AQ$3*AJ221,$AQ221=$AP$4,$AQ$4*AJ221)</f>
        <v>2424.4632753254482</v>
      </c>
      <c r="AX221" s="155" cm="1">
        <f t="array" ref="AX221">_xlfn.IFS($AQ221=$AP$1,$AQ$1*AK221,$AQ221=$AP$2,$AQ$2*AK221,$AQ221=$AP$3,$AQ$3*AK221,$AQ221=$AP$4,$AQ$4*AK221)</f>
        <v>2475.3770041072826</v>
      </c>
      <c r="AY221" s="155" cm="1">
        <f t="array" ref="AY221">_xlfn.IFS($AQ221=$AP$1,$AQ$1*AL221,$AQ221=$AP$2,$AQ$2*AL221,$AQ221=$AP$3,$AQ$3*AL221,$AQ221=$AP$4,$AQ$4*AL221)</f>
        <v>2527.3599211935352</v>
      </c>
      <c r="AZ221" s="155" cm="1">
        <f t="array" ref="AZ221">_xlfn.IFS($AQ221=$AP$1,$AQ$1*AM221,$AQ221=$AP$2,$AQ$2*AM221,$AQ221=$AP$3,$AQ$3*AM221,$AQ221=$AP$4,$AQ$4*AM221)</f>
        <v>2580.4344795385991</v>
      </c>
      <c r="BA221" s="155" cm="1">
        <f t="array" ref="BA221">_xlfn.IFS($AQ221=$AP$1,$AQ$1*AN221,$AQ221=$AP$2,$AQ$2*AN221,$AQ221=$AP$3,$AQ$3*AN221,$AQ221=$AP$4,$AQ$4*AN221)</f>
        <v>2634.623603608909</v>
      </c>
      <c r="BB221" s="155">
        <f>Table2[[#This Row],[FINAL Project System Capacity (MW)]]</f>
        <v>9</v>
      </c>
      <c r="BC221" s="155" t="str">
        <f>Table2[[#This Row],[FN Parent  '#]]</f>
        <v>FN006255</v>
      </c>
      <c r="BD221" s="155">
        <f t="shared" si="89"/>
        <v>9</v>
      </c>
      <c r="BF221" s="155">
        <f t="shared" si="91"/>
        <v>215.93357105039433</v>
      </c>
      <c r="BG221" s="155">
        <f t="shared" si="92"/>
        <v>247.89634994835194</v>
      </c>
      <c r="BH221" s="155">
        <f t="shared" si="93"/>
        <v>253.10217329726731</v>
      </c>
      <c r="BI221" s="155">
        <f t="shared" si="94"/>
        <v>258.4173189365099</v>
      </c>
      <c r="BJ221" s="155">
        <f t="shared" si="95"/>
        <v>263.84408263417657</v>
      </c>
      <c r="BK221" s="155">
        <f t="shared" si="96"/>
        <v>269.38480836949424</v>
      </c>
      <c r="BL221" s="155">
        <f t="shared" si="97"/>
        <v>275.04188934525359</v>
      </c>
      <c r="BM221" s="155">
        <f t="shared" si="98"/>
        <v>280.81776902150392</v>
      </c>
      <c r="BN221" s="155">
        <f t="shared" si="99"/>
        <v>286.71494217095545</v>
      </c>
      <c r="BO221" s="155">
        <f t="shared" si="100"/>
        <v>292.73595595654547</v>
      </c>
      <c r="BP221" s="155">
        <f t="shared" si="101"/>
        <v>260.50647740237559</v>
      </c>
    </row>
    <row r="222" spans="1:68">
      <c r="A222" s="155" t="s">
        <v>342</v>
      </c>
      <c r="B222" s="155" t="s">
        <v>1037</v>
      </c>
      <c r="C222" s="155" t="s">
        <v>207</v>
      </c>
      <c r="D222" s="155">
        <v>35</v>
      </c>
      <c r="E222" s="189">
        <v>1063.34572</v>
      </c>
      <c r="F222" s="67">
        <v>200</v>
      </c>
      <c r="G222" s="67">
        <v>200</v>
      </c>
      <c r="H222" s="67">
        <v>1500</v>
      </c>
      <c r="I222" s="67">
        <v>3522.8326000000002</v>
      </c>
      <c r="J222" s="67">
        <v>6187.6640600000001</v>
      </c>
      <c r="K222" s="67">
        <v>10217.603779999999</v>
      </c>
      <c r="L222" s="67">
        <v>320</v>
      </c>
      <c r="M222" s="67">
        <v>0</v>
      </c>
      <c r="N222" s="67">
        <v>0</v>
      </c>
      <c r="O222" s="67">
        <v>0</v>
      </c>
      <c r="Q222" s="201" t="s">
        <v>342</v>
      </c>
      <c r="R222" s="201" t="s">
        <v>1037</v>
      </c>
      <c r="S222" s="201" t="s">
        <v>207</v>
      </c>
      <c r="T222" s="76">
        <f>SUM($E222:F222)</f>
        <v>1263.34572</v>
      </c>
      <c r="U222" s="76">
        <f>SUM($E222:G222)</f>
        <v>1463.34572</v>
      </c>
      <c r="V222" s="76">
        <f>SUM($E222:H222)</f>
        <v>2963.3457200000003</v>
      </c>
      <c r="W222" s="76">
        <f>SUM($E222:I222)</f>
        <v>6486.1783200000009</v>
      </c>
      <c r="X222" s="76">
        <f>SUM($E222:J222)</f>
        <v>12673.842380000002</v>
      </c>
      <c r="Y222" s="76">
        <f>SUM($E222:K222)</f>
        <v>22891.44616</v>
      </c>
      <c r="Z222" s="76">
        <f>SUM($E222:L222)</f>
        <v>23211.44616</v>
      </c>
      <c r="AA222" s="76">
        <f>SUM($E222:M222)</f>
        <v>23211.44616</v>
      </c>
      <c r="AB222" s="76">
        <f>SUM($E222:N222)</f>
        <v>23211.44616</v>
      </c>
      <c r="AC222" s="76">
        <f>SUM($E222:O222)</f>
        <v>23211.44616</v>
      </c>
      <c r="AE222" s="76">
        <f t="shared" si="79"/>
        <v>1263.34572</v>
      </c>
      <c r="AF222" s="76">
        <f t="shared" si="80"/>
        <v>1494.0759801199999</v>
      </c>
      <c r="AG222" s="76">
        <f t="shared" si="81"/>
        <v>3089.1130757025194</v>
      </c>
      <c r="AH222" s="76">
        <f t="shared" si="82"/>
        <v>6903.4488365747802</v>
      </c>
      <c r="AI222" s="76">
        <f t="shared" si="83"/>
        <v>13772.45208149614</v>
      </c>
      <c r="AJ222" s="76">
        <f t="shared" si="84"/>
        <v>25398.141614442142</v>
      </c>
      <c r="AK222" s="76">
        <f t="shared" si="85"/>
        <v>26293.999600123145</v>
      </c>
      <c r="AL222" s="76">
        <f t="shared" si="86"/>
        <v>26846.173591725728</v>
      </c>
      <c r="AM222" s="76">
        <f t="shared" si="87"/>
        <v>27409.943237151962</v>
      </c>
      <c r="AN222" s="76">
        <f t="shared" si="88"/>
        <v>27985.55204513215</v>
      </c>
      <c r="AP222" s="201" t="s">
        <v>342</v>
      </c>
      <c r="AQ222" s="201" t="s">
        <v>207</v>
      </c>
      <c r="AR222" s="155" cm="1">
        <f t="array" ref="AR222">_xlfn.IFS($AQ222=$AP$1,$AQ$1*AE222,$AQ222=$AP$2,$AQ$2*AE222,$AQ222=$AP$3,$AQ$3*AE222,$AQ222=$AP$4,$AQ$4*AE222)</f>
        <v>101.81566927943284</v>
      </c>
      <c r="AS222" s="155" cm="1">
        <f t="array" ref="AS222">_xlfn.IFS($AQ222=$AP$1,$AQ$1*AF222,$AQ222=$AP$2,$AQ$2*AF222,$AQ222=$AP$3,$AQ$3*AF222,$AQ222=$AP$4,$AQ$4*AF222)</f>
        <v>120.41070267784055</v>
      </c>
      <c r="AT222" s="155" cm="1">
        <f t="array" ref="AT222">_xlfn.IFS($AQ222=$AP$1,$AQ$1*AG222,$AQ222=$AP$2,$AQ$2*AG222,$AQ222=$AP$3,$AQ$3*AG222,$AQ222=$AP$4,$AQ$4*AG222)</f>
        <v>248.95807244472977</v>
      </c>
      <c r="AU222" s="155" cm="1">
        <f t="array" ref="AU222">_xlfn.IFS($AQ222=$AP$1,$AQ$1*AH222,$AQ222=$AP$2,$AQ$2*AH222,$AQ222=$AP$3,$AQ$3*AH222,$AQ222=$AP$4,$AQ$4*AH222)</f>
        <v>556.36335525970139</v>
      </c>
      <c r="AV222" s="155" cm="1">
        <f t="array" ref="AV222">_xlfn.IFS($AQ222=$AP$1,$AQ$1*AI222,$AQ222=$AP$2,$AQ$2*AI222,$AQ222=$AP$3,$AQ$3*AI222,$AQ222=$AP$4,$AQ$4*AI222)</f>
        <v>1109.9506683700542</v>
      </c>
      <c r="AW222" s="155" cm="1">
        <f t="array" ref="AW222">_xlfn.IFS($AQ222=$AP$1,$AQ$1*AJ222,$AQ222=$AP$2,$AQ$2*AJ222,$AQ222=$AP$3,$AQ$3*AJ222,$AQ222=$AP$4,$AQ$4*AJ222)</f>
        <v>2046.8892607862253</v>
      </c>
      <c r="AX222" s="155" cm="1">
        <f t="array" ref="AX222">_xlfn.IFS($AQ222=$AP$1,$AQ$1*AK222,$AQ222=$AP$2,$AQ$2*AK222,$AQ222=$AP$3,$AQ$3*AK222,$AQ222=$AP$4,$AQ$4*AK222)</f>
        <v>2119.0883262894004</v>
      </c>
      <c r="AY222" s="155" cm="1">
        <f t="array" ref="AY222">_xlfn.IFS($AQ222=$AP$1,$AQ$1*AL222,$AQ222=$AP$2,$AQ$2*AL222,$AQ222=$AP$3,$AQ$3*AL222,$AQ222=$AP$4,$AQ$4*AL222)</f>
        <v>2163.5891811414776</v>
      </c>
      <c r="AZ222" s="155" cm="1">
        <f t="array" ref="AZ222">_xlfn.IFS($AQ222=$AP$1,$AQ$1*AM222,$AQ222=$AP$2,$AQ$2*AM222,$AQ222=$AP$3,$AQ$3*AM222,$AQ222=$AP$4,$AQ$4*AM222)</f>
        <v>2209.0245539454481</v>
      </c>
      <c r="BA222" s="155" cm="1">
        <f t="array" ref="BA222">_xlfn.IFS($AQ222=$AP$1,$AQ$1*AN222,$AQ222=$AP$2,$AQ$2*AN222,$AQ222=$AP$3,$AQ$3*AN222,$AQ222=$AP$4,$AQ$4*AN222)</f>
        <v>2255.4140695783021</v>
      </c>
      <c r="BB222" s="155">
        <f>Table2[[#This Row],[FINAL Project System Capacity (MW)]]</f>
        <v>35</v>
      </c>
      <c r="BC222" s="155" t="str">
        <f>Table2[[#This Row],[FN Parent  '#]]</f>
        <v>FN005886</v>
      </c>
      <c r="BD222" s="155">
        <f t="shared" si="89"/>
        <v>35</v>
      </c>
      <c r="BE222" s="155">
        <f t="shared" si="90"/>
        <v>35</v>
      </c>
      <c r="BF222" s="155">
        <f t="shared" si="91"/>
        <v>2.9090191222695099</v>
      </c>
      <c r="BG222" s="155">
        <f t="shared" si="92"/>
        <v>3.4403057907954442</v>
      </c>
      <c r="BH222" s="155">
        <f t="shared" si="93"/>
        <v>7.1130877841351365</v>
      </c>
      <c r="BI222" s="155">
        <f t="shared" si="94"/>
        <v>15.896095864562897</v>
      </c>
      <c r="BJ222" s="155">
        <f t="shared" si="95"/>
        <v>31.712876239144407</v>
      </c>
      <c r="BK222" s="155">
        <f t="shared" si="96"/>
        <v>58.482550308177871</v>
      </c>
      <c r="BL222" s="155">
        <f t="shared" si="97"/>
        <v>60.545380751125727</v>
      </c>
      <c r="BM222" s="155">
        <f t="shared" si="98"/>
        <v>61.816833746899363</v>
      </c>
      <c r="BN222" s="155">
        <f t="shared" si="99"/>
        <v>63.114987255584232</v>
      </c>
      <c r="BO222" s="155">
        <f t="shared" si="100"/>
        <v>64.440401987951489</v>
      </c>
      <c r="BP222" s="155">
        <f t="shared" si="101"/>
        <v>32.263697279133083</v>
      </c>
    </row>
    <row r="223" spans="1:68">
      <c r="A223" s="155" t="s">
        <v>343</v>
      </c>
      <c r="B223" s="155" t="s">
        <v>1345</v>
      </c>
      <c r="C223" s="155" t="s">
        <v>207</v>
      </c>
      <c r="D223" s="155">
        <v>2.38</v>
      </c>
      <c r="E223" s="189">
        <v>0</v>
      </c>
      <c r="F223" s="67">
        <v>0</v>
      </c>
      <c r="G223" s="67">
        <v>0</v>
      </c>
      <c r="H223" s="67">
        <v>0</v>
      </c>
      <c r="I223" s="67">
        <v>95</v>
      </c>
      <c r="J223" s="67">
        <v>1258</v>
      </c>
      <c r="K223" s="67">
        <v>366</v>
      </c>
      <c r="L223" s="67">
        <v>1096</v>
      </c>
      <c r="M223" s="67">
        <v>7390</v>
      </c>
      <c r="N223" s="67">
        <v>7390</v>
      </c>
      <c r="O223" s="67">
        <v>4795.0000000000009</v>
      </c>
      <c r="Q223" s="202" t="s">
        <v>343</v>
      </c>
      <c r="R223" s="202" t="s">
        <v>1345</v>
      </c>
      <c r="S223" s="202" t="s">
        <v>207</v>
      </c>
      <c r="T223" s="76">
        <f>SUM($E223:F223)</f>
        <v>0</v>
      </c>
      <c r="U223" s="76">
        <f>SUM($E223:G223)</f>
        <v>0</v>
      </c>
      <c r="V223" s="76">
        <f>SUM($E223:H223)</f>
        <v>0</v>
      </c>
      <c r="W223" s="76">
        <f>SUM($E223:I223)</f>
        <v>95</v>
      </c>
      <c r="X223" s="76">
        <f>SUM($E223:J223)</f>
        <v>1353</v>
      </c>
      <c r="Y223" s="76">
        <f>SUM($E223:K223)</f>
        <v>1719</v>
      </c>
      <c r="Z223" s="76">
        <f>SUM($E223:L223)</f>
        <v>2815</v>
      </c>
      <c r="AA223" s="76">
        <f>SUM($E223:M223)</f>
        <v>10205</v>
      </c>
      <c r="AB223" s="76">
        <f>SUM($E223:N223)</f>
        <v>17595</v>
      </c>
      <c r="AC223" s="76">
        <f>SUM($E223:O223)</f>
        <v>22390</v>
      </c>
      <c r="AE223" s="76">
        <f t="shared" si="79"/>
        <v>0</v>
      </c>
      <c r="AF223" s="76">
        <f t="shared" si="80"/>
        <v>0</v>
      </c>
      <c r="AG223" s="76">
        <f t="shared" si="81"/>
        <v>0</v>
      </c>
      <c r="AH223" s="76">
        <f t="shared" si="82"/>
        <v>101.11156479499996</v>
      </c>
      <c r="AI223" s="76">
        <f t="shared" si="83"/>
        <v>1470.2824216647923</v>
      </c>
      <c r="AJ223" s="76">
        <f t="shared" si="84"/>
        <v>1907.2366651747634</v>
      </c>
      <c r="AK223" s="76">
        <f t="shared" si="85"/>
        <v>3188.8409004821201</v>
      </c>
      <c r="AL223" s="76">
        <f t="shared" si="86"/>
        <v>11803.021647814514</v>
      </c>
      <c r="AM223" s="76">
        <f t="shared" si="87"/>
        <v>20777.591707697749</v>
      </c>
      <c r="AN223" s="76">
        <f t="shared" si="88"/>
        <v>26995.151701073883</v>
      </c>
      <c r="AP223" s="202" t="s">
        <v>343</v>
      </c>
      <c r="AQ223" s="202" t="s">
        <v>207</v>
      </c>
      <c r="AR223" s="155" cm="1">
        <f t="array" ref="AR223">_xlfn.IFS($AQ223=$AP$1,$AQ$1*AE223,$AQ223=$AP$2,$AQ$2*AE223,$AQ223=$AP$3,$AQ$3*AE223,$AQ223=$AP$4,$AQ$4*AE223)</f>
        <v>0</v>
      </c>
      <c r="AS223" s="155" cm="1">
        <f t="array" ref="AS223">_xlfn.IFS($AQ223=$AP$1,$AQ$1*AF223,$AQ223=$AP$2,$AQ$2*AF223,$AQ223=$AP$3,$AQ$3*AF223,$AQ223=$AP$4,$AQ$4*AF223)</f>
        <v>0</v>
      </c>
      <c r="AT223" s="155" cm="1">
        <f t="array" ref="AT223">_xlfn.IFS($AQ223=$AP$1,$AQ$1*AG223,$AQ223=$AP$2,$AQ$2*AG223,$AQ223=$AP$3,$AQ$3*AG223,$AQ223=$AP$4,$AQ$4*AG223)</f>
        <v>0</v>
      </c>
      <c r="AU223" s="155" cm="1">
        <f t="array" ref="AU223">_xlfn.IFS($AQ223=$AP$1,$AQ$1*AH223,$AQ223=$AP$2,$AQ$2*AH223,$AQ223=$AP$3,$AQ$3*AH223,$AQ223=$AP$4,$AQ$4*AH223)</f>
        <v>8.1487921148722933</v>
      </c>
      <c r="AV223" s="155" cm="1">
        <f t="array" ref="AV223">_xlfn.IFS($AQ223=$AP$1,$AQ$1*AI223,$AQ223=$AP$2,$AQ$2*AI223,$AQ223=$AP$3,$AQ$3*AI223,$AQ223=$AP$4,$AQ$4*AI223)</f>
        <v>118.49313012402189</v>
      </c>
      <c r="AW223" s="155" cm="1">
        <f t="array" ref="AW223">_xlfn.IFS($AQ223=$AP$1,$AQ$1*AJ223,$AQ223=$AP$2,$AQ$2*AJ223,$AQ223=$AP$3,$AQ$3*AJ223,$AQ223=$AP$4,$AQ$4*AJ223)</f>
        <v>153.70818491318599</v>
      </c>
      <c r="AX223" s="155" cm="1">
        <f t="array" ref="AX223">_xlfn.IFS($AQ223=$AP$1,$AQ$1*AK223,$AQ223=$AP$2,$AQ$2*AK223,$AQ223=$AP$3,$AQ$3*AK223,$AQ223=$AP$4,$AQ$4*AK223)</f>
        <v>256.9953460626885</v>
      </c>
      <c r="AY223" s="155" cm="1">
        <f t="array" ref="AY223">_xlfn.IFS($AQ223=$AP$1,$AQ$1*AL223,$AQ223=$AP$2,$AQ$2*AL223,$AQ223=$AP$3,$AQ$3*AL223,$AQ223=$AP$4,$AQ$4*AL223)</f>
        <v>951.23015780024889</v>
      </c>
      <c r="AZ223" s="155" cm="1">
        <f t="array" ref="AZ223">_xlfn.IFS($AQ223=$AP$1,$AQ$1*AM223,$AQ223=$AP$2,$AQ$2*AM223,$AQ223=$AP$3,$AQ$3*AM223,$AQ223=$AP$4,$AQ$4*AM223)</f>
        <v>1674.5094966831725</v>
      </c>
      <c r="BA223" s="155" cm="1">
        <f t="array" ref="BA223">_xlfn.IFS($AQ223=$AP$1,$AQ$1*AN223,$AQ223=$AP$2,$AQ$2*AN223,$AQ223=$AP$3,$AQ$3*AN223,$AQ223=$AP$4,$AQ$4*AN223)</f>
        <v>2175.5956380211246</v>
      </c>
      <c r="BB223" s="155">
        <f>Table2[[#This Row],[FINAL Project System Capacity (MW)]]</f>
        <v>2.38</v>
      </c>
      <c r="BC223" s="155" t="str">
        <f>Table2[[#This Row],[FN Parent  '#]]</f>
        <v>Individual Project</v>
      </c>
      <c r="BD223" s="155">
        <f t="shared" si="89"/>
        <v>2.38</v>
      </c>
      <c r="BE223" s="155">
        <f t="shared" si="90"/>
        <v>2.38</v>
      </c>
      <c r="BF223" s="155">
        <f t="shared" si="91"/>
        <v>0</v>
      </c>
      <c r="BG223" s="155">
        <f t="shared" si="92"/>
        <v>0</v>
      </c>
      <c r="BH223" s="155">
        <f t="shared" si="93"/>
        <v>0</v>
      </c>
      <c r="BI223" s="155">
        <f t="shared" si="94"/>
        <v>3.4238622331396193</v>
      </c>
      <c r="BJ223" s="155">
        <f t="shared" si="95"/>
        <v>49.787029463874745</v>
      </c>
      <c r="BK223" s="155">
        <f t="shared" si="96"/>
        <v>64.583270971926893</v>
      </c>
      <c r="BL223" s="155">
        <f t="shared" si="97"/>
        <v>107.98123784146576</v>
      </c>
      <c r="BM223" s="155">
        <f t="shared" si="98"/>
        <v>399.67653689086092</v>
      </c>
      <c r="BN223" s="155">
        <f t="shared" si="99"/>
        <v>703.57541877444226</v>
      </c>
      <c r="BO223" s="155">
        <f t="shared" si="100"/>
        <v>914.11581429459022</v>
      </c>
      <c r="BP223" s="155">
        <f t="shared" si="101"/>
        <v>175.72630541250089</v>
      </c>
    </row>
    <row r="224" spans="1:68">
      <c r="A224" s="155" t="s">
        <v>345</v>
      </c>
      <c r="B224" s="155" t="s">
        <v>1157</v>
      </c>
      <c r="C224" s="155" t="s">
        <v>208</v>
      </c>
      <c r="D224" s="155">
        <v>23.4</v>
      </c>
      <c r="E224" s="189">
        <v>77.580280000000002</v>
      </c>
      <c r="F224" s="67">
        <v>25</v>
      </c>
      <c r="G224" s="67">
        <v>286.30124999999998</v>
      </c>
      <c r="H224" s="67">
        <v>784.84825000000001</v>
      </c>
      <c r="I224" s="67">
        <v>2002.9312</v>
      </c>
      <c r="J224" s="67">
        <v>2211.9312</v>
      </c>
      <c r="K224" s="67">
        <v>6392.4160000000002</v>
      </c>
      <c r="L224" s="67">
        <v>6314.46983</v>
      </c>
      <c r="M224" s="67">
        <v>2947.6194999999998</v>
      </c>
      <c r="N224" s="67">
        <v>0</v>
      </c>
      <c r="O224" s="67">
        <v>0</v>
      </c>
      <c r="Q224" s="201" t="s">
        <v>345</v>
      </c>
      <c r="R224" s="201" t="s">
        <v>1157</v>
      </c>
      <c r="S224" s="201" t="s">
        <v>208</v>
      </c>
      <c r="T224" s="76">
        <f>SUM($E224:F224)</f>
        <v>102.58028</v>
      </c>
      <c r="U224" s="76">
        <f>SUM($E224:G224)</f>
        <v>388.88153</v>
      </c>
      <c r="V224" s="76">
        <f>SUM($E224:H224)</f>
        <v>1173.7297800000001</v>
      </c>
      <c r="W224" s="76">
        <f>SUM($E224:I224)</f>
        <v>3176.6609800000001</v>
      </c>
      <c r="X224" s="76">
        <f>SUM($E224:J224)</f>
        <v>5388.5921799999996</v>
      </c>
      <c r="Y224" s="76">
        <f>SUM($E224:K224)</f>
        <v>11781.008180000001</v>
      </c>
      <c r="Z224" s="76">
        <f>SUM($E224:L224)</f>
        <v>18095.478009999999</v>
      </c>
      <c r="AA224" s="76">
        <f>SUM($E224:M224)</f>
        <v>21043.09751</v>
      </c>
      <c r="AB224" s="76">
        <f>SUM($E224:N224)</f>
        <v>21043.09751</v>
      </c>
      <c r="AC224" s="76">
        <f>SUM($E224:O224)</f>
        <v>21043.09751</v>
      </c>
      <c r="AE224" s="76">
        <f t="shared" si="79"/>
        <v>102.58028</v>
      </c>
      <c r="AF224" s="76">
        <f t="shared" si="80"/>
        <v>397.04804212999994</v>
      </c>
      <c r="AG224" s="76">
        <f t="shared" si="81"/>
        <v>1223.5440455929797</v>
      </c>
      <c r="AH224" s="76">
        <f t="shared" si="82"/>
        <v>3381.0227632738747</v>
      </c>
      <c r="AI224" s="76">
        <f t="shared" si="83"/>
        <v>5855.6928010157881</v>
      </c>
      <c r="AJ224" s="76">
        <f t="shared" si="84"/>
        <v>13071.070828167429</v>
      </c>
      <c r="AK224" s="76">
        <f t="shared" si="85"/>
        <v>20498.614704107567</v>
      </c>
      <c r="AL224" s="76">
        <f t="shared" si="86"/>
        <v>24338.278828770373</v>
      </c>
      <c r="AM224" s="76">
        <f t="shared" si="87"/>
        <v>24849.382684174547</v>
      </c>
      <c r="AN224" s="76">
        <f t="shared" si="88"/>
        <v>25371.219720542209</v>
      </c>
      <c r="AP224" s="201" t="s">
        <v>345</v>
      </c>
      <c r="AQ224" s="201" t="s">
        <v>208</v>
      </c>
      <c r="AR224" s="155" cm="1">
        <f t="array" ref="AR224">_xlfn.IFS($AQ224=$AP$1,$AQ$1*AE224,$AQ224=$AP$2,$AQ$2*AE224,$AQ224=$AP$3,$AQ$3*AE224,$AQ224=$AP$4,$AQ$4*AE224)</f>
        <v>14.493840327802376</v>
      </c>
      <c r="AS224" s="155" cm="1">
        <f t="array" ref="AS224">_xlfn.IFS($AQ224=$AP$1,$AQ$1*AF224,$AQ224=$AP$2,$AQ$2*AF224,$AQ224=$AP$3,$AQ$3*AF224,$AQ224=$AP$4,$AQ$4*AF224)</f>
        <v>56.099972870992062</v>
      </c>
      <c r="AT224" s="155" cm="1">
        <f t="array" ref="AT224">_xlfn.IFS($AQ224=$AP$1,$AQ$1*AG224,$AQ224=$AP$2,$AQ$2*AG224,$AQ224=$AP$3,$AQ$3*AG224,$AQ224=$AP$4,$AQ$4*AG224)</f>
        <v>172.87778928716122</v>
      </c>
      <c r="AU224" s="155" cm="1">
        <f t="array" ref="AU224">_xlfn.IFS($AQ224=$AP$1,$AQ$1*AH224,$AQ224=$AP$2,$AQ$2*AH224,$AQ224=$AP$3,$AQ$3*AH224,$AQ224=$AP$4,$AQ$4*AH224)</f>
        <v>477.71368995636112</v>
      </c>
      <c r="AV224" s="155" cm="1">
        <f t="array" ref="AV224">_xlfn.IFS($AQ224=$AP$1,$AQ$1*AI224,$AQ224=$AP$2,$AQ$2*AI224,$AQ224=$AP$3,$AQ$3*AI224,$AQ224=$AP$4,$AQ$4*AI224)</f>
        <v>827.36639504770972</v>
      </c>
      <c r="AW224" s="155" cm="1">
        <f t="array" ref="AW224">_xlfn.IFS($AQ224=$AP$1,$AQ$1*AJ224,$AQ224=$AP$2,$AQ$2*AJ224,$AQ224=$AP$3,$AQ$3*AJ224,$AQ224=$AP$4,$AQ$4*AJ224)</f>
        <v>1846.8463285229313</v>
      </c>
      <c r="AX224" s="155" cm="1">
        <f t="array" ref="AX224">_xlfn.IFS($AQ224=$AP$1,$AQ$1*AK224,$AQ224=$AP$2,$AQ$2*AK224,$AQ224=$AP$3,$AQ$3*AK224,$AQ224=$AP$4,$AQ$4*AK224)</f>
        <v>2896.3037385204743</v>
      </c>
      <c r="AY224" s="155" cm="1">
        <f t="array" ref="AY224">_xlfn.IFS($AQ224=$AP$1,$AQ$1*AL224,$AQ224=$AP$2,$AQ$2*AL224,$AQ224=$AP$3,$AQ$3*AL224,$AQ224=$AP$4,$AQ$4*AL224)</f>
        <v>3438.8200850858548</v>
      </c>
      <c r="AZ224" s="155" cm="1">
        <f t="array" ref="AZ224">_xlfn.IFS($AQ224=$AP$1,$AQ$1*AM224,$AQ224=$AP$2,$AQ$2*AM224,$AQ224=$AP$3,$AQ$3*AM224,$AQ224=$AP$4,$AQ$4*AM224)</f>
        <v>3511.0353068726572</v>
      </c>
      <c r="BA224" s="155" cm="1">
        <f t="array" ref="BA224">_xlfn.IFS($AQ224=$AP$1,$AQ$1*AN224,$AQ224=$AP$2,$AQ$2*AN224,$AQ224=$AP$3,$AQ$3*AN224,$AQ224=$AP$4,$AQ$4*AN224)</f>
        <v>3584.7670483169823</v>
      </c>
      <c r="BB224" s="155">
        <f>Table2[[#This Row],[FINAL Project System Capacity (MW)]]</f>
        <v>23.4</v>
      </c>
      <c r="BC224" s="155" t="str">
        <f>Table2[[#This Row],[FN Parent  '#]]</f>
        <v>FN011069</v>
      </c>
      <c r="BD224" s="155">
        <f t="shared" si="89"/>
        <v>23.4</v>
      </c>
      <c r="BE224" s="155">
        <f t="shared" si="90"/>
        <v>23.4</v>
      </c>
      <c r="BF224" s="155">
        <f t="shared" si="91"/>
        <v>0.61939488580352042</v>
      </c>
      <c r="BG224" s="155">
        <f t="shared" si="92"/>
        <v>2.3974347380765839</v>
      </c>
      <c r="BH224" s="155">
        <f t="shared" si="93"/>
        <v>7.3879397131265483</v>
      </c>
      <c r="BI224" s="155">
        <f t="shared" si="94"/>
        <v>20.41511495540005</v>
      </c>
      <c r="BJ224" s="155">
        <f t="shared" si="95"/>
        <v>35.357538249902127</v>
      </c>
      <c r="BK224" s="155">
        <f t="shared" si="96"/>
        <v>78.925056774484247</v>
      </c>
      <c r="BL224" s="155">
        <f t="shared" si="97"/>
        <v>123.77366403933652</v>
      </c>
      <c r="BM224" s="155">
        <f t="shared" si="98"/>
        <v>146.9581232942673</v>
      </c>
      <c r="BN224" s="155">
        <f t="shared" si="99"/>
        <v>150.04424388344691</v>
      </c>
      <c r="BO224" s="155">
        <f t="shared" si="100"/>
        <v>153.19517300499925</v>
      </c>
      <c r="BP224" s="155">
        <f t="shared" si="101"/>
        <v>60.595666266740444</v>
      </c>
    </row>
    <row r="225" spans="1:68">
      <c r="A225" s="155" t="s">
        <v>345</v>
      </c>
      <c r="B225" s="155" t="s">
        <v>1157</v>
      </c>
      <c r="C225" s="155" t="s">
        <v>207</v>
      </c>
      <c r="D225" s="155">
        <v>23.4</v>
      </c>
      <c r="E225" s="189">
        <v>398.76840000000004</v>
      </c>
      <c r="F225" s="67">
        <v>150</v>
      </c>
      <c r="G225" s="67">
        <v>250.10086000000001</v>
      </c>
      <c r="H225" s="67">
        <v>1167.0644400000001</v>
      </c>
      <c r="I225" s="67">
        <v>2180.89372</v>
      </c>
      <c r="J225" s="67">
        <v>4321.7195000000002</v>
      </c>
      <c r="K225" s="67">
        <v>2746.3737700000001</v>
      </c>
      <c r="L225" s="67">
        <v>73.943520000000007</v>
      </c>
      <c r="M225" s="67">
        <v>0</v>
      </c>
      <c r="N225" s="67">
        <v>0</v>
      </c>
      <c r="O225" s="67">
        <v>0</v>
      </c>
      <c r="Q225" s="202" t="s">
        <v>345</v>
      </c>
      <c r="R225" s="202" t="s">
        <v>1157</v>
      </c>
      <c r="S225" s="202" t="s">
        <v>207</v>
      </c>
      <c r="T225" s="76">
        <f>SUM($E225:F225)</f>
        <v>548.76840000000004</v>
      </c>
      <c r="U225" s="76">
        <f>SUM($E225:G225)</f>
        <v>798.86926000000005</v>
      </c>
      <c r="V225" s="76">
        <f>SUM($E225:H225)</f>
        <v>1965.9337</v>
      </c>
      <c r="W225" s="76">
        <f>SUM($E225:I225)</f>
        <v>4146.8274199999996</v>
      </c>
      <c r="X225" s="76">
        <f>SUM($E225:J225)</f>
        <v>8468.5469200000007</v>
      </c>
      <c r="Y225" s="76">
        <f>SUM($E225:K225)</f>
        <v>11214.920690000001</v>
      </c>
      <c r="Z225" s="76">
        <f>SUM($E225:L225)</f>
        <v>11288.864210000002</v>
      </c>
      <c r="AA225" s="76">
        <f>SUM($E225:M225)</f>
        <v>11288.864210000002</v>
      </c>
      <c r="AB225" s="76">
        <f>SUM($E225:N225)</f>
        <v>11288.864210000002</v>
      </c>
      <c r="AC225" s="76">
        <f>SUM($E225:O225)</f>
        <v>11288.864210000002</v>
      </c>
      <c r="AE225" s="76">
        <f t="shared" si="79"/>
        <v>548.76840000000004</v>
      </c>
      <c r="AF225" s="76">
        <f t="shared" si="80"/>
        <v>815.64551445999996</v>
      </c>
      <c r="AG225" s="76">
        <f t="shared" si="81"/>
        <v>2049.3698921616997</v>
      </c>
      <c r="AH225" s="76">
        <f t="shared" si="82"/>
        <v>4413.6022039053951</v>
      </c>
      <c r="AI225" s="76">
        <f t="shared" si="83"/>
        <v>9202.6279922538943</v>
      </c>
      <c r="AJ225" s="76">
        <f t="shared" si="84"/>
        <v>12442.994727745816</v>
      </c>
      <c r="AK225" s="76">
        <f t="shared" si="85"/>
        <v>12788.061070279497</v>
      </c>
      <c r="AL225" s="76">
        <f t="shared" si="86"/>
        <v>13056.610352755366</v>
      </c>
      <c r="AM225" s="76">
        <f t="shared" si="87"/>
        <v>13330.799170163225</v>
      </c>
      <c r="AN225" s="76">
        <f t="shared" si="88"/>
        <v>13610.74595273665</v>
      </c>
      <c r="AP225" s="202" t="s">
        <v>345</v>
      </c>
      <c r="AQ225" s="202" t="s">
        <v>207</v>
      </c>
      <c r="AR225" s="155" cm="1">
        <f t="array" ref="AR225">_xlfn.IFS($AQ225=$AP$1,$AQ$1*AE225,$AQ225=$AP$2,$AQ$2*AE225,$AQ225=$AP$3,$AQ$3*AE225,$AQ225=$AP$4,$AQ$4*AE225)</f>
        <v>44.226391114384363</v>
      </c>
      <c r="AS225" s="155" cm="1">
        <f t="array" ref="AS225">_xlfn.IFS($AQ225=$AP$1,$AQ$1*AF225,$AQ225=$AP$2,$AQ$2*AF225,$AQ225=$AP$3,$AQ$3*AF225,$AQ225=$AP$4,$AQ$4*AF225)</f>
        <v>65.734574974071393</v>
      </c>
      <c r="AT225" s="155" cm="1">
        <f t="array" ref="AT225">_xlfn.IFS($AQ225=$AP$1,$AQ$1*AG225,$AQ225=$AP$2,$AQ$2*AG225,$AQ225=$AP$3,$AQ$3*AG225,$AQ225=$AP$4,$AQ$4*AG225)</f>
        <v>165.16299843210183</v>
      </c>
      <c r="AU225" s="155" cm="1">
        <f t="array" ref="AU225">_xlfn.IFS($AQ225=$AP$1,$AQ$1*AH225,$AQ225=$AP$2,$AQ$2*AH225,$AQ225=$AP$3,$AQ$3*AH225,$AQ225=$AP$4,$AQ$4*AH225)</f>
        <v>355.70141665086544</v>
      </c>
      <c r="AV225" s="155" cm="1">
        <f t="array" ref="AV225">_xlfn.IFS($AQ225=$AP$1,$AQ$1*AI225,$AQ225=$AP$2,$AQ$2*AI225,$AQ225=$AP$3,$AQ$3*AI225,$AQ225=$AP$4,$AQ$4*AI225)</f>
        <v>741.6590038085327</v>
      </c>
      <c r="AW225" s="155" cm="1">
        <f t="array" ref="AW225">_xlfn.IFS($AQ225=$AP$1,$AQ$1*AJ225,$AQ225=$AP$2,$AQ$2*AJ225,$AQ225=$AP$3,$AQ$3*AJ225,$AQ225=$AP$4,$AQ$4*AJ225)</f>
        <v>1002.8069244940289</v>
      </c>
      <c r="AX225" s="155" cm="1">
        <f t="array" ref="AX225">_xlfn.IFS($AQ225=$AP$1,$AQ$1*AK225,$AQ225=$AP$2,$AQ$2*AK225,$AQ225=$AP$3,$AQ$3*AK225,$AQ225=$AP$4,$AQ$4*AK225)</f>
        <v>1030.6165414933034</v>
      </c>
      <c r="AY225" s="155" cm="1">
        <f t="array" ref="AY225">_xlfn.IFS($AQ225=$AP$1,$AQ$1*AL225,$AQ225=$AP$2,$AQ$2*AL225,$AQ225=$AP$3,$AQ$3*AL225,$AQ225=$AP$4,$AQ$4*AL225)</f>
        <v>1052.2594888646627</v>
      </c>
      <c r="AZ225" s="155" cm="1">
        <f t="array" ref="AZ225">_xlfn.IFS($AQ225=$AP$1,$AQ$1*AM225,$AQ225=$AP$2,$AQ$2*AM225,$AQ225=$AP$3,$AQ$3*AM225,$AQ225=$AP$4,$AQ$4*AM225)</f>
        <v>1074.3569381308205</v>
      </c>
      <c r="BA225" s="155" cm="1">
        <f t="array" ref="BA225">_xlfn.IFS($AQ225=$AP$1,$AQ$1*AN225,$AQ225=$AP$2,$AQ$2*AN225,$AQ225=$AP$3,$AQ$3*AN225,$AQ225=$AP$4,$AQ$4*AN225)</f>
        <v>1096.9184338315674</v>
      </c>
      <c r="BB225" s="155">
        <f>Table2[[#This Row],[FINAL Project System Capacity (MW)]]</f>
        <v>23.4</v>
      </c>
      <c r="BC225" s="155" t="str">
        <f>Table2[[#This Row],[FN Parent  '#]]</f>
        <v>FN011069</v>
      </c>
      <c r="BD225" s="155">
        <f t="shared" si="89"/>
        <v>23.4</v>
      </c>
      <c r="BF225" s="155">
        <f t="shared" si="91"/>
        <v>1.8900167142899302</v>
      </c>
      <c r="BG225" s="155">
        <f t="shared" si="92"/>
        <v>2.8091698706868118</v>
      </c>
      <c r="BH225" s="155">
        <f t="shared" si="93"/>
        <v>7.058247796243668</v>
      </c>
      <c r="BI225" s="155">
        <f t="shared" si="94"/>
        <v>15.200915241489977</v>
      </c>
      <c r="BJ225" s="155">
        <f t="shared" si="95"/>
        <v>31.694829222586868</v>
      </c>
      <c r="BK225" s="155">
        <f t="shared" si="96"/>
        <v>42.854996773249098</v>
      </c>
      <c r="BL225" s="155">
        <f t="shared" si="97"/>
        <v>44.043441944158268</v>
      </c>
      <c r="BM225" s="155">
        <f t="shared" si="98"/>
        <v>44.968354224985589</v>
      </c>
      <c r="BN225" s="155">
        <f t="shared" si="99"/>
        <v>45.912689663710282</v>
      </c>
      <c r="BO225" s="155">
        <f t="shared" si="100"/>
        <v>46.876856146648187</v>
      </c>
      <c r="BP225" s="155">
        <f t="shared" si="101"/>
        <v>24.996469724925152</v>
      </c>
    </row>
    <row r="226" spans="1:68">
      <c r="A226" s="155" t="s">
        <v>346</v>
      </c>
      <c r="B226" s="155" t="s">
        <v>1345</v>
      </c>
      <c r="C226" s="155" t="s">
        <v>208</v>
      </c>
      <c r="D226" s="155">
        <v>5</v>
      </c>
      <c r="E226" s="189">
        <v>0</v>
      </c>
      <c r="F226" s="67">
        <v>0</v>
      </c>
      <c r="G226" s="67">
        <v>0</v>
      </c>
      <c r="H226" s="67">
        <v>0</v>
      </c>
      <c r="I226" s="67">
        <v>0</v>
      </c>
      <c r="J226" s="67">
        <v>0</v>
      </c>
      <c r="K226" s="67">
        <v>0</v>
      </c>
      <c r="L226" s="67">
        <v>0</v>
      </c>
      <c r="M226" s="67">
        <v>742.5</v>
      </c>
      <c r="N226" s="67">
        <v>1584</v>
      </c>
      <c r="O226" s="67">
        <v>742.5</v>
      </c>
      <c r="Q226" s="201" t="s">
        <v>346</v>
      </c>
      <c r="R226" s="201" t="s">
        <v>1345</v>
      </c>
      <c r="S226" s="201" t="s">
        <v>208</v>
      </c>
      <c r="T226" s="76">
        <f>SUM($E226:F226)</f>
        <v>0</v>
      </c>
      <c r="U226" s="76">
        <f>SUM($E226:G226)</f>
        <v>0</v>
      </c>
      <c r="V226" s="76">
        <f>SUM($E226:H226)</f>
        <v>0</v>
      </c>
      <c r="W226" s="76">
        <f>SUM($E226:I226)</f>
        <v>0</v>
      </c>
      <c r="X226" s="76">
        <f>SUM($E226:J226)</f>
        <v>0</v>
      </c>
      <c r="Y226" s="76">
        <f>SUM($E226:K226)</f>
        <v>0</v>
      </c>
      <c r="Z226" s="76">
        <f>SUM($E226:L226)</f>
        <v>0</v>
      </c>
      <c r="AA226" s="76">
        <f>SUM($E226:M226)</f>
        <v>742.5</v>
      </c>
      <c r="AB226" s="76">
        <f>SUM($E226:N226)</f>
        <v>2326.5</v>
      </c>
      <c r="AC226" s="76">
        <f>SUM($E226:O226)</f>
        <v>3069</v>
      </c>
      <c r="AE226" s="76">
        <f t="shared" si="79"/>
        <v>0</v>
      </c>
      <c r="AF226" s="76">
        <f t="shared" si="80"/>
        <v>0</v>
      </c>
      <c r="AG226" s="76">
        <f t="shared" si="81"/>
        <v>0</v>
      </c>
      <c r="AH226" s="76">
        <f t="shared" si="82"/>
        <v>0</v>
      </c>
      <c r="AI226" s="76">
        <f t="shared" si="83"/>
        <v>0</v>
      </c>
      <c r="AJ226" s="76">
        <f t="shared" si="84"/>
        <v>0</v>
      </c>
      <c r="AK226" s="76">
        <f t="shared" si="85"/>
        <v>0</v>
      </c>
      <c r="AL226" s="76">
        <f t="shared" si="86"/>
        <v>858.76958094093834</v>
      </c>
      <c r="AM226" s="76">
        <f t="shared" si="87"/>
        <v>2747.3183920408533</v>
      </c>
      <c r="AN226" s="76">
        <f t="shared" si="88"/>
        <v>3700.2286989993631</v>
      </c>
      <c r="AP226" s="201" t="s">
        <v>346</v>
      </c>
      <c r="AQ226" s="201" t="s">
        <v>208</v>
      </c>
      <c r="AR226" s="155" cm="1">
        <f t="array" ref="AR226">_xlfn.IFS($AQ226=$AP$1,$AQ$1*AE226,$AQ226=$AP$2,$AQ$2*AE226,$AQ226=$AP$3,$AQ$3*AE226,$AQ226=$AP$4,$AQ$4*AE226)</f>
        <v>0</v>
      </c>
      <c r="AS226" s="155" cm="1">
        <f t="array" ref="AS226">_xlfn.IFS($AQ226=$AP$1,$AQ$1*AF226,$AQ226=$AP$2,$AQ$2*AF226,$AQ226=$AP$3,$AQ$3*AF226,$AQ226=$AP$4,$AQ$4*AF226)</f>
        <v>0</v>
      </c>
      <c r="AT226" s="155" cm="1">
        <f t="array" ref="AT226">_xlfn.IFS($AQ226=$AP$1,$AQ$1*AG226,$AQ226=$AP$2,$AQ$2*AG226,$AQ226=$AP$3,$AQ$3*AG226,$AQ226=$AP$4,$AQ$4*AG226)</f>
        <v>0</v>
      </c>
      <c r="AU226" s="155" cm="1">
        <f t="array" ref="AU226">_xlfn.IFS($AQ226=$AP$1,$AQ$1*AH226,$AQ226=$AP$2,$AQ$2*AH226,$AQ226=$AP$3,$AQ$3*AH226,$AQ226=$AP$4,$AQ$4*AH226)</f>
        <v>0</v>
      </c>
      <c r="AV226" s="155" cm="1">
        <f t="array" ref="AV226">_xlfn.IFS($AQ226=$AP$1,$AQ$1*AI226,$AQ226=$AP$2,$AQ$2*AI226,$AQ226=$AP$3,$AQ$3*AI226,$AQ226=$AP$4,$AQ$4*AI226)</f>
        <v>0</v>
      </c>
      <c r="AW226" s="155" cm="1">
        <f t="array" ref="AW226">_xlfn.IFS($AQ226=$AP$1,$AQ$1*AJ226,$AQ226=$AP$2,$AQ$2*AJ226,$AQ226=$AP$3,$AQ$3*AJ226,$AQ226=$AP$4,$AQ$4*AJ226)</f>
        <v>0</v>
      </c>
      <c r="AX226" s="155" cm="1">
        <f t="array" ref="AX226">_xlfn.IFS($AQ226=$AP$1,$AQ$1*AK226,$AQ226=$AP$2,$AQ$2*AK226,$AQ226=$AP$3,$AQ$3*AK226,$AQ226=$AP$4,$AQ$4*AK226)</f>
        <v>0</v>
      </c>
      <c r="AY226" s="155" cm="1">
        <f t="array" ref="AY226">_xlfn.IFS($AQ226=$AP$1,$AQ$1*AL226,$AQ226=$AP$2,$AQ$2*AL226,$AQ226=$AP$3,$AQ$3*AL226,$AQ226=$AP$4,$AQ$4*AL226)</f>
        <v>121.33783593232265</v>
      </c>
      <c r="AZ226" s="155" cm="1">
        <f t="array" ref="AZ226">_xlfn.IFS($AQ226=$AP$1,$AQ$1*AM226,$AQ226=$AP$2,$AQ$2*AM226,$AQ226=$AP$3,$AQ$3*AM226,$AQ226=$AP$4,$AQ$4*AM226)</f>
        <v>388.17591552562436</v>
      </c>
      <c r="BA226" s="155" cm="1">
        <f t="array" ref="BA226">_xlfn.IFS($AQ226=$AP$1,$AQ$1*AN226,$AQ226=$AP$2,$AQ$2*AN226,$AQ226=$AP$3,$AQ$3*AN226,$AQ226=$AP$4,$AQ$4*AN226)</f>
        <v>522.81514477878875</v>
      </c>
      <c r="BB226" s="155">
        <f>Table2[[#This Row],[FINAL Project System Capacity (MW)]]</f>
        <v>5</v>
      </c>
      <c r="BC226" s="155" t="str">
        <f>Table2[[#This Row],[FN Parent  '#]]</f>
        <v>Individual Project</v>
      </c>
      <c r="BD226" s="155">
        <f t="shared" si="89"/>
        <v>5</v>
      </c>
      <c r="BE226" s="155">
        <f t="shared" si="90"/>
        <v>5</v>
      </c>
      <c r="BF226" s="155">
        <f t="shared" si="91"/>
        <v>0</v>
      </c>
      <c r="BG226" s="155">
        <f t="shared" si="92"/>
        <v>0</v>
      </c>
      <c r="BH226" s="155">
        <f t="shared" si="93"/>
        <v>0</v>
      </c>
      <c r="BI226" s="155">
        <f t="shared" si="94"/>
        <v>0</v>
      </c>
      <c r="BJ226" s="155">
        <f t="shared" si="95"/>
        <v>0</v>
      </c>
      <c r="BK226" s="155">
        <f t="shared" si="96"/>
        <v>0</v>
      </c>
      <c r="BL226" s="155">
        <f t="shared" si="97"/>
        <v>0</v>
      </c>
      <c r="BM226" s="155">
        <f t="shared" si="98"/>
        <v>24.267567186464529</v>
      </c>
      <c r="BN226" s="155">
        <f t="shared" si="99"/>
        <v>77.635183105124867</v>
      </c>
      <c r="BO226" s="155">
        <f t="shared" si="100"/>
        <v>104.56302895575774</v>
      </c>
      <c r="BP226" s="155">
        <f t="shared" si="101"/>
        <v>15.675043686928136</v>
      </c>
    </row>
    <row r="227" spans="1:68">
      <c r="A227" s="155" t="s">
        <v>222</v>
      </c>
      <c r="B227" s="155" t="s">
        <v>1345</v>
      </c>
      <c r="C227" s="155" t="s">
        <v>208</v>
      </c>
      <c r="D227" s="155">
        <v>0.33</v>
      </c>
      <c r="E227" s="189">
        <v>44.75412</v>
      </c>
      <c r="F227" s="67">
        <v>305.58472</v>
      </c>
      <c r="G227" s="67">
        <v>0</v>
      </c>
      <c r="H227" s="67">
        <v>0</v>
      </c>
      <c r="I227" s="67">
        <v>0</v>
      </c>
      <c r="J227" s="67">
        <v>0</v>
      </c>
      <c r="K227" s="67">
        <v>0</v>
      </c>
      <c r="L227" s="67">
        <v>0</v>
      </c>
      <c r="M227" s="67">
        <v>0</v>
      </c>
      <c r="N227" s="67">
        <v>0</v>
      </c>
      <c r="O227" s="67">
        <v>0</v>
      </c>
      <c r="Q227" s="202" t="s">
        <v>222</v>
      </c>
      <c r="R227" s="202" t="s">
        <v>1345</v>
      </c>
      <c r="S227" s="202" t="s">
        <v>208</v>
      </c>
      <c r="T227" s="76">
        <f>SUM($E227:F227)</f>
        <v>350.33884</v>
      </c>
      <c r="U227" s="76">
        <f>SUM($E227:G227)</f>
        <v>350.33884</v>
      </c>
      <c r="V227" s="76">
        <f>SUM($E227:H227)</f>
        <v>350.33884</v>
      </c>
      <c r="W227" s="76">
        <f>SUM($E227:I227)</f>
        <v>350.33884</v>
      </c>
      <c r="X227" s="76">
        <f>SUM($E227:J227)</f>
        <v>350.33884</v>
      </c>
      <c r="Y227" s="76">
        <f>SUM($E227:K227)</f>
        <v>350.33884</v>
      </c>
      <c r="Z227" s="76">
        <f>SUM($E227:L227)</f>
        <v>350.33884</v>
      </c>
      <c r="AA227" s="76">
        <f>SUM($E227:M227)</f>
        <v>350.33884</v>
      </c>
      <c r="AB227" s="76">
        <f>SUM($E227:N227)</f>
        <v>350.33884</v>
      </c>
      <c r="AC227" s="76">
        <f>SUM($E227:O227)</f>
        <v>350.33884</v>
      </c>
      <c r="AE227" s="76">
        <f t="shared" si="79"/>
        <v>350.33884</v>
      </c>
      <c r="AF227" s="76">
        <f t="shared" si="80"/>
        <v>357.69595563999997</v>
      </c>
      <c r="AG227" s="76">
        <f t="shared" si="81"/>
        <v>365.2075707084399</v>
      </c>
      <c r="AH227" s="76">
        <f t="shared" si="82"/>
        <v>372.87692969331715</v>
      </c>
      <c r="AI227" s="76">
        <f t="shared" si="83"/>
        <v>380.70734521687672</v>
      </c>
      <c r="AJ227" s="76">
        <f t="shared" si="84"/>
        <v>388.70219946643107</v>
      </c>
      <c r="AK227" s="76">
        <f t="shared" si="85"/>
        <v>396.86494565522611</v>
      </c>
      <c r="AL227" s="76">
        <f t="shared" si="86"/>
        <v>405.19910951398583</v>
      </c>
      <c r="AM227" s="76">
        <f t="shared" si="87"/>
        <v>413.70829081377946</v>
      </c>
      <c r="AN227" s="76">
        <f t="shared" si="88"/>
        <v>422.39616492086873</v>
      </c>
      <c r="AP227" s="202" t="s">
        <v>222</v>
      </c>
      <c r="AQ227" s="202" t="s">
        <v>208</v>
      </c>
      <c r="AR227" s="155" cm="1">
        <f t="array" ref="AR227">_xlfn.IFS($AQ227=$AP$1,$AQ$1*AE227,$AQ227=$AP$2,$AQ$2*AE227,$AQ227=$AP$3,$AQ$3*AE227,$AQ227=$AP$4,$AQ$4*AE227)</f>
        <v>49.50030559077733</v>
      </c>
      <c r="AS227" s="155" cm="1">
        <f t="array" ref="AS227">_xlfn.IFS($AQ227=$AP$1,$AQ$1*AF227,$AQ227=$AP$2,$AQ$2*AF227,$AQ227=$AP$3,$AQ$3*AF227,$AQ227=$AP$4,$AQ$4*AF227)</f>
        <v>50.539812008183652</v>
      </c>
      <c r="AT227" s="155" cm="1">
        <f t="array" ref="AT227">_xlfn.IFS($AQ227=$AP$1,$AQ$1*AG227,$AQ227=$AP$2,$AQ$2*AG227,$AQ227=$AP$3,$AQ$3*AG227,$AQ227=$AP$4,$AQ$4*AG227)</f>
        <v>51.601148060355499</v>
      </c>
      <c r="AU227" s="155" cm="1">
        <f t="array" ref="AU227">_xlfn.IFS($AQ227=$AP$1,$AQ$1*AH227,$AQ227=$AP$2,$AQ$2*AH227,$AQ227=$AP$3,$AQ$3*AH227,$AQ227=$AP$4,$AQ$4*AH227)</f>
        <v>52.684772169622967</v>
      </c>
      <c r="AV227" s="155" cm="1">
        <f t="array" ref="AV227">_xlfn.IFS($AQ227=$AP$1,$AQ$1*AI227,$AQ227=$AP$2,$AQ$2*AI227,$AQ227=$AP$3,$AQ$3*AI227,$AQ227=$AP$4,$AQ$4*AI227)</f>
        <v>53.791152385185036</v>
      </c>
      <c r="AW227" s="155" cm="1">
        <f t="array" ref="AW227">_xlfn.IFS($AQ227=$AP$1,$AQ$1*AJ227,$AQ227=$AP$2,$AQ$2*AJ227,$AQ227=$AP$3,$AQ$3*AJ227,$AQ227=$AP$4,$AQ$4*AJ227)</f>
        <v>54.92076658527391</v>
      </c>
      <c r="AX227" s="155" cm="1">
        <f t="array" ref="AX227">_xlfn.IFS($AQ227=$AP$1,$AQ$1*AK227,$AQ227=$AP$2,$AQ$2*AK227,$AQ227=$AP$3,$AQ$3*AK227,$AQ227=$AP$4,$AQ$4*AK227)</f>
        <v>56.074102683564661</v>
      </c>
      <c r="AY227" s="155" cm="1">
        <f t="array" ref="AY227">_xlfn.IFS($AQ227=$AP$1,$AQ$1*AL227,$AQ227=$AP$2,$AQ$2*AL227,$AQ227=$AP$3,$AQ$3*AL227,$AQ227=$AP$4,$AQ$4*AL227)</f>
        <v>57.251658839919514</v>
      </c>
      <c r="AZ227" s="155" cm="1">
        <f t="array" ref="AZ227">_xlfn.IFS($AQ227=$AP$1,$AQ$1*AM227,$AQ227=$AP$2,$AQ$2*AM227,$AQ227=$AP$3,$AQ$3*AM227,$AQ227=$AP$4,$AQ$4*AM227)</f>
        <v>58.453943675557817</v>
      </c>
      <c r="BA227" s="155" cm="1">
        <f t="array" ref="BA227">_xlfn.IFS($AQ227=$AP$1,$AQ$1*AN227,$AQ227=$AP$2,$AQ$2*AN227,$AQ227=$AP$3,$AQ$3*AN227,$AQ227=$AP$4,$AQ$4*AN227)</f>
        <v>59.681476492744515</v>
      </c>
      <c r="BB227" s="155">
        <f>Table2[[#This Row],[FINAL Project System Capacity (MW)]]</f>
        <v>0.33</v>
      </c>
      <c r="BC227" s="155" t="str">
        <f>Table2[[#This Row],[FN Parent  '#]]</f>
        <v>Individual Project</v>
      </c>
      <c r="BD227" s="155">
        <f t="shared" si="89"/>
        <v>0.33</v>
      </c>
      <c r="BE227" s="155">
        <f t="shared" si="90"/>
        <v>0.33</v>
      </c>
      <c r="BF227" s="155">
        <f t="shared" si="91"/>
        <v>150.00092603265858</v>
      </c>
      <c r="BG227" s="155">
        <f t="shared" si="92"/>
        <v>153.15094547934439</v>
      </c>
      <c r="BH227" s="155">
        <f t="shared" si="93"/>
        <v>156.36711533441058</v>
      </c>
      <c r="BI227" s="155">
        <f t="shared" si="94"/>
        <v>159.65082475643322</v>
      </c>
      <c r="BJ227" s="155">
        <f t="shared" si="95"/>
        <v>163.00349207631828</v>
      </c>
      <c r="BK227" s="155">
        <f t="shared" si="96"/>
        <v>166.42656540992093</v>
      </c>
      <c r="BL227" s="155">
        <f t="shared" si="97"/>
        <v>169.92152328352927</v>
      </c>
      <c r="BM227" s="155">
        <f t="shared" si="98"/>
        <v>173.48987527248337</v>
      </c>
      <c r="BN227" s="155">
        <f t="shared" si="99"/>
        <v>177.13316265320549</v>
      </c>
      <c r="BO227" s="155">
        <f t="shared" si="100"/>
        <v>180.85295906892276</v>
      </c>
      <c r="BP227" s="155">
        <f t="shared" si="101"/>
        <v>163.13933323718084</v>
      </c>
    </row>
    <row r="228" spans="1:68">
      <c r="A228" s="155" t="s">
        <v>350</v>
      </c>
      <c r="B228" s="155" t="s">
        <v>1032</v>
      </c>
      <c r="C228" s="155" t="s">
        <v>208</v>
      </c>
      <c r="D228" s="155">
        <v>6</v>
      </c>
      <c r="E228" s="189">
        <v>31.554560000000002</v>
      </c>
      <c r="F228" s="67">
        <v>169.60212000000001</v>
      </c>
      <c r="G228" s="67">
        <v>169.47811999999999</v>
      </c>
      <c r="H228" s="67">
        <v>0</v>
      </c>
      <c r="I228" s="67">
        <v>0</v>
      </c>
      <c r="J228" s="67">
        <v>0</v>
      </c>
      <c r="K228" s="67">
        <v>0</v>
      </c>
      <c r="L228" s="67">
        <v>0</v>
      </c>
      <c r="M228" s="67">
        <v>0</v>
      </c>
      <c r="N228" s="67">
        <v>0</v>
      </c>
      <c r="O228" s="67">
        <v>0</v>
      </c>
      <c r="Q228" s="201" t="s">
        <v>350</v>
      </c>
      <c r="R228" s="201" t="s">
        <v>1032</v>
      </c>
      <c r="S228" s="201" t="s">
        <v>208</v>
      </c>
      <c r="T228" s="76">
        <f>SUM($E228:F228)</f>
        <v>201.15668000000002</v>
      </c>
      <c r="U228" s="76">
        <f>SUM($E228:G228)</f>
        <v>370.63480000000004</v>
      </c>
      <c r="V228" s="76">
        <f>SUM($E228:H228)</f>
        <v>370.63480000000004</v>
      </c>
      <c r="W228" s="76">
        <f>SUM($E228:I228)</f>
        <v>370.63480000000004</v>
      </c>
      <c r="X228" s="76">
        <f>SUM($E228:J228)</f>
        <v>370.63480000000004</v>
      </c>
      <c r="Y228" s="76">
        <f>SUM($E228:K228)</f>
        <v>370.63480000000004</v>
      </c>
      <c r="Z228" s="76">
        <f>SUM($E228:L228)</f>
        <v>370.63480000000004</v>
      </c>
      <c r="AA228" s="76">
        <f>SUM($E228:M228)</f>
        <v>370.63480000000004</v>
      </c>
      <c r="AB228" s="76">
        <f>SUM($E228:N228)</f>
        <v>370.63480000000004</v>
      </c>
      <c r="AC228" s="76">
        <f>SUM($E228:O228)</f>
        <v>370.63480000000004</v>
      </c>
      <c r="AE228" s="76">
        <f t="shared" si="79"/>
        <v>201.15668000000002</v>
      </c>
      <c r="AF228" s="76">
        <f t="shared" si="80"/>
        <v>378.41813080000003</v>
      </c>
      <c r="AG228" s="76">
        <f t="shared" si="81"/>
        <v>386.36491154679993</v>
      </c>
      <c r="AH228" s="76">
        <f t="shared" si="82"/>
        <v>394.47857468928271</v>
      </c>
      <c r="AI228" s="76">
        <f t="shared" si="83"/>
        <v>402.76262475775758</v>
      </c>
      <c r="AJ228" s="76">
        <f t="shared" si="84"/>
        <v>411.22063987767046</v>
      </c>
      <c r="AK228" s="76">
        <f t="shared" si="85"/>
        <v>419.85627331510148</v>
      </c>
      <c r="AL228" s="76">
        <f t="shared" si="86"/>
        <v>428.6732550547186</v>
      </c>
      <c r="AM228" s="76">
        <f t="shared" si="87"/>
        <v>437.67539341086757</v>
      </c>
      <c r="AN228" s="76">
        <f t="shared" si="88"/>
        <v>446.86657667249574</v>
      </c>
      <c r="AP228" s="201" t="s">
        <v>350</v>
      </c>
      <c r="AQ228" s="201" t="s">
        <v>208</v>
      </c>
      <c r="AR228" s="155" cm="1">
        <f t="array" ref="AR228">_xlfn.IFS($AQ228=$AP$1,$AQ$1*AE228,$AQ228=$AP$2,$AQ$2*AE228,$AQ228=$AP$3,$AQ$3*AE228,$AQ228=$AP$4,$AQ$4*AE228)</f>
        <v>28.421961811674116</v>
      </c>
      <c r="AS228" s="155" cm="1">
        <f t="array" ref="AS228">_xlfn.IFS($AQ228=$AP$1,$AQ$1*AF228,$AQ228=$AP$2,$AQ$2*AF228,$AQ228=$AP$3,$AQ$3*AF228,$AQ228=$AP$4,$AQ$4*AF228)</f>
        <v>53.467703197540843</v>
      </c>
      <c r="AT228" s="155" cm="1">
        <f t="array" ref="AT228">_xlfn.IFS($AQ228=$AP$1,$AQ$1*AG228,$AQ228=$AP$2,$AQ$2*AG228,$AQ228=$AP$3,$AQ$3*AG228,$AQ228=$AP$4,$AQ$4*AG228)</f>
        <v>54.590524964689187</v>
      </c>
      <c r="AU228" s="155" cm="1">
        <f t="array" ref="AU228">_xlfn.IFS($AQ228=$AP$1,$AQ$1*AH228,$AQ228=$AP$2,$AQ$2*AH228,$AQ228=$AP$3,$AQ$3*AH228,$AQ228=$AP$4,$AQ$4*AH228)</f>
        <v>55.736925988947654</v>
      </c>
      <c r="AV228" s="155" cm="1">
        <f t="array" ref="AV228">_xlfn.IFS($AQ228=$AP$1,$AQ$1*AI228,$AQ228=$AP$2,$AQ$2*AI228,$AQ228=$AP$3,$AQ$3*AI228,$AQ228=$AP$4,$AQ$4*AI228)</f>
        <v>56.907401434715545</v>
      </c>
      <c r="AW228" s="155" cm="1">
        <f t="array" ref="AW228">_xlfn.IFS($AQ228=$AP$1,$AQ$1*AJ228,$AQ228=$AP$2,$AQ$2*AJ228,$AQ228=$AP$3,$AQ$3*AJ228,$AQ228=$AP$4,$AQ$4*AJ228)</f>
        <v>58.102456864844569</v>
      </c>
      <c r="AX228" s="155" cm="1">
        <f t="array" ref="AX228">_xlfn.IFS($AQ228=$AP$1,$AQ$1*AK228,$AQ228=$AP$2,$AQ$2*AK228,$AQ228=$AP$3,$AQ$3*AK228,$AQ228=$AP$4,$AQ$4*AK228)</f>
        <v>59.322608459006297</v>
      </c>
      <c r="AY228" s="155" cm="1">
        <f t="array" ref="AY228">_xlfn.IFS($AQ228=$AP$1,$AQ$1*AL228,$AQ228=$AP$2,$AQ$2*AL228,$AQ228=$AP$3,$AQ$3*AL228,$AQ228=$AP$4,$AQ$4*AL228)</f>
        <v>60.568383236645424</v>
      </c>
      <c r="AZ228" s="155" cm="1">
        <f t="array" ref="AZ228">_xlfn.IFS($AQ228=$AP$1,$AQ$1*AM228,$AQ228=$AP$2,$AQ$2*AM228,$AQ228=$AP$3,$AQ$3*AM228,$AQ228=$AP$4,$AQ$4*AM228)</f>
        <v>61.840319284614964</v>
      </c>
      <c r="BA228" s="155" cm="1">
        <f t="array" ref="BA228">_xlfn.IFS($AQ228=$AP$1,$AQ$1*AN228,$AQ228=$AP$2,$AQ$2*AN228,$AQ228=$AP$3,$AQ$3*AN228,$AQ228=$AP$4,$AQ$4*AN228)</f>
        <v>63.138965989591867</v>
      </c>
      <c r="BB228" s="155">
        <f>Table2[[#This Row],[FINAL Project System Capacity (MW)]]</f>
        <v>6</v>
      </c>
      <c r="BC228" s="155" t="str">
        <f>Table2[[#This Row],[FN Parent  '#]]</f>
        <v>FN005852</v>
      </c>
      <c r="BD228" s="155">
        <f t="shared" si="89"/>
        <v>6</v>
      </c>
      <c r="BE228" s="155">
        <f t="shared" si="90"/>
        <v>6</v>
      </c>
      <c r="BF228" s="155">
        <f t="shared" si="91"/>
        <v>4.7369936352790196</v>
      </c>
      <c r="BG228" s="155">
        <f t="shared" si="92"/>
        <v>8.9112838662568077</v>
      </c>
      <c r="BH228" s="155">
        <f t="shared" si="93"/>
        <v>9.0984208274481979</v>
      </c>
      <c r="BI228" s="155">
        <f t="shared" si="94"/>
        <v>9.289487664824609</v>
      </c>
      <c r="BJ228" s="155">
        <f t="shared" si="95"/>
        <v>9.4845669057859237</v>
      </c>
      <c r="BK228" s="155">
        <f t="shared" si="96"/>
        <v>9.6837428108074288</v>
      </c>
      <c r="BL228" s="155">
        <f t="shared" si="97"/>
        <v>9.8871014098343828</v>
      </c>
      <c r="BM228" s="155">
        <f t="shared" si="98"/>
        <v>10.094730539440905</v>
      </c>
      <c r="BN228" s="155">
        <f t="shared" si="99"/>
        <v>10.30671988076916</v>
      </c>
      <c r="BO228" s="155">
        <f t="shared" si="100"/>
        <v>10.523160998265311</v>
      </c>
      <c r="BP228" s="155">
        <f t="shared" si="101"/>
        <v>8.9639604091353569</v>
      </c>
    </row>
    <row r="229" spans="1:68">
      <c r="A229" s="155" t="s">
        <v>352</v>
      </c>
      <c r="B229" s="155" t="s">
        <v>1345</v>
      </c>
      <c r="C229" s="155" t="s">
        <v>208</v>
      </c>
      <c r="D229" s="155">
        <v>2</v>
      </c>
      <c r="E229" s="189">
        <v>0</v>
      </c>
      <c r="F229" s="67">
        <v>0</v>
      </c>
      <c r="G229" s="67">
        <v>135</v>
      </c>
      <c r="H229" s="67">
        <v>487</v>
      </c>
      <c r="I229" s="67">
        <v>520</v>
      </c>
      <c r="J229" s="67">
        <v>500</v>
      </c>
      <c r="K229" s="67">
        <v>7420</v>
      </c>
      <c r="L229" s="67">
        <v>621</v>
      </c>
      <c r="M229" s="67">
        <v>487</v>
      </c>
      <c r="N229" s="67">
        <v>0</v>
      </c>
      <c r="O229" s="67">
        <v>0</v>
      </c>
      <c r="Q229" s="202" t="s">
        <v>352</v>
      </c>
      <c r="R229" s="202" t="s">
        <v>1345</v>
      </c>
      <c r="S229" s="202" t="s">
        <v>208</v>
      </c>
      <c r="T229" s="76">
        <f>SUM($E229:F229)</f>
        <v>0</v>
      </c>
      <c r="U229" s="76">
        <f>SUM($E229:G229)</f>
        <v>135</v>
      </c>
      <c r="V229" s="76">
        <f>SUM($E229:H229)</f>
        <v>622</v>
      </c>
      <c r="W229" s="76">
        <f>SUM($E229:I229)</f>
        <v>1142</v>
      </c>
      <c r="X229" s="76">
        <f>SUM($E229:J229)</f>
        <v>1642</v>
      </c>
      <c r="Y229" s="76">
        <f>SUM($E229:K229)</f>
        <v>9062</v>
      </c>
      <c r="Z229" s="76">
        <f>SUM($E229:L229)</f>
        <v>9683</v>
      </c>
      <c r="AA229" s="76">
        <f>SUM($E229:M229)</f>
        <v>10170</v>
      </c>
      <c r="AB229" s="76">
        <f>SUM($E229:N229)</f>
        <v>10170</v>
      </c>
      <c r="AC229" s="76">
        <f>SUM($E229:O229)</f>
        <v>10170</v>
      </c>
      <c r="AE229" s="76">
        <f t="shared" si="79"/>
        <v>0</v>
      </c>
      <c r="AF229" s="76">
        <f t="shared" si="80"/>
        <v>137.83499999999998</v>
      </c>
      <c r="AG229" s="76">
        <f t="shared" si="81"/>
        <v>648.39830199999983</v>
      </c>
      <c r="AH229" s="76">
        <f t="shared" si="82"/>
        <v>1215.4674420619997</v>
      </c>
      <c r="AI229" s="76">
        <f t="shared" si="83"/>
        <v>1784.333877585801</v>
      </c>
      <c r="AJ229" s="76">
        <f t="shared" si="84"/>
        <v>10054.321500764227</v>
      </c>
      <c r="AK229" s="76">
        <f t="shared" si="85"/>
        <v>10968.933015761411</v>
      </c>
      <c r="AL229" s="76">
        <f t="shared" si="86"/>
        <v>11762.540926827398</v>
      </c>
      <c r="AM229" s="76">
        <f t="shared" si="87"/>
        <v>12009.554286290771</v>
      </c>
      <c r="AN229" s="76">
        <f t="shared" si="88"/>
        <v>12261.754926302876</v>
      </c>
      <c r="AP229" s="202" t="s">
        <v>352</v>
      </c>
      <c r="AQ229" s="202" t="s">
        <v>208</v>
      </c>
      <c r="AR229" s="155" cm="1">
        <f t="array" ref="AR229">_xlfn.IFS($AQ229=$AP$1,$AQ$1*AE229,$AQ229=$AP$2,$AQ$2*AE229,$AQ229=$AP$3,$AQ$3*AE229,$AQ229=$AP$4,$AQ$4*AE229)</f>
        <v>0</v>
      </c>
      <c r="AS229" s="155" cm="1">
        <f t="array" ref="AS229">_xlfn.IFS($AQ229=$AP$1,$AQ$1*AF229,$AQ229=$AP$2,$AQ$2*AF229,$AQ229=$AP$3,$AQ$3*AF229,$AQ229=$AP$4,$AQ$4*AF229)</f>
        <v>19.475073392104605</v>
      </c>
      <c r="AT229" s="155" cm="1">
        <f t="array" ref="AT229">_xlfn.IFS($AQ229=$AP$1,$AQ$1*AG229,$AQ229=$AP$2,$AQ$2*AG229,$AQ229=$AP$3,$AQ$3*AG229,$AQ229=$AP$4,$AQ$4*AG229)</f>
        <v>91.613918952123953</v>
      </c>
      <c r="AU229" s="155" cm="1">
        <f t="array" ref="AU229">_xlfn.IFS($AQ229=$AP$1,$AQ$1*AH229,$AQ229=$AP$2,$AQ$2*AH229,$AQ229=$AP$3,$AQ$3*AH229,$AQ229=$AP$4,$AQ$4*AH229)</f>
        <v>171.73662451388327</v>
      </c>
      <c r="AV229" s="155" cm="1">
        <f t="array" ref="AV229">_xlfn.IFS($AQ229=$AP$1,$AQ$1*AI229,$AQ229=$AP$2,$AQ$2*AI229,$AQ229=$AP$3,$AQ$3*AI229,$AQ229=$AP$4,$AQ$4*AI229)</f>
        <v>252.11327472704374</v>
      </c>
      <c r="AW229" s="155" cm="1">
        <f t="array" ref="AW229">_xlfn.IFS($AQ229=$AP$1,$AQ$1*AJ229,$AQ229=$AP$2,$AQ$2*AJ229,$AQ229=$AP$3,$AQ$3*AJ229,$AQ229=$AP$4,$AQ$4*AJ229)</f>
        <v>1420.6018002336029</v>
      </c>
      <c r="AX229" s="155" cm="1">
        <f t="array" ref="AX229">_xlfn.IFS($AQ229=$AP$1,$AQ$1*AK229,$AQ229=$AP$2,$AQ$2*AK229,$AQ229=$AP$3,$AQ$3*AK229,$AQ229=$AP$4,$AQ$4*AK229)</f>
        <v>1549.8296914066298</v>
      </c>
      <c r="AY229" s="155" cm="1">
        <f t="array" ref="AY229">_xlfn.IFS($AQ229=$AP$1,$AQ$1*AL229,$AQ229=$AP$2,$AQ$2*AL229,$AQ229=$AP$3,$AQ$3*AL229,$AQ229=$AP$4,$AQ$4*AL229)</f>
        <v>1661.9606618609041</v>
      </c>
      <c r="AZ229" s="155" cm="1">
        <f t="array" ref="AZ229">_xlfn.IFS($AQ229=$AP$1,$AQ$1*AM229,$AQ229=$AP$2,$AQ$2*AM229,$AQ229=$AP$3,$AQ$3*AM229,$AQ229=$AP$4,$AQ$4*AM229)</f>
        <v>1696.861835759983</v>
      </c>
      <c r="BA229" s="155" cm="1">
        <f t="array" ref="BA229">_xlfn.IFS($AQ229=$AP$1,$AQ$1*AN229,$AQ229=$AP$2,$AQ$2*AN229,$AQ229=$AP$3,$AQ$3*AN229,$AQ229=$AP$4,$AQ$4*AN229)</f>
        <v>1732.4959343109424</v>
      </c>
      <c r="BB229" s="155">
        <f>Table2[[#This Row],[FINAL Project System Capacity (MW)]]</f>
        <v>2</v>
      </c>
      <c r="BC229" s="155" t="str">
        <f>Table2[[#This Row],[FN Parent  '#]]</f>
        <v>Individual Project</v>
      </c>
      <c r="BD229" s="155">
        <f t="shared" si="89"/>
        <v>2</v>
      </c>
      <c r="BE229" s="155">
        <f t="shared" si="90"/>
        <v>2</v>
      </c>
      <c r="BF229" s="155">
        <f t="shared" si="91"/>
        <v>0</v>
      </c>
      <c r="BG229" s="155">
        <f t="shared" si="92"/>
        <v>9.7375366960523024</v>
      </c>
      <c r="BH229" s="155">
        <f t="shared" si="93"/>
        <v>45.806959476061976</v>
      </c>
      <c r="BI229" s="155">
        <f t="shared" si="94"/>
        <v>85.868312256941635</v>
      </c>
      <c r="BJ229" s="155">
        <f t="shared" si="95"/>
        <v>126.05663736352187</v>
      </c>
      <c r="BK229" s="155">
        <f t="shared" si="96"/>
        <v>710.30090011680147</v>
      </c>
      <c r="BL229" s="155">
        <f t="shared" si="97"/>
        <v>774.91484570331488</v>
      </c>
      <c r="BM229" s="155">
        <f t="shared" si="98"/>
        <v>830.98033093045206</v>
      </c>
      <c r="BN229" s="155">
        <f t="shared" si="99"/>
        <v>848.43091787999151</v>
      </c>
      <c r="BO229" s="155">
        <f t="shared" si="100"/>
        <v>866.2479671554712</v>
      </c>
      <c r="BP229" s="155">
        <f t="shared" si="101"/>
        <v>363.21227902428762</v>
      </c>
    </row>
    <row r="230" spans="1:68">
      <c r="A230" s="155" t="s">
        <v>269</v>
      </c>
      <c r="B230" s="155" t="s">
        <v>1345</v>
      </c>
      <c r="C230" s="155" t="s">
        <v>208</v>
      </c>
      <c r="D230" s="155">
        <v>2.5</v>
      </c>
      <c r="E230" s="189">
        <v>13.808440000000001</v>
      </c>
      <c r="F230" s="67">
        <v>0</v>
      </c>
      <c r="G230" s="67">
        <v>191.75</v>
      </c>
      <c r="H230" s="67">
        <v>0</v>
      </c>
      <c r="I230" s="67">
        <v>0</v>
      </c>
      <c r="J230" s="67">
        <v>0</v>
      </c>
      <c r="K230" s="67">
        <v>0</v>
      </c>
      <c r="L230" s="67">
        <v>0</v>
      </c>
      <c r="M230" s="67">
        <v>0</v>
      </c>
      <c r="N230" s="67">
        <v>0</v>
      </c>
      <c r="O230" s="67">
        <v>0</v>
      </c>
      <c r="Q230" s="201" t="s">
        <v>269</v>
      </c>
      <c r="R230" s="201" t="s">
        <v>1345</v>
      </c>
      <c r="S230" s="201" t="s">
        <v>208</v>
      </c>
      <c r="T230" s="76">
        <f>SUM($E230:F232)</f>
        <v>2112.9282800000001</v>
      </c>
      <c r="U230" s="76">
        <f>SUM($E230:G232)</f>
        <v>2329.6782800000001</v>
      </c>
      <c r="V230" s="76">
        <f>SUM($E230:H232)</f>
        <v>2579.6782800000001</v>
      </c>
      <c r="W230" s="76">
        <f>SUM($E230:I232)</f>
        <v>2579.6782800000001</v>
      </c>
      <c r="X230" s="76">
        <f>SUM($E230:J232)</f>
        <v>2579.6782800000001</v>
      </c>
      <c r="Y230" s="76">
        <f>SUM($E230:K232)</f>
        <v>2579.6782800000001</v>
      </c>
      <c r="Z230" s="76">
        <f>SUM($E230:L232)</f>
        <v>2579.6782800000001</v>
      </c>
      <c r="AA230" s="76">
        <f>SUM($E230:M232)</f>
        <v>2579.6782800000001</v>
      </c>
      <c r="AB230" s="76">
        <f>SUM($E230:N232)</f>
        <v>2579.6782800000001</v>
      </c>
      <c r="AC230" s="76">
        <f>SUM($E230:O232)</f>
        <v>2579.6782800000001</v>
      </c>
      <c r="AE230" s="76">
        <f t="shared" si="79"/>
        <v>2112.9282800000001</v>
      </c>
      <c r="AF230" s="76">
        <f t="shared" si="80"/>
        <v>2378.6015238800001</v>
      </c>
      <c r="AG230" s="76">
        <f t="shared" si="81"/>
        <v>2689.1624058814796</v>
      </c>
      <c r="AH230" s="76">
        <f t="shared" si="82"/>
        <v>2745.6348164049905</v>
      </c>
      <c r="AI230" s="76">
        <f t="shared" si="83"/>
        <v>2803.2931475494947</v>
      </c>
      <c r="AJ230" s="76">
        <f t="shared" si="84"/>
        <v>2862.1623036480337</v>
      </c>
      <c r="AK230" s="76">
        <f t="shared" si="85"/>
        <v>2922.2677120246422</v>
      </c>
      <c r="AL230" s="76">
        <f t="shared" si="86"/>
        <v>2983.6353339771595</v>
      </c>
      <c r="AM230" s="76">
        <f t="shared" si="87"/>
        <v>3046.2916759906789</v>
      </c>
      <c r="AN230" s="76">
        <f t="shared" si="88"/>
        <v>3110.2638011864829</v>
      </c>
      <c r="AP230" s="201" t="s">
        <v>269</v>
      </c>
      <c r="AQ230" s="201" t="s">
        <v>208</v>
      </c>
      <c r="AR230" s="155" cm="1">
        <f t="array" ref="AR230">_xlfn.IFS($AQ230=$AP$1,$AQ$1*AE230,$AQ230=$AP$2,$AQ$2*AE230,$AQ230=$AP$3,$AQ$3*AE230,$AQ230=$AP$4,$AQ$4*AE230)</f>
        <v>298.54125095406357</v>
      </c>
      <c r="AS230" s="155" cm="1">
        <f t="array" ref="AS230">_xlfn.IFS($AQ230=$AP$1,$AQ$1*AF230,$AQ230=$AP$2,$AQ$2*AF230,$AQ230=$AP$3,$AQ$3*AF230,$AQ230=$AP$4,$AQ$4*AF230)</f>
        <v>336.07892950364464</v>
      </c>
      <c r="AT230" s="155" cm="1">
        <f t="array" ref="AT230">_xlfn.IFS($AQ230=$AP$1,$AQ$1*AG230,$AQ230=$AP$2,$AQ$2*AG230,$AQ230=$AP$3,$AQ$3*AG230,$AQ230=$AP$4,$AQ$4*AG230)</f>
        <v>379.95890171458927</v>
      </c>
      <c r="AU230" s="155" cm="1">
        <f t="array" ref="AU230">_xlfn.IFS($AQ230=$AP$1,$AQ$1*AH230,$AQ230=$AP$2,$AQ$2*AH230,$AQ230=$AP$3,$AQ$3*AH230,$AQ230=$AP$4,$AQ$4*AH230)</f>
        <v>387.93803865059562</v>
      </c>
      <c r="AV230" s="155" cm="1">
        <f t="array" ref="AV230">_xlfn.IFS($AQ230=$AP$1,$AQ$1*AI230,$AQ230=$AP$2,$AQ$2*AI230,$AQ230=$AP$3,$AQ$3*AI230,$AQ230=$AP$4,$AQ$4*AI230)</f>
        <v>396.08473746225809</v>
      </c>
      <c r="AW230" s="155" cm="1">
        <f t="array" ref="AW230">_xlfn.IFS($AQ230=$AP$1,$AQ$1*AJ230,$AQ230=$AP$2,$AQ$2*AJ230,$AQ230=$AP$3,$AQ$3*AJ230,$AQ230=$AP$4,$AQ$4*AJ230)</f>
        <v>404.40251694896546</v>
      </c>
      <c r="AX230" s="155" cm="1">
        <f t="array" ref="AX230">_xlfn.IFS($AQ230=$AP$1,$AQ$1*AK230,$AQ230=$AP$2,$AQ$2*AK230,$AQ230=$AP$3,$AQ$3*AK230,$AQ230=$AP$4,$AQ$4*AK230)</f>
        <v>412.89496980489366</v>
      </c>
      <c r="AY230" s="155" cm="1">
        <f t="array" ref="AY230">_xlfn.IFS($AQ230=$AP$1,$AQ$1*AL230,$AQ230=$AP$2,$AQ$2*AL230,$AQ230=$AP$3,$AQ$3*AL230,$AQ230=$AP$4,$AQ$4*AL230)</f>
        <v>421.5657641707964</v>
      </c>
      <c r="AZ230" s="155" cm="1">
        <f t="array" ref="AZ230">_xlfn.IFS($AQ230=$AP$1,$AQ$1*AM230,$AQ230=$AP$2,$AQ$2*AM230,$AQ230=$AP$3,$AQ$3*AM230,$AQ230=$AP$4,$AQ$4*AM230)</f>
        <v>430.41864521838301</v>
      </c>
      <c r="BA230" s="155" cm="1">
        <f t="array" ref="BA230">_xlfn.IFS($AQ230=$AP$1,$AQ$1*AN230,$AQ230=$AP$2,$AQ$2*AN230,$AQ230=$AP$3,$AQ$3*AN230,$AQ230=$AP$4,$AQ$4*AN230)</f>
        <v>439.457436767969</v>
      </c>
      <c r="BB230" s="155">
        <f>Table2[[#This Row],[FINAL Project System Capacity (MW)]]</f>
        <v>2.5</v>
      </c>
      <c r="BC230" s="155" t="str">
        <f>Table2[[#This Row],[FN Parent  '#]]</f>
        <v>Individual Project</v>
      </c>
      <c r="BD230" s="155">
        <f>BB230+BB231+BB232</f>
        <v>22.5</v>
      </c>
      <c r="BE230" s="155">
        <f t="shared" si="90"/>
        <v>22.5</v>
      </c>
      <c r="BF230" s="155">
        <f t="shared" si="91"/>
        <v>13.268500042402826</v>
      </c>
      <c r="BG230" s="155">
        <f t="shared" si="92"/>
        <v>14.936841311273096</v>
      </c>
      <c r="BH230" s="155">
        <f t="shared" si="93"/>
        <v>16.887062298426191</v>
      </c>
      <c r="BI230" s="155">
        <f t="shared" si="94"/>
        <v>17.241690606693137</v>
      </c>
      <c r="BJ230" s="155">
        <f t="shared" si="95"/>
        <v>17.603766109433693</v>
      </c>
      <c r="BK230" s="155">
        <f t="shared" si="96"/>
        <v>17.973445197731799</v>
      </c>
      <c r="BL230" s="155">
        <f t="shared" si="97"/>
        <v>18.350887546884163</v>
      </c>
      <c r="BM230" s="155">
        <f t="shared" si="98"/>
        <v>18.736256185368728</v>
      </c>
      <c r="BN230" s="155">
        <f t="shared" si="99"/>
        <v>19.129717565261465</v>
      </c>
      <c r="BO230" s="155">
        <f t="shared" si="100"/>
        <v>19.531441634131955</v>
      </c>
      <c r="BP230" s="155">
        <f t="shared" si="101"/>
        <v>17.031674189810328</v>
      </c>
    </row>
    <row r="231" spans="1:68">
      <c r="A231" s="155" t="s">
        <v>364</v>
      </c>
      <c r="B231" s="155" t="s">
        <v>1345</v>
      </c>
      <c r="C231" s="155" t="s">
        <v>208</v>
      </c>
      <c r="D231" s="155">
        <v>4</v>
      </c>
      <c r="E231" s="189">
        <v>1603.3198400000001</v>
      </c>
      <c r="F231" s="67">
        <v>495.8</v>
      </c>
      <c r="G231" s="67">
        <v>0</v>
      </c>
      <c r="H231" s="67">
        <v>0</v>
      </c>
      <c r="I231" s="67">
        <v>0</v>
      </c>
      <c r="J231" s="67">
        <v>0</v>
      </c>
      <c r="K231" s="67">
        <v>0</v>
      </c>
      <c r="L231" s="67">
        <v>0</v>
      </c>
      <c r="M231" s="67">
        <v>0</v>
      </c>
      <c r="N231" s="67">
        <v>0</v>
      </c>
      <c r="O231" s="67">
        <v>0</v>
      </c>
      <c r="Q231" s="202" t="s">
        <v>364</v>
      </c>
      <c r="R231" s="202" t="s">
        <v>1345</v>
      </c>
      <c r="S231" s="202" t="s">
        <v>208</v>
      </c>
      <c r="U231" s="155"/>
      <c r="V231" s="155"/>
      <c r="W231" s="155"/>
      <c r="X231" s="155"/>
      <c r="Y231" s="155"/>
      <c r="Z231" s="155"/>
      <c r="AA231" s="155"/>
      <c r="AB231" s="155"/>
      <c r="AC231" s="155"/>
      <c r="AE231" s="76">
        <f t="shared" si="79"/>
        <v>0</v>
      </c>
      <c r="AF231" s="76">
        <f t="shared" si="80"/>
        <v>0</v>
      </c>
      <c r="AG231" s="76">
        <f t="shared" si="81"/>
        <v>0</v>
      </c>
      <c r="AH231" s="76">
        <f t="shared" si="82"/>
        <v>0</v>
      </c>
      <c r="AI231" s="76">
        <f t="shared" si="83"/>
        <v>0</v>
      </c>
      <c r="AJ231" s="76">
        <f t="shared" si="84"/>
        <v>0</v>
      </c>
      <c r="AK231" s="76">
        <f t="shared" si="85"/>
        <v>0</v>
      </c>
      <c r="AL231" s="76">
        <f t="shared" si="86"/>
        <v>0</v>
      </c>
      <c r="AM231" s="76">
        <f t="shared" si="87"/>
        <v>0</v>
      </c>
      <c r="AN231" s="76">
        <f t="shared" si="88"/>
        <v>0</v>
      </c>
      <c r="AP231" s="202" t="s">
        <v>364</v>
      </c>
      <c r="AQ231" s="202" t="s">
        <v>208</v>
      </c>
      <c r="AR231" s="155" cm="1">
        <f t="array" ref="AR231">_xlfn.IFS($AQ231=$AP$1,$AQ$1*AE231,$AQ231=$AP$2,$AQ$2*AE231,$AQ231=$AP$3,$AQ$3*AE231,$AQ231=$AP$4,$AQ$4*AE231)</f>
        <v>0</v>
      </c>
      <c r="AS231" s="155" cm="1">
        <f t="array" ref="AS231">_xlfn.IFS($AQ231=$AP$1,$AQ$1*AF231,$AQ231=$AP$2,$AQ$2*AF231,$AQ231=$AP$3,$AQ$3*AF231,$AQ231=$AP$4,$AQ$4*AF231)</f>
        <v>0</v>
      </c>
      <c r="AT231" s="155" cm="1">
        <f t="array" ref="AT231">_xlfn.IFS($AQ231=$AP$1,$AQ$1*AG231,$AQ231=$AP$2,$AQ$2*AG231,$AQ231=$AP$3,$AQ$3*AG231,$AQ231=$AP$4,$AQ$4*AG231)</f>
        <v>0</v>
      </c>
      <c r="AU231" s="155" cm="1">
        <f t="array" ref="AU231">_xlfn.IFS($AQ231=$AP$1,$AQ$1*AH231,$AQ231=$AP$2,$AQ$2*AH231,$AQ231=$AP$3,$AQ$3*AH231,$AQ231=$AP$4,$AQ$4*AH231)</f>
        <v>0</v>
      </c>
      <c r="AV231" s="155" cm="1">
        <f t="array" ref="AV231">_xlfn.IFS($AQ231=$AP$1,$AQ$1*AI231,$AQ231=$AP$2,$AQ$2*AI231,$AQ231=$AP$3,$AQ$3*AI231,$AQ231=$AP$4,$AQ$4*AI231)</f>
        <v>0</v>
      </c>
      <c r="AW231" s="155" cm="1">
        <f t="array" ref="AW231">_xlfn.IFS($AQ231=$AP$1,$AQ$1*AJ231,$AQ231=$AP$2,$AQ$2*AJ231,$AQ231=$AP$3,$AQ$3*AJ231,$AQ231=$AP$4,$AQ$4*AJ231)</f>
        <v>0</v>
      </c>
      <c r="AX231" s="155" cm="1">
        <f t="array" ref="AX231">_xlfn.IFS($AQ231=$AP$1,$AQ$1*AK231,$AQ231=$AP$2,$AQ$2*AK231,$AQ231=$AP$3,$AQ$3*AK231,$AQ231=$AP$4,$AQ$4*AK231)</f>
        <v>0</v>
      </c>
      <c r="AY231" s="155" cm="1">
        <f t="array" ref="AY231">_xlfn.IFS($AQ231=$AP$1,$AQ$1*AL231,$AQ231=$AP$2,$AQ$2*AL231,$AQ231=$AP$3,$AQ$3*AL231,$AQ231=$AP$4,$AQ$4*AL231)</f>
        <v>0</v>
      </c>
      <c r="AZ231" s="155" cm="1">
        <f t="array" ref="AZ231">_xlfn.IFS($AQ231=$AP$1,$AQ$1*AM231,$AQ231=$AP$2,$AQ$2*AM231,$AQ231=$AP$3,$AQ$3*AM231,$AQ231=$AP$4,$AQ$4*AM231)</f>
        <v>0</v>
      </c>
      <c r="BA231" s="155" cm="1">
        <f t="array" ref="BA231">_xlfn.IFS($AQ231=$AP$1,$AQ$1*AN231,$AQ231=$AP$2,$AQ$2*AN231,$AQ231=$AP$3,$AQ$3*AN231,$AQ231=$AP$4,$AQ$4*AN231)</f>
        <v>0</v>
      </c>
      <c r="BB231" s="155">
        <f>Table2[[#This Row],[FINAL Project System Capacity (MW)]]</f>
        <v>4</v>
      </c>
      <c r="BC231" s="155" t="str">
        <f>Table2[[#This Row],[FN Parent  '#]]</f>
        <v>Individual Project</v>
      </c>
      <c r="BD231" s="155"/>
      <c r="BE231" s="155">
        <f t="shared" si="90"/>
        <v>0</v>
      </c>
      <c r="BF231" s="155" t="str">
        <f t="shared" si="91"/>
        <v/>
      </c>
      <c r="BG231" s="155" t="str">
        <f t="shared" si="92"/>
        <v/>
      </c>
      <c r="BH231" s="155" t="str">
        <f t="shared" si="93"/>
        <v/>
      </c>
      <c r="BI231" s="155" t="str">
        <f t="shared" si="94"/>
        <v/>
      </c>
      <c r="BJ231" s="155" t="str">
        <f t="shared" si="95"/>
        <v/>
      </c>
      <c r="BK231" s="155" t="str">
        <f t="shared" si="96"/>
        <v/>
      </c>
      <c r="BL231" s="155" t="str">
        <f t="shared" si="97"/>
        <v/>
      </c>
      <c r="BM231" s="155" t="str">
        <f t="shared" si="98"/>
        <v/>
      </c>
      <c r="BN231" s="155" t="str">
        <f t="shared" si="99"/>
        <v/>
      </c>
      <c r="BO231" s="155" t="str">
        <f t="shared" si="100"/>
        <v/>
      </c>
      <c r="BP231" s="155">
        <f t="shared" si="101"/>
        <v>0</v>
      </c>
    </row>
    <row r="232" spans="1:68">
      <c r="A232" s="155" t="s">
        <v>364</v>
      </c>
      <c r="B232" s="155" t="s">
        <v>1345</v>
      </c>
      <c r="C232" s="155" t="s">
        <v>208</v>
      </c>
      <c r="D232" s="155">
        <v>16</v>
      </c>
      <c r="E232" s="189">
        <v>0</v>
      </c>
      <c r="F232" s="67">
        <v>0</v>
      </c>
      <c r="G232" s="67">
        <v>25</v>
      </c>
      <c r="H232" s="67">
        <v>250</v>
      </c>
      <c r="I232" s="67">
        <v>0</v>
      </c>
      <c r="J232" s="67">
        <v>0</v>
      </c>
      <c r="K232" s="67">
        <v>0</v>
      </c>
      <c r="L232" s="67">
        <v>0</v>
      </c>
      <c r="M232" s="67">
        <v>0</v>
      </c>
      <c r="N232" s="67">
        <v>0</v>
      </c>
      <c r="O232" s="67">
        <v>0</v>
      </c>
      <c r="Q232" s="201" t="s">
        <v>364</v>
      </c>
      <c r="R232" s="201" t="s">
        <v>1345</v>
      </c>
      <c r="S232" s="201" t="s">
        <v>208</v>
      </c>
      <c r="U232" s="155"/>
      <c r="V232" s="155"/>
      <c r="W232" s="155"/>
      <c r="X232" s="155"/>
      <c r="Y232" s="155"/>
      <c r="Z232" s="155"/>
      <c r="AA232" s="155"/>
      <c r="AB232" s="155"/>
      <c r="AC232" s="155"/>
      <c r="AE232" s="76">
        <f t="shared" si="79"/>
        <v>0</v>
      </c>
      <c r="AF232" s="76">
        <f t="shared" si="80"/>
        <v>0</v>
      </c>
      <c r="AG232" s="76">
        <f t="shared" si="81"/>
        <v>0</v>
      </c>
      <c r="AH232" s="76">
        <f t="shared" si="82"/>
        <v>0</v>
      </c>
      <c r="AI232" s="76">
        <f t="shared" si="83"/>
        <v>0</v>
      </c>
      <c r="AJ232" s="76">
        <f t="shared" si="84"/>
        <v>0</v>
      </c>
      <c r="AK232" s="76">
        <f t="shared" si="85"/>
        <v>0</v>
      </c>
      <c r="AL232" s="76">
        <f t="shared" si="86"/>
        <v>0</v>
      </c>
      <c r="AM232" s="76">
        <f t="shared" si="87"/>
        <v>0</v>
      </c>
      <c r="AN232" s="76">
        <f t="shared" si="88"/>
        <v>0</v>
      </c>
      <c r="AP232" s="201" t="s">
        <v>364</v>
      </c>
      <c r="AQ232" s="201" t="s">
        <v>208</v>
      </c>
      <c r="AR232" s="155" cm="1">
        <f t="array" ref="AR232">_xlfn.IFS($AQ232=$AP$1,$AQ$1*AE232,$AQ232=$AP$2,$AQ$2*AE232,$AQ232=$AP$3,$AQ$3*AE232,$AQ232=$AP$4,$AQ$4*AE232)</f>
        <v>0</v>
      </c>
      <c r="AS232" s="155" cm="1">
        <f t="array" ref="AS232">_xlfn.IFS($AQ232=$AP$1,$AQ$1*AF232,$AQ232=$AP$2,$AQ$2*AF232,$AQ232=$AP$3,$AQ$3*AF232,$AQ232=$AP$4,$AQ$4*AF232)</f>
        <v>0</v>
      </c>
      <c r="AT232" s="155" cm="1">
        <f t="array" ref="AT232">_xlfn.IFS($AQ232=$AP$1,$AQ$1*AG232,$AQ232=$AP$2,$AQ$2*AG232,$AQ232=$AP$3,$AQ$3*AG232,$AQ232=$AP$4,$AQ$4*AG232)</f>
        <v>0</v>
      </c>
      <c r="AU232" s="155" cm="1">
        <f t="array" ref="AU232">_xlfn.IFS($AQ232=$AP$1,$AQ$1*AH232,$AQ232=$AP$2,$AQ$2*AH232,$AQ232=$AP$3,$AQ$3*AH232,$AQ232=$AP$4,$AQ$4*AH232)</f>
        <v>0</v>
      </c>
      <c r="AV232" s="155" cm="1">
        <f t="array" ref="AV232">_xlfn.IFS($AQ232=$AP$1,$AQ$1*AI232,$AQ232=$AP$2,$AQ$2*AI232,$AQ232=$AP$3,$AQ$3*AI232,$AQ232=$AP$4,$AQ$4*AI232)</f>
        <v>0</v>
      </c>
      <c r="AW232" s="155" cm="1">
        <f t="array" ref="AW232">_xlfn.IFS($AQ232=$AP$1,$AQ$1*AJ232,$AQ232=$AP$2,$AQ$2*AJ232,$AQ232=$AP$3,$AQ$3*AJ232,$AQ232=$AP$4,$AQ$4*AJ232)</f>
        <v>0</v>
      </c>
      <c r="AX232" s="155" cm="1">
        <f t="array" ref="AX232">_xlfn.IFS($AQ232=$AP$1,$AQ$1*AK232,$AQ232=$AP$2,$AQ$2*AK232,$AQ232=$AP$3,$AQ$3*AK232,$AQ232=$AP$4,$AQ$4*AK232)</f>
        <v>0</v>
      </c>
      <c r="AY232" s="155" cm="1">
        <f t="array" ref="AY232">_xlfn.IFS($AQ232=$AP$1,$AQ$1*AL232,$AQ232=$AP$2,$AQ$2*AL232,$AQ232=$AP$3,$AQ$3*AL232,$AQ232=$AP$4,$AQ$4*AL232)</f>
        <v>0</v>
      </c>
      <c r="AZ232" s="155" cm="1">
        <f t="array" ref="AZ232">_xlfn.IFS($AQ232=$AP$1,$AQ$1*AM232,$AQ232=$AP$2,$AQ$2*AM232,$AQ232=$AP$3,$AQ$3*AM232,$AQ232=$AP$4,$AQ$4*AM232)</f>
        <v>0</v>
      </c>
      <c r="BA232" s="155" cm="1">
        <f t="array" ref="BA232">_xlfn.IFS($AQ232=$AP$1,$AQ$1*AN232,$AQ232=$AP$2,$AQ$2*AN232,$AQ232=$AP$3,$AQ$3*AN232,$AQ232=$AP$4,$AQ$4*AN232)</f>
        <v>0</v>
      </c>
      <c r="BB232" s="155">
        <f>Table2[[#This Row],[FINAL Project System Capacity (MW)]]</f>
        <v>16</v>
      </c>
      <c r="BC232" s="155" t="str">
        <f>Table2[[#This Row],[FN Parent  '#]]</f>
        <v>Individual Project</v>
      </c>
      <c r="BD232" s="155"/>
      <c r="BE232" s="155">
        <f t="shared" si="90"/>
        <v>0</v>
      </c>
      <c r="BF232" s="155" t="str">
        <f t="shared" si="91"/>
        <v/>
      </c>
      <c r="BG232" s="155" t="str">
        <f t="shared" si="92"/>
        <v/>
      </c>
      <c r="BH232" s="155" t="str">
        <f t="shared" si="93"/>
        <v/>
      </c>
      <c r="BI232" s="155" t="str">
        <f t="shared" si="94"/>
        <v/>
      </c>
      <c r="BJ232" s="155" t="str">
        <f t="shared" si="95"/>
        <v/>
      </c>
      <c r="BK232" s="155" t="str">
        <f t="shared" si="96"/>
        <v/>
      </c>
      <c r="BL232" s="155" t="str">
        <f t="shared" si="97"/>
        <v/>
      </c>
      <c r="BM232" s="155" t="str">
        <f t="shared" si="98"/>
        <v/>
      </c>
      <c r="BN232" s="155" t="str">
        <f t="shared" si="99"/>
        <v/>
      </c>
      <c r="BO232" s="155" t="str">
        <f t="shared" si="100"/>
        <v/>
      </c>
      <c r="BP232" s="155">
        <f t="shared" si="101"/>
        <v>0</v>
      </c>
    </row>
    <row r="233" spans="1:68">
      <c r="A233" s="155" t="s">
        <v>354</v>
      </c>
      <c r="B233" s="155" t="s">
        <v>1262</v>
      </c>
      <c r="C233" s="155" t="s">
        <v>208</v>
      </c>
      <c r="D233" s="155">
        <v>57.6</v>
      </c>
      <c r="E233" s="189">
        <v>0</v>
      </c>
      <c r="F233" s="67">
        <v>120</v>
      </c>
      <c r="G233" s="67">
        <v>240</v>
      </c>
      <c r="H233" s="67">
        <v>1500</v>
      </c>
      <c r="I233" s="67">
        <v>950</v>
      </c>
      <c r="J233" s="67">
        <v>0</v>
      </c>
      <c r="K233" s="67">
        <v>0</v>
      </c>
      <c r="L233" s="67">
        <v>0</v>
      </c>
      <c r="M233" s="67">
        <v>0</v>
      </c>
      <c r="N233" s="67">
        <v>0</v>
      </c>
      <c r="O233" s="67">
        <v>0</v>
      </c>
      <c r="Q233" s="202" t="s">
        <v>354</v>
      </c>
      <c r="R233" s="202" t="s">
        <v>1262</v>
      </c>
      <c r="S233" s="202" t="s">
        <v>208</v>
      </c>
      <c r="T233" s="76">
        <f>SUM($E233:F233)</f>
        <v>120</v>
      </c>
      <c r="U233" s="76">
        <f>SUM($E233:G233)</f>
        <v>360</v>
      </c>
      <c r="V233" s="76">
        <f>SUM($E233:H233)</f>
        <v>1860</v>
      </c>
      <c r="W233" s="76">
        <f>SUM($E233:I233)</f>
        <v>2810</v>
      </c>
      <c r="X233" s="76">
        <f>SUM($E233:J233)</f>
        <v>2810</v>
      </c>
      <c r="Y233" s="76">
        <f>SUM($E233:K233)</f>
        <v>2810</v>
      </c>
      <c r="Z233" s="76">
        <f>SUM($E233:L233)</f>
        <v>2810</v>
      </c>
      <c r="AA233" s="76">
        <f>SUM($E233:M233)</f>
        <v>2810</v>
      </c>
      <c r="AB233" s="76">
        <f>SUM($E233:N233)</f>
        <v>2810</v>
      </c>
      <c r="AC233" s="76">
        <f>SUM($E233:O233)</f>
        <v>2810</v>
      </c>
      <c r="AE233" s="76">
        <f t="shared" si="79"/>
        <v>120</v>
      </c>
      <c r="AF233" s="76">
        <f t="shared" si="80"/>
        <v>367.55999999999995</v>
      </c>
      <c r="AG233" s="76">
        <f t="shared" si="81"/>
        <v>1938.9402599999994</v>
      </c>
      <c r="AH233" s="76">
        <f t="shared" si="82"/>
        <v>2990.773653409999</v>
      </c>
      <c r="AI233" s="76">
        <f t="shared" si="83"/>
        <v>3053.5799001316086</v>
      </c>
      <c r="AJ233" s="76">
        <f t="shared" si="84"/>
        <v>3117.705078034372</v>
      </c>
      <c r="AK233" s="76">
        <f t="shared" si="85"/>
        <v>3183.1768846730934</v>
      </c>
      <c r="AL233" s="76">
        <f t="shared" si="86"/>
        <v>3250.023599251228</v>
      </c>
      <c r="AM233" s="76">
        <f t="shared" si="87"/>
        <v>3318.2740948355031</v>
      </c>
      <c r="AN233" s="76">
        <f t="shared" si="88"/>
        <v>3387.9578508270483</v>
      </c>
      <c r="AP233" s="202" t="s">
        <v>354</v>
      </c>
      <c r="AQ233" s="202" t="s">
        <v>208</v>
      </c>
      <c r="AR233" s="155" cm="1">
        <f t="array" ref="AR233">_xlfn.IFS($AQ233=$AP$1,$AQ$1*AE233,$AQ233=$AP$2,$AQ$2*AE233,$AQ233=$AP$3,$AQ$3*AE233,$AQ233=$AP$4,$AQ$4*AE233)</f>
        <v>16.955118852632154</v>
      </c>
      <c r="AS233" s="155" cm="1">
        <f t="array" ref="AS233">_xlfn.IFS($AQ233=$AP$1,$AQ$1*AF233,$AQ233=$AP$2,$AQ$2*AF233,$AQ233=$AP$3,$AQ$3*AF233,$AQ233=$AP$4,$AQ$4*AF233)</f>
        <v>51.933529045612282</v>
      </c>
      <c r="AT233" s="155" cm="1">
        <f t="array" ref="AT233">_xlfn.IFS($AQ233=$AP$1,$AQ$1*AG233,$AQ233=$AP$2,$AQ$2*AG233,$AQ233=$AP$3,$AQ$3*AG233,$AQ233=$AP$4,$AQ$4*AG233)</f>
        <v>273.95802130377899</v>
      </c>
      <c r="AU233" s="155" cm="1">
        <f t="array" ref="AU233">_xlfn.IFS($AQ233=$AP$1,$AQ$1*AH233,$AQ233=$AP$2,$AQ$2*AH233,$AQ233=$AP$3,$AQ$3*AH233,$AQ233=$AP$4,$AQ$4*AH233)</f>
        <v>422.57435629072847</v>
      </c>
      <c r="AV233" s="155" cm="1">
        <f t="array" ref="AV233">_xlfn.IFS($AQ233=$AP$1,$AQ$1*AI233,$AQ233=$AP$2,$AQ$2*AI233,$AQ233=$AP$3,$AQ$3*AI233,$AQ233=$AP$4,$AQ$4*AI233)</f>
        <v>431.44841777283375</v>
      </c>
      <c r="AW233" s="155" cm="1">
        <f t="array" ref="AW233">_xlfn.IFS($AQ233=$AP$1,$AQ$1*AJ233,$AQ233=$AP$2,$AQ$2*AJ233,$AQ233=$AP$3,$AQ$3*AJ233,$AQ233=$AP$4,$AQ$4*AJ233)</f>
        <v>440.50883454606316</v>
      </c>
      <c r="AX233" s="155" cm="1">
        <f t="array" ref="AX233">_xlfn.IFS($AQ233=$AP$1,$AQ$1*AK233,$AQ233=$AP$2,$AQ$2*AK233,$AQ233=$AP$3,$AQ$3*AK233,$AQ233=$AP$4,$AQ$4*AK233)</f>
        <v>449.75952007153046</v>
      </c>
      <c r="AY233" s="155" cm="1">
        <f t="array" ref="AY233">_xlfn.IFS($AQ233=$AP$1,$AQ$1*AL233,$AQ233=$AP$2,$AQ$2*AL233,$AQ233=$AP$3,$AQ$3*AL233,$AQ233=$AP$4,$AQ$4*AL233)</f>
        <v>459.20446999303255</v>
      </c>
      <c r="AZ233" s="155" cm="1">
        <f t="array" ref="AZ233">_xlfn.IFS($AQ233=$AP$1,$AQ$1*AM233,$AQ233=$AP$2,$AQ$2*AM233,$AQ233=$AP$3,$AQ$3*AM233,$AQ233=$AP$4,$AQ$4*AM233)</f>
        <v>468.8477638628861</v>
      </c>
      <c r="BA233" s="155" cm="1">
        <f t="array" ref="BA233">_xlfn.IFS($AQ233=$AP$1,$AQ$1*AN233,$AQ233=$AP$2,$AQ$2*AN233,$AQ233=$AP$3,$AQ$3*AN233,$AQ233=$AP$4,$AQ$4*AN233)</f>
        <v>478.69356690400667</v>
      </c>
      <c r="BB233" s="155">
        <f>Table2[[#This Row],[FINAL Project System Capacity (MW)]]</f>
        <v>57.6</v>
      </c>
      <c r="BC233" s="155" t="str">
        <f>Table2[[#This Row],[FN Parent  '#]]</f>
        <v>FN011996</v>
      </c>
      <c r="BD233" s="155">
        <f t="shared" si="89"/>
        <v>57.6</v>
      </c>
      <c r="BE233" s="155">
        <f t="shared" si="90"/>
        <v>57.6</v>
      </c>
      <c r="BF233" s="155">
        <f t="shared" si="91"/>
        <v>0.29435970230264158</v>
      </c>
      <c r="BG233" s="155">
        <f t="shared" si="92"/>
        <v>0.90162376815299095</v>
      </c>
      <c r="BH233" s="155">
        <f t="shared" si="93"/>
        <v>4.7562156476350514</v>
      </c>
      <c r="BI233" s="155">
        <f t="shared" si="94"/>
        <v>7.3363603522695913</v>
      </c>
      <c r="BJ233" s="155">
        <f t="shared" si="95"/>
        <v>7.4904239196672524</v>
      </c>
      <c r="BK233" s="155">
        <f t="shared" si="96"/>
        <v>7.6477228219802633</v>
      </c>
      <c r="BL233" s="155">
        <f t="shared" si="97"/>
        <v>7.8083250012418484</v>
      </c>
      <c r="BM233" s="155">
        <f t="shared" si="98"/>
        <v>7.9722998262679257</v>
      </c>
      <c r="BN233" s="155">
        <f t="shared" si="99"/>
        <v>8.1397181226195503</v>
      </c>
      <c r="BO233" s="155">
        <f t="shared" si="100"/>
        <v>8.3106522031945609</v>
      </c>
      <c r="BP233" s="155">
        <f t="shared" si="101"/>
        <v>5.5808486521581546</v>
      </c>
    </row>
    <row r="234" spans="1:68">
      <c r="A234" s="155" t="s">
        <v>354</v>
      </c>
      <c r="B234" s="155" t="s">
        <v>1262</v>
      </c>
      <c r="C234" s="155" t="s">
        <v>207</v>
      </c>
      <c r="D234" s="155">
        <v>57.6</v>
      </c>
      <c r="E234" s="189">
        <v>0</v>
      </c>
      <c r="F234" s="67">
        <v>390</v>
      </c>
      <c r="G234" s="67">
        <v>950</v>
      </c>
      <c r="H234" s="67">
        <v>3400</v>
      </c>
      <c r="I234" s="67">
        <v>0</v>
      </c>
      <c r="J234" s="67">
        <v>0</v>
      </c>
      <c r="K234" s="67">
        <v>0</v>
      </c>
      <c r="L234" s="67">
        <v>0</v>
      </c>
      <c r="M234" s="67">
        <v>0</v>
      </c>
      <c r="N234" s="67">
        <v>0</v>
      </c>
      <c r="O234" s="67">
        <v>0</v>
      </c>
      <c r="Q234" s="201" t="s">
        <v>354</v>
      </c>
      <c r="R234" s="201" t="s">
        <v>1262</v>
      </c>
      <c r="S234" s="201" t="s">
        <v>207</v>
      </c>
      <c r="T234" s="76">
        <f>SUM($E234:F234)</f>
        <v>390</v>
      </c>
      <c r="U234" s="76">
        <f>SUM($E234:G234)</f>
        <v>1340</v>
      </c>
      <c r="V234" s="76">
        <f>SUM($E234:H234)</f>
        <v>4740</v>
      </c>
      <c r="W234" s="76">
        <f>SUM($E234:I234)</f>
        <v>4740</v>
      </c>
      <c r="X234" s="76">
        <f>SUM($E234:J234)</f>
        <v>4740</v>
      </c>
      <c r="Y234" s="76">
        <f>SUM($E234:K234)</f>
        <v>4740</v>
      </c>
      <c r="Z234" s="76">
        <f>SUM($E234:L234)</f>
        <v>4740</v>
      </c>
      <c r="AA234" s="76">
        <f>SUM($E234:M234)</f>
        <v>4740</v>
      </c>
      <c r="AB234" s="76">
        <f>SUM($E234:N234)</f>
        <v>4740</v>
      </c>
      <c r="AC234" s="76">
        <f>SUM($E234:O234)</f>
        <v>4740</v>
      </c>
      <c r="AE234" s="76">
        <f t="shared" si="79"/>
        <v>390</v>
      </c>
      <c r="AF234" s="76">
        <f t="shared" si="80"/>
        <v>1368.1399999999999</v>
      </c>
      <c r="AG234" s="76">
        <f t="shared" si="81"/>
        <v>4941.1703399999988</v>
      </c>
      <c r="AH234" s="76">
        <f t="shared" si="82"/>
        <v>5044.9349171399981</v>
      </c>
      <c r="AI234" s="76">
        <f t="shared" si="83"/>
        <v>5150.878550399937</v>
      </c>
      <c r="AJ234" s="76">
        <f t="shared" si="84"/>
        <v>5259.0469999583356</v>
      </c>
      <c r="AK234" s="76">
        <f t="shared" si="85"/>
        <v>5369.4869869574604</v>
      </c>
      <c r="AL234" s="76">
        <f t="shared" si="86"/>
        <v>5482.2462136835666</v>
      </c>
      <c r="AM234" s="76">
        <f t="shared" si="87"/>
        <v>5597.37338417092</v>
      </c>
      <c r="AN234" s="76">
        <f t="shared" si="88"/>
        <v>5714.9182252385081</v>
      </c>
      <c r="AP234" s="201" t="s">
        <v>354</v>
      </c>
      <c r="AQ234" s="201" t="s">
        <v>207</v>
      </c>
      <c r="AR234" s="155" cm="1">
        <f t="array" ref="AR234">_xlfn.IFS($AQ234=$AP$1,$AQ$1*AE234,$AQ234=$AP$2,$AQ$2*AE234,$AQ234=$AP$3,$AQ$3*AE234,$AQ234=$AP$4,$AQ$4*AE234)</f>
        <v>31.430914270227479</v>
      </c>
      <c r="AS234" s="155" cm="1">
        <f t="array" ref="AS234">_xlfn.IFS($AQ234=$AP$1,$AQ$1*AF234,$AQ234=$AP$2,$AQ$2*AF234,$AQ234=$AP$3,$AQ$3*AF234,$AQ234=$AP$4,$AQ$4*AF234)</f>
        <v>110.26125910171542</v>
      </c>
      <c r="AT234" s="155" cm="1">
        <f t="array" ref="AT234">_xlfn.IFS($AQ234=$AP$1,$AQ$1*AG234,$AQ234=$AP$2,$AQ$2*AG234,$AQ234=$AP$3,$AQ$3*AG234,$AQ234=$AP$4,$AQ$4*AG234)</f>
        <v>398.21923423366849</v>
      </c>
      <c r="AU234" s="155" cm="1">
        <f t="array" ref="AU234">_xlfn.IFS($AQ234=$AP$1,$AQ$1*AH234,$AQ234=$AP$2,$AQ$2*AH234,$AQ234=$AP$3,$AQ$3*AH234,$AQ234=$AP$4,$AQ$4*AH234)</f>
        <v>406.58183815257553</v>
      </c>
      <c r="AV234" s="155" cm="1">
        <f t="array" ref="AV234">_xlfn.IFS($AQ234=$AP$1,$AQ$1*AI234,$AQ234=$AP$2,$AQ$2*AI234,$AQ234=$AP$3,$AQ$3*AI234,$AQ234=$AP$4,$AQ$4*AI234)</f>
        <v>415.12005675377952</v>
      </c>
      <c r="AW234" s="155" cm="1">
        <f t="array" ref="AW234">_xlfn.IFS($AQ234=$AP$1,$AQ$1*AJ234,$AQ234=$AP$2,$AQ$2*AJ234,$AQ234=$AP$3,$AQ$3*AJ234,$AQ234=$AP$4,$AQ$4*AJ234)</f>
        <v>423.83757794560887</v>
      </c>
      <c r="AX234" s="155" cm="1">
        <f t="array" ref="AX234">_xlfn.IFS($AQ234=$AP$1,$AQ$1*AK234,$AQ234=$AP$2,$AQ$2*AK234,$AQ234=$AP$3,$AQ$3*AK234,$AQ234=$AP$4,$AQ$4*AK234)</f>
        <v>432.73816708246665</v>
      </c>
      <c r="AY234" s="155" cm="1">
        <f t="array" ref="AY234">_xlfn.IFS($AQ234=$AP$1,$AQ$1*AL234,$AQ234=$AP$2,$AQ$2*AL234,$AQ234=$AP$3,$AQ$3*AL234,$AQ234=$AP$4,$AQ$4*AL234)</f>
        <v>441.82566859119839</v>
      </c>
      <c r="AZ234" s="155" cm="1">
        <f t="array" ref="AZ234">_xlfn.IFS($AQ234=$AP$1,$AQ$1*AM234,$AQ234=$AP$2,$AQ$2*AM234,$AQ234=$AP$3,$AQ$3*AM234,$AQ234=$AP$4,$AQ$4*AM234)</f>
        <v>451.10400763161346</v>
      </c>
      <c r="BA234" s="155" cm="1">
        <f t="array" ref="BA234">_xlfn.IFS($AQ234=$AP$1,$AQ$1*AN234,$AQ234=$AP$2,$AQ$2*AN234,$AQ234=$AP$3,$AQ$3*AN234,$AQ234=$AP$4,$AQ$4*AN234)</f>
        <v>460.57719179187723</v>
      </c>
      <c r="BB234" s="155">
        <f>Table2[[#This Row],[FINAL Project System Capacity (MW)]]</f>
        <v>57.6</v>
      </c>
      <c r="BC234" s="155" t="str">
        <f>Table2[[#This Row],[FN Parent  '#]]</f>
        <v>FN011996</v>
      </c>
      <c r="BD234" s="155">
        <f t="shared" si="89"/>
        <v>57.6</v>
      </c>
      <c r="BF234" s="155">
        <f t="shared" si="91"/>
        <v>0.54567559496922702</v>
      </c>
      <c r="BG234" s="155">
        <f t="shared" si="92"/>
        <v>1.9142579705158926</v>
      </c>
      <c r="BH234" s="155">
        <f t="shared" si="93"/>
        <v>6.9135283721122995</v>
      </c>
      <c r="BI234" s="155">
        <f t="shared" si="94"/>
        <v>7.0587124679266582</v>
      </c>
      <c r="BJ234" s="155">
        <f t="shared" si="95"/>
        <v>7.2069454297531168</v>
      </c>
      <c r="BK234" s="155">
        <f t="shared" si="96"/>
        <v>7.3582912837779313</v>
      </c>
      <c r="BL234" s="155">
        <f t="shared" si="97"/>
        <v>7.5128154007372681</v>
      </c>
      <c r="BM234" s="155">
        <f t="shared" si="98"/>
        <v>7.6705845241527495</v>
      </c>
      <c r="BN234" s="155">
        <f t="shared" si="99"/>
        <v>7.8316667991599553</v>
      </c>
      <c r="BO234" s="155">
        <f t="shared" si="100"/>
        <v>7.9961318019423127</v>
      </c>
      <c r="BP234" s="155">
        <f t="shared" si="101"/>
        <v>5.8051060932893801</v>
      </c>
    </row>
    <row r="235" spans="1:68">
      <c r="A235" s="155" t="s">
        <v>355</v>
      </c>
      <c r="B235" s="155" t="s">
        <v>1312</v>
      </c>
      <c r="C235" s="155" t="s">
        <v>208</v>
      </c>
      <c r="D235" s="155">
        <v>48.2</v>
      </c>
      <c r="E235" s="189">
        <v>0</v>
      </c>
      <c r="F235" s="67">
        <v>0</v>
      </c>
      <c r="G235" s="67">
        <v>0</v>
      </c>
      <c r="H235" s="67">
        <v>0</v>
      </c>
      <c r="I235" s="67">
        <v>500</v>
      </c>
      <c r="J235" s="67">
        <v>3647</v>
      </c>
      <c r="K235" s="67">
        <v>6093</v>
      </c>
      <c r="L235" s="67">
        <v>6093</v>
      </c>
      <c r="M235" s="67">
        <v>6093</v>
      </c>
      <c r="N235" s="67">
        <v>6093</v>
      </c>
      <c r="O235" s="67">
        <v>2730</v>
      </c>
      <c r="Q235" s="202" t="s">
        <v>355</v>
      </c>
      <c r="R235" s="202" t="s">
        <v>1312</v>
      </c>
      <c r="S235" s="202" t="s">
        <v>208</v>
      </c>
      <c r="T235" s="76">
        <f>SUM($E235:F235)</f>
        <v>0</v>
      </c>
      <c r="U235" s="76">
        <f>SUM($E235:G235)</f>
        <v>0</v>
      </c>
      <c r="V235" s="76">
        <f>SUM($E235:H235)</f>
        <v>0</v>
      </c>
      <c r="W235" s="76">
        <f>SUM($E235:I235)</f>
        <v>500</v>
      </c>
      <c r="X235" s="76">
        <f>SUM($E235:J235)</f>
        <v>4147</v>
      </c>
      <c r="Y235" s="76">
        <f>SUM($E235:K235)</f>
        <v>10240</v>
      </c>
      <c r="Z235" s="76">
        <f>SUM($E235:L235)</f>
        <v>16333</v>
      </c>
      <c r="AA235" s="76">
        <f>SUM($E235:M235)</f>
        <v>22426</v>
      </c>
      <c r="AB235" s="76">
        <f>SUM($E235:N235)</f>
        <v>28519</v>
      </c>
      <c r="AC235" s="76">
        <f>SUM($E235:O235)</f>
        <v>31249</v>
      </c>
      <c r="AE235" s="76">
        <f t="shared" si="79"/>
        <v>0</v>
      </c>
      <c r="AF235" s="76">
        <f t="shared" si="80"/>
        <v>0</v>
      </c>
      <c r="AG235" s="76">
        <f t="shared" si="81"/>
        <v>0</v>
      </c>
      <c r="AH235" s="76">
        <f t="shared" si="82"/>
        <v>532.16613049999978</v>
      </c>
      <c r="AI235" s="76">
        <f t="shared" si="83"/>
        <v>4506.4753899807047</v>
      </c>
      <c r="AJ235" s="76">
        <f t="shared" si="84"/>
        <v>11361.316725648387</v>
      </c>
      <c r="AK235" s="76">
        <f t="shared" si="85"/>
        <v>18502.07404176713</v>
      </c>
      <c r="AL235" s="76">
        <f t="shared" si="86"/>
        <v>25937.732824486848</v>
      </c>
      <c r="AM235" s="76">
        <f t="shared" si="87"/>
        <v>33677.529861428367</v>
      </c>
      <c r="AN235" s="76">
        <f t="shared" si="88"/>
        <v>37676.261523307629</v>
      </c>
      <c r="AP235" s="202" t="s">
        <v>355</v>
      </c>
      <c r="AQ235" s="202" t="s">
        <v>208</v>
      </c>
      <c r="AR235" s="155" cm="1">
        <f t="array" ref="AR235">_xlfn.IFS($AQ235=$AP$1,$AQ$1*AE235,$AQ235=$AP$2,$AQ$2*AE235,$AQ235=$AP$3,$AQ$3*AE235,$AQ235=$AP$4,$AQ$4*AE235)</f>
        <v>0</v>
      </c>
      <c r="AS235" s="155" cm="1">
        <f t="array" ref="AS235">_xlfn.IFS($AQ235=$AP$1,$AQ$1*AF235,$AQ235=$AP$2,$AQ$2*AF235,$AQ235=$AP$3,$AQ$3*AF235,$AQ235=$AP$4,$AQ$4*AF235)</f>
        <v>0</v>
      </c>
      <c r="AT235" s="155" cm="1">
        <f t="array" ref="AT235">_xlfn.IFS($AQ235=$AP$1,$AQ$1*AG235,$AQ235=$AP$2,$AQ$2*AG235,$AQ235=$AP$3,$AQ$3*AG235,$AQ235=$AP$4,$AQ$4*AG235)</f>
        <v>0</v>
      </c>
      <c r="AU235" s="155" cm="1">
        <f t="array" ref="AU235">_xlfn.IFS($AQ235=$AP$1,$AQ$1*AH235,$AQ235=$AP$2,$AQ$2*AH235,$AQ235=$AP$3,$AQ$3*AH235,$AQ235=$AP$4,$AQ$4*AH235)</f>
        <v>75.191166599773751</v>
      </c>
      <c r="AV235" s="155" cm="1">
        <f t="array" ref="AV235">_xlfn.IFS($AQ235=$AP$1,$AQ$1*AI235,$AQ235=$AP$2,$AQ$2*AI235,$AQ235=$AP$3,$AQ$3*AI235,$AQ235=$AP$4,$AQ$4*AI235)</f>
        <v>636.73188202987239</v>
      </c>
      <c r="AW235" s="155" cm="1">
        <f t="array" ref="AW235">_xlfn.IFS($AQ235=$AP$1,$AQ$1*AJ235,$AQ235=$AP$2,$AQ$2*AJ235,$AQ235=$AP$3,$AQ$3*AJ235,$AQ235=$AP$4,$AQ$4*AJ235)</f>
        <v>1605.2706283813832</v>
      </c>
      <c r="AX235" s="155" cm="1">
        <f t="array" ref="AX235">_xlfn.IFS($AQ235=$AP$1,$AQ$1*AK235,$AQ235=$AP$2,$AQ$2*AK235,$AQ235=$AP$3,$AQ$3*AK235,$AQ235=$AP$4,$AQ$4*AK235)</f>
        <v>2614.2072033196823</v>
      </c>
      <c r="AY235" s="155" cm="1">
        <f t="array" ref="AY235">_xlfn.IFS($AQ235=$AP$1,$AQ$1*AL235,$AQ235=$AP$2,$AQ$2*AL235,$AQ235=$AP$3,$AQ$3*AL235,$AQ235=$AP$4,$AQ$4*AL235)</f>
        <v>3664.8111900582735</v>
      </c>
      <c r="AZ235" s="155" cm="1">
        <f t="array" ref="AZ235">_xlfn.IFS($AQ235=$AP$1,$AQ$1*AM235,$AQ235=$AP$2,$AQ$2*AM235,$AQ235=$AP$3,$AQ$3*AM235,$AQ235=$AP$4,$AQ$4*AM235)</f>
        <v>4758.3876788632206</v>
      </c>
      <c r="BA235" s="155" cm="1">
        <f t="array" ref="BA235">_xlfn.IFS($AQ235=$AP$1,$AQ$1*AN235,$AQ235=$AP$2,$AQ$2*AN235,$AQ235=$AP$3,$AQ$3*AN235,$AQ235=$AP$4,$AQ$4*AN235)</f>
        <v>5323.3791004211052</v>
      </c>
      <c r="BB235" s="155">
        <f>Table2[[#This Row],[FINAL Project System Capacity (MW)]]</f>
        <v>48.2</v>
      </c>
      <c r="BC235" s="155" t="str">
        <f>Table2[[#This Row],[FN Parent  '#]]</f>
        <v>FN013976</v>
      </c>
      <c r="BD235" s="155">
        <f t="shared" si="89"/>
        <v>48.2</v>
      </c>
      <c r="BE235" s="155">
        <f t="shared" si="90"/>
        <v>48.2</v>
      </c>
      <c r="BF235" s="155">
        <f t="shared" si="91"/>
        <v>0</v>
      </c>
      <c r="BG235" s="155">
        <f t="shared" si="92"/>
        <v>0</v>
      </c>
      <c r="BH235" s="155">
        <f t="shared" si="93"/>
        <v>0</v>
      </c>
      <c r="BI235" s="155">
        <f t="shared" si="94"/>
        <v>1.5599827095388745</v>
      </c>
      <c r="BJ235" s="155">
        <f t="shared" si="95"/>
        <v>13.210205021366646</v>
      </c>
      <c r="BK235" s="155">
        <f t="shared" si="96"/>
        <v>33.304369883431185</v>
      </c>
      <c r="BL235" s="155">
        <f t="shared" si="97"/>
        <v>54.23666396928801</v>
      </c>
      <c r="BM235" s="155">
        <f t="shared" si="98"/>
        <v>76.033427179632227</v>
      </c>
      <c r="BN235" s="155">
        <f t="shared" si="99"/>
        <v>98.721736076000425</v>
      </c>
      <c r="BO235" s="155">
        <f t="shared" si="100"/>
        <v>110.44354980126774</v>
      </c>
      <c r="BP235" s="155">
        <f t="shared" si="101"/>
        <v>31.544815611729163</v>
      </c>
    </row>
    <row r="236" spans="1:68">
      <c r="A236" s="155" t="s">
        <v>355</v>
      </c>
      <c r="B236" s="155" t="s">
        <v>1312</v>
      </c>
      <c r="C236" s="155" t="s">
        <v>207</v>
      </c>
      <c r="D236" s="155">
        <v>48.2</v>
      </c>
      <c r="E236" s="189">
        <v>0</v>
      </c>
      <c r="F236" s="67">
        <v>0</v>
      </c>
      <c r="G236" s="67">
        <v>0</v>
      </c>
      <c r="H236" s="67">
        <v>0</v>
      </c>
      <c r="I236" s="67">
        <v>120</v>
      </c>
      <c r="J236" s="67">
        <v>1220</v>
      </c>
      <c r="K236" s="67">
        <v>580</v>
      </c>
      <c r="L236" s="67">
        <v>1047</v>
      </c>
      <c r="M236" s="67">
        <v>5580</v>
      </c>
      <c r="N236" s="67">
        <v>5580</v>
      </c>
      <c r="O236" s="67">
        <v>3000</v>
      </c>
      <c r="Q236" s="201" t="s">
        <v>355</v>
      </c>
      <c r="R236" s="201" t="s">
        <v>1312</v>
      </c>
      <c r="S236" s="201" t="s">
        <v>207</v>
      </c>
      <c r="T236" s="76">
        <f>SUM($E236:F236)</f>
        <v>0</v>
      </c>
      <c r="U236" s="76">
        <f>SUM($E236:G236)</f>
        <v>0</v>
      </c>
      <c r="V236" s="76">
        <f>SUM($E236:H236)</f>
        <v>0</v>
      </c>
      <c r="W236" s="76">
        <f>SUM($E236:I236)</f>
        <v>120</v>
      </c>
      <c r="X236" s="76">
        <f>SUM($E236:J236)</f>
        <v>1340</v>
      </c>
      <c r="Y236" s="76">
        <f>SUM($E236:K236)</f>
        <v>1920</v>
      </c>
      <c r="Z236" s="76">
        <f>SUM($E236:L236)</f>
        <v>2967</v>
      </c>
      <c r="AA236" s="76">
        <f>SUM($E236:M236)</f>
        <v>8547</v>
      </c>
      <c r="AB236" s="76">
        <f>SUM($E236:N236)</f>
        <v>14127</v>
      </c>
      <c r="AC236" s="76">
        <f>SUM($E236:O236)</f>
        <v>17127</v>
      </c>
      <c r="AE236" s="76">
        <f t="shared" si="79"/>
        <v>0</v>
      </c>
      <c r="AF236" s="76">
        <f t="shared" si="80"/>
        <v>0</v>
      </c>
      <c r="AG236" s="76">
        <f t="shared" si="81"/>
        <v>0</v>
      </c>
      <c r="AH236" s="76">
        <f t="shared" si="82"/>
        <v>127.71987131999995</v>
      </c>
      <c r="AI236" s="76">
        <f t="shared" si="83"/>
        <v>1456.1555395645394</v>
      </c>
      <c r="AJ236" s="76">
        <f t="shared" si="84"/>
        <v>2130.2468860590725</v>
      </c>
      <c r="AK236" s="76">
        <f t="shared" si="85"/>
        <v>3361.0269810765367</v>
      </c>
      <c r="AL236" s="76">
        <f t="shared" si="86"/>
        <v>9885.3920650534692</v>
      </c>
      <c r="AM236" s="76">
        <f t="shared" si="87"/>
        <v>16682.298269658775</v>
      </c>
      <c r="AN236" s="76">
        <f t="shared" si="88"/>
        <v>20649.663384738382</v>
      </c>
      <c r="AP236" s="201" t="s">
        <v>355</v>
      </c>
      <c r="AQ236" s="201" t="s">
        <v>207</v>
      </c>
      <c r="AR236" s="155" cm="1">
        <f t="array" ref="AR236">_xlfn.IFS($AQ236=$AP$1,$AQ$1*AE236,$AQ236=$AP$2,$AQ$2*AE236,$AQ236=$AP$3,$AQ$3*AE236,$AQ236=$AP$4,$AQ$4*AE236)</f>
        <v>0</v>
      </c>
      <c r="AS236" s="155" cm="1">
        <f t="array" ref="AS236">_xlfn.IFS($AQ236=$AP$1,$AQ$1*AF236,$AQ236=$AP$2,$AQ$2*AF236,$AQ236=$AP$3,$AQ$3*AF236,$AQ236=$AP$4,$AQ$4*AF236)</f>
        <v>0</v>
      </c>
      <c r="AT236" s="155" cm="1">
        <f t="array" ref="AT236">_xlfn.IFS($AQ236=$AP$1,$AQ$1*AG236,$AQ236=$AP$2,$AQ$2*AG236,$AQ236=$AP$3,$AQ$3*AG236,$AQ236=$AP$4,$AQ$4*AG236)</f>
        <v>0</v>
      </c>
      <c r="AU236" s="155" cm="1">
        <f t="array" ref="AU236">_xlfn.IFS($AQ236=$AP$1,$AQ$1*AH236,$AQ236=$AP$2,$AQ$2*AH236,$AQ236=$AP$3,$AQ$3*AH236,$AQ236=$AP$4,$AQ$4*AH236)</f>
        <v>10.293211092470266</v>
      </c>
      <c r="AV236" s="155" cm="1">
        <f t="array" ref="AV236">_xlfn.IFS($AQ236=$AP$1,$AQ$1*AI236,$AQ236=$AP$2,$AQ$2*AI236,$AQ236=$AP$3,$AQ$3*AI236,$AQ236=$AP$4,$AQ$4*AI236)</f>
        <v>117.35461520043557</v>
      </c>
      <c r="AW236" s="155" cm="1">
        <f t="array" ref="AW236">_xlfn.IFS($AQ236=$AP$1,$AQ$1*AJ236,$AQ236=$AP$2,$AQ$2*AJ236,$AQ236=$AP$3,$AQ$3*AJ236,$AQ236=$AP$4,$AQ$4*AJ236)</f>
        <v>171.68104423113269</v>
      </c>
      <c r="AX236" s="155" cm="1">
        <f t="array" ref="AX236">_xlfn.IFS($AQ236=$AP$1,$AQ$1*AK236,$AQ236=$AP$2,$AQ$2*AK236,$AQ236=$AP$3,$AQ$3*AK236,$AQ236=$AP$4,$AQ$4*AK236)</f>
        <v>270.8721818003541</v>
      </c>
      <c r="AY236" s="155" cm="1">
        <f t="array" ref="AY236">_xlfn.IFS($AQ236=$AP$1,$AQ$1*AL236,$AQ236=$AP$2,$AQ$2*AL236,$AQ236=$AP$3,$AQ$3*AL236,$AQ236=$AP$4,$AQ$4*AL236)</f>
        <v>796.68438595969883</v>
      </c>
      <c r="AZ236" s="155" cm="1">
        <f t="array" ref="AZ236">_xlfn.IFS($AQ236=$AP$1,$AQ$1*AM236,$AQ236=$AP$2,$AQ$2*AM236,$AQ236=$AP$3,$AQ$3*AM236,$AQ236=$AP$4,$AQ$4*AM236)</f>
        <v>1344.4612480615619</v>
      </c>
      <c r="BA236" s="155" cm="1">
        <f t="array" ref="BA236">_xlfn.IFS($AQ236=$AP$1,$AQ$1*AN236,$AQ236=$AP$2,$AQ$2*AN236,$AQ236=$AP$3,$AQ$3*AN236,$AQ236=$AP$4,$AQ$4*AN236)</f>
        <v>1664.1994860378652</v>
      </c>
      <c r="BB236" s="155">
        <f>Table2[[#This Row],[FINAL Project System Capacity (MW)]]</f>
        <v>48.2</v>
      </c>
      <c r="BC236" s="155" t="str">
        <f>Table2[[#This Row],[FN Parent  '#]]</f>
        <v>FN013976</v>
      </c>
      <c r="BD236" s="155">
        <f t="shared" si="89"/>
        <v>48.2</v>
      </c>
      <c r="BF236" s="155">
        <f t="shared" si="91"/>
        <v>0</v>
      </c>
      <c r="BG236" s="155">
        <f t="shared" si="92"/>
        <v>0</v>
      </c>
      <c r="BH236" s="155">
        <f t="shared" si="93"/>
        <v>0</v>
      </c>
      <c r="BI236" s="155">
        <f t="shared" si="94"/>
        <v>0.21355209735415487</v>
      </c>
      <c r="BJ236" s="155">
        <f t="shared" si="95"/>
        <v>2.4347430539509456</v>
      </c>
      <c r="BK236" s="155">
        <f t="shared" si="96"/>
        <v>3.5618473906874</v>
      </c>
      <c r="BL236" s="155">
        <f t="shared" si="97"/>
        <v>5.6197548091359772</v>
      </c>
      <c r="BM236" s="155">
        <f t="shared" si="98"/>
        <v>16.528721700408688</v>
      </c>
      <c r="BN236" s="155">
        <f t="shared" si="99"/>
        <v>27.893386889244024</v>
      </c>
      <c r="BO236" s="155">
        <f t="shared" si="100"/>
        <v>34.526960291242013</v>
      </c>
      <c r="BP236" s="155">
        <f t="shared" si="101"/>
        <v>7.1681462214863467</v>
      </c>
    </row>
    <row r="237" spans="1:68">
      <c r="A237" s="155" t="s">
        <v>356</v>
      </c>
      <c r="B237" s="155" t="s">
        <v>1345</v>
      </c>
      <c r="C237" s="155" t="s">
        <v>207</v>
      </c>
      <c r="D237" s="155">
        <v>15</v>
      </c>
      <c r="E237" s="189">
        <v>0</v>
      </c>
      <c r="F237" s="67">
        <v>0</v>
      </c>
      <c r="G237" s="67">
        <v>0</v>
      </c>
      <c r="H237" s="67">
        <v>0</v>
      </c>
      <c r="I237" s="67">
        <v>110.25</v>
      </c>
      <c r="J237" s="67">
        <v>1466.325</v>
      </c>
      <c r="K237" s="67">
        <v>529.20000000000005</v>
      </c>
      <c r="L237" s="67">
        <v>1479.2629999999999</v>
      </c>
      <c r="M237" s="67">
        <v>10739.254000000001</v>
      </c>
      <c r="N237" s="67">
        <v>10739.254000000001</v>
      </c>
      <c r="O237" s="67">
        <v>6495.516999999998</v>
      </c>
      <c r="Q237" s="202" t="s">
        <v>356</v>
      </c>
      <c r="R237" s="202" t="s">
        <v>1345</v>
      </c>
      <c r="S237" s="202" t="s">
        <v>207</v>
      </c>
      <c r="T237" s="76">
        <f>SUM($E237:F237)</f>
        <v>0</v>
      </c>
      <c r="U237" s="76">
        <f>SUM($E237:G237)</f>
        <v>0</v>
      </c>
      <c r="V237" s="76">
        <f>SUM($E237:H237)</f>
        <v>0</v>
      </c>
      <c r="W237" s="76">
        <f>SUM($E237:I237)</f>
        <v>110.25</v>
      </c>
      <c r="X237" s="76">
        <f>SUM($E237:J237)</f>
        <v>1576.575</v>
      </c>
      <c r="Y237" s="76">
        <f>SUM($E237:K237)</f>
        <v>2105.7750000000001</v>
      </c>
      <c r="Z237" s="76">
        <f>SUM($E237:L237)</f>
        <v>3585.038</v>
      </c>
      <c r="AA237" s="76">
        <f>SUM($E237:M237)</f>
        <v>14324.292000000001</v>
      </c>
      <c r="AB237" s="76">
        <f>SUM($E237:N237)</f>
        <v>25063.546000000002</v>
      </c>
      <c r="AC237" s="76">
        <f>SUM($E237:O237)</f>
        <v>31559.063000000002</v>
      </c>
      <c r="AE237" s="76">
        <f t="shared" si="79"/>
        <v>0</v>
      </c>
      <c r="AF237" s="76">
        <f t="shared" si="80"/>
        <v>0</v>
      </c>
      <c r="AG237" s="76">
        <f t="shared" si="81"/>
        <v>0</v>
      </c>
      <c r="AH237" s="76">
        <f t="shared" si="82"/>
        <v>117.34263177524997</v>
      </c>
      <c r="AI237" s="76">
        <f t="shared" si="83"/>
        <v>1713.2376267081818</v>
      </c>
      <c r="AJ237" s="76">
        <f t="shared" si="84"/>
        <v>2336.3649148390855</v>
      </c>
      <c r="AK237" s="76">
        <f t="shared" si="85"/>
        <v>4061.1423815924049</v>
      </c>
      <c r="AL237" s="76">
        <f t="shared" si="86"/>
        <v>16567.361936856076</v>
      </c>
      <c r="AM237" s="76">
        <f t="shared" si="87"/>
        <v>29597.051749650534</v>
      </c>
      <c r="AN237" s="76">
        <f t="shared" si="88"/>
        <v>38050.097955727906</v>
      </c>
      <c r="AP237" s="202" t="s">
        <v>356</v>
      </c>
      <c r="AQ237" s="202" t="s">
        <v>207</v>
      </c>
      <c r="AR237" s="155" cm="1">
        <f t="array" ref="AR237">_xlfn.IFS($AQ237=$AP$1,$AQ$1*AE237,$AQ237=$AP$2,$AQ$2*AE237,$AQ237=$AP$3,$AQ$3*AE237,$AQ237=$AP$4,$AQ$4*AE237)</f>
        <v>0</v>
      </c>
      <c r="AS237" s="155" cm="1">
        <f t="array" ref="AS237">_xlfn.IFS($AQ237=$AP$1,$AQ$1*AF237,$AQ237=$AP$2,$AQ$2*AF237,$AQ237=$AP$3,$AQ$3*AF237,$AQ237=$AP$4,$AQ$4*AF237)</f>
        <v>0</v>
      </c>
      <c r="AT237" s="155" cm="1">
        <f t="array" ref="AT237">_xlfn.IFS($AQ237=$AP$1,$AQ$1*AG237,$AQ237=$AP$2,$AQ$2*AG237,$AQ237=$AP$3,$AQ$3*AG237,$AQ237=$AP$4,$AQ$4*AG237)</f>
        <v>0</v>
      </c>
      <c r="AU237" s="155" cm="1">
        <f t="array" ref="AU237">_xlfn.IFS($AQ237=$AP$1,$AQ$1*AH237,$AQ237=$AP$2,$AQ$2*AH237,$AQ237=$AP$3,$AQ$3*AH237,$AQ237=$AP$4,$AQ$4*AH237)</f>
        <v>9.4568876912070579</v>
      </c>
      <c r="AV237" s="155" cm="1">
        <f t="array" ref="AV237">_xlfn.IFS($AQ237=$AP$1,$AQ$1*AI237,$AQ237=$AP$2,$AQ$2*AI237,$AQ237=$AP$3,$AQ$3*AI237,$AQ237=$AP$4,$AQ$4*AI237)</f>
        <v>138.07339735793039</v>
      </c>
      <c r="AW237" s="155" cm="1">
        <f t="array" ref="AW237">_xlfn.IFS($AQ237=$AP$1,$AQ$1*AJ237,$AQ237=$AP$2,$AQ$2*AJ237,$AQ237=$AP$3,$AQ$3*AJ237,$AQ237=$AP$4,$AQ$4*AJ237)</f>
        <v>188.29252651865286</v>
      </c>
      <c r="AX237" s="155" cm="1">
        <f t="array" ref="AX237">_xlfn.IFS($AQ237=$AP$1,$AQ$1*AK237,$AQ237=$AP$2,$AQ$2*AK237,$AQ237=$AP$3,$AQ$3*AK237,$AQ237=$AP$4,$AQ$4*AK237)</f>
        <v>327.29594367953416</v>
      </c>
      <c r="AY237" s="155" cm="1">
        <f t="array" ref="AY237">_xlfn.IFS($AQ237=$AP$1,$AQ$1*AL237,$AQ237=$AP$2,$AQ$2*AL237,$AQ237=$AP$3,$AQ$3*AL237,$AQ237=$AP$4,$AQ$4*AL237)</f>
        <v>1335.1982890285979</v>
      </c>
      <c r="AZ237" s="155" cm="1">
        <f t="array" ref="AZ237">_xlfn.IFS($AQ237=$AP$1,$AQ$1*AM237,$AQ237=$AP$2,$AQ$2*AM237,$AQ237=$AP$3,$AQ$3*AM237,$AQ237=$AP$4,$AQ$4*AM237)</f>
        <v>2385.2881953711594</v>
      </c>
      <c r="BA237" s="155" cm="1">
        <f t="array" ref="BA237">_xlfn.IFS($AQ237=$AP$1,$AQ$1*AN237,$AQ237=$AP$2,$AQ$2*AN237,$AQ237=$AP$3,$AQ$3*AN237,$AQ237=$AP$4,$AQ$4*AN237)</f>
        <v>3066.5368380006194</v>
      </c>
      <c r="BB237" s="155">
        <f>Table2[[#This Row],[FINAL Project System Capacity (MW)]]</f>
        <v>15</v>
      </c>
      <c r="BC237" s="155" t="str">
        <f>Table2[[#This Row],[FN Parent  '#]]</f>
        <v>Individual Project</v>
      </c>
      <c r="BD237" s="155">
        <f t="shared" si="89"/>
        <v>15</v>
      </c>
      <c r="BE237" s="155">
        <f t="shared" si="90"/>
        <v>15</v>
      </c>
      <c r="BF237" s="155">
        <f t="shared" si="91"/>
        <v>0</v>
      </c>
      <c r="BG237" s="155">
        <f t="shared" si="92"/>
        <v>0</v>
      </c>
      <c r="BH237" s="155">
        <f t="shared" si="93"/>
        <v>0</v>
      </c>
      <c r="BI237" s="155">
        <f t="shared" si="94"/>
        <v>0.63045917941380381</v>
      </c>
      <c r="BJ237" s="155">
        <f t="shared" si="95"/>
        <v>9.2048931571953592</v>
      </c>
      <c r="BK237" s="155">
        <f t="shared" si="96"/>
        <v>12.552835101243524</v>
      </c>
      <c r="BL237" s="155">
        <f t="shared" si="97"/>
        <v>21.819729578635609</v>
      </c>
      <c r="BM237" s="155">
        <f t="shared" si="98"/>
        <v>89.013219268573195</v>
      </c>
      <c r="BN237" s="155">
        <f t="shared" si="99"/>
        <v>159.01921302474395</v>
      </c>
      <c r="BO237" s="155">
        <f t="shared" si="100"/>
        <v>204.43578920004128</v>
      </c>
      <c r="BP237" s="155">
        <f t="shared" si="101"/>
        <v>38.801749394052543</v>
      </c>
    </row>
    <row r="238" spans="1:68">
      <c r="A238" s="155" t="s">
        <v>357</v>
      </c>
      <c r="B238" s="155" t="s">
        <v>1288</v>
      </c>
      <c r="C238" s="155" t="s">
        <v>208</v>
      </c>
      <c r="D238" s="155">
        <v>14</v>
      </c>
      <c r="E238" s="189">
        <v>0</v>
      </c>
      <c r="F238" s="67">
        <v>0</v>
      </c>
      <c r="G238" s="67">
        <v>0</v>
      </c>
      <c r="H238" s="67">
        <v>0</v>
      </c>
      <c r="I238" s="67">
        <v>0</v>
      </c>
      <c r="J238" s="67">
        <v>0</v>
      </c>
      <c r="K238" s="67">
        <v>0</v>
      </c>
      <c r="L238" s="67">
        <v>4803</v>
      </c>
      <c r="M238" s="67">
        <v>821.7</v>
      </c>
      <c r="N238" s="67">
        <v>3159.09</v>
      </c>
      <c r="O238" s="67">
        <v>4754.97</v>
      </c>
      <c r="Q238" s="201" t="s">
        <v>357</v>
      </c>
      <c r="R238" s="201" t="s">
        <v>1288</v>
      </c>
      <c r="S238" s="201" t="s">
        <v>208</v>
      </c>
      <c r="T238" s="76">
        <f>SUM($E238:F238)</f>
        <v>0</v>
      </c>
      <c r="U238" s="76">
        <f>SUM($E238:G238)</f>
        <v>0</v>
      </c>
      <c r="V238" s="76">
        <f>SUM($E238:H238)</f>
        <v>0</v>
      </c>
      <c r="W238" s="76">
        <f>SUM($E238:I238)</f>
        <v>0</v>
      </c>
      <c r="X238" s="76">
        <f>SUM($E238:J238)</f>
        <v>0</v>
      </c>
      <c r="Y238" s="76">
        <f>SUM($E238:K238)</f>
        <v>0</v>
      </c>
      <c r="Z238" s="76">
        <f>SUM($E238:L238)</f>
        <v>4803</v>
      </c>
      <c r="AA238" s="76">
        <f>SUM($E238:M238)</f>
        <v>5624.7</v>
      </c>
      <c r="AB238" s="76">
        <f>SUM($E238:N238)</f>
        <v>8783.7900000000009</v>
      </c>
      <c r="AC238" s="76">
        <f>SUM($E238:O238)</f>
        <v>13538.760000000002</v>
      </c>
      <c r="AE238" s="76">
        <f t="shared" si="79"/>
        <v>0</v>
      </c>
      <c r="AF238" s="76">
        <f t="shared" si="80"/>
        <v>0</v>
      </c>
      <c r="AG238" s="76">
        <f t="shared" si="81"/>
        <v>0</v>
      </c>
      <c r="AH238" s="76">
        <f t="shared" si="82"/>
        <v>0</v>
      </c>
      <c r="AI238" s="76">
        <f t="shared" si="83"/>
        <v>0</v>
      </c>
      <c r="AJ238" s="76">
        <f t="shared" si="84"/>
        <v>0</v>
      </c>
      <c r="AK238" s="76">
        <f t="shared" si="85"/>
        <v>5440.8535861511982</v>
      </c>
      <c r="AL238" s="76">
        <f t="shared" si="86"/>
        <v>6505.4831810350115</v>
      </c>
      <c r="AM238" s="76">
        <f t="shared" si="87"/>
        <v>10372.605982731369</v>
      </c>
      <c r="AN238" s="76">
        <f t="shared" si="88"/>
        <v>16323.397947495805</v>
      </c>
      <c r="AP238" s="201" t="s">
        <v>357</v>
      </c>
      <c r="AQ238" s="201" t="s">
        <v>208</v>
      </c>
      <c r="AR238" s="155" cm="1">
        <f t="array" ref="AR238">_xlfn.IFS($AQ238=$AP$1,$AQ$1*AE238,$AQ238=$AP$2,$AQ$2*AE238,$AQ238=$AP$3,$AQ$3*AE238,$AQ238=$AP$4,$AQ$4*AE238)</f>
        <v>0</v>
      </c>
      <c r="AS238" s="155" cm="1">
        <f t="array" ref="AS238">_xlfn.IFS($AQ238=$AP$1,$AQ$1*AF238,$AQ238=$AP$2,$AQ$2*AF238,$AQ238=$AP$3,$AQ$3*AF238,$AQ238=$AP$4,$AQ$4*AF238)</f>
        <v>0</v>
      </c>
      <c r="AT238" s="155" cm="1">
        <f t="array" ref="AT238">_xlfn.IFS($AQ238=$AP$1,$AQ$1*AG238,$AQ238=$AP$2,$AQ$2*AG238,$AQ238=$AP$3,$AQ$3*AG238,$AQ238=$AP$4,$AQ$4*AG238)</f>
        <v>0</v>
      </c>
      <c r="AU238" s="155" cm="1">
        <f t="array" ref="AU238">_xlfn.IFS($AQ238=$AP$1,$AQ$1*AH238,$AQ238=$AP$2,$AQ$2*AH238,$AQ238=$AP$3,$AQ$3*AH238,$AQ238=$AP$4,$AQ$4*AH238)</f>
        <v>0</v>
      </c>
      <c r="AV238" s="155" cm="1">
        <f t="array" ref="AV238">_xlfn.IFS($AQ238=$AP$1,$AQ$1*AI238,$AQ238=$AP$2,$AQ$2*AI238,$AQ238=$AP$3,$AQ$3*AI238,$AQ238=$AP$4,$AQ$4*AI238)</f>
        <v>0</v>
      </c>
      <c r="AW238" s="155" cm="1">
        <f t="array" ref="AW238">_xlfn.IFS($AQ238=$AP$1,$AQ$1*AJ238,$AQ238=$AP$2,$AQ$2*AJ238,$AQ238=$AP$3,$AQ$3*AJ238,$AQ238=$AP$4,$AQ$4*AJ238)</f>
        <v>0</v>
      </c>
      <c r="AX238" s="155" cm="1">
        <f t="array" ref="AX238">_xlfn.IFS($AQ238=$AP$1,$AQ$1*AK238,$AQ238=$AP$2,$AQ$2*AK238,$AQ238=$AP$3,$AQ$3*AK238,$AQ238=$AP$4,$AQ$4*AK238)</f>
        <v>768.75266010802875</v>
      </c>
      <c r="AY238" s="155" cm="1">
        <f t="array" ref="AY238">_xlfn.IFS($AQ238=$AP$1,$AQ$1*AL238,$AQ238=$AP$2,$AQ$2*AL238,$AQ238=$AP$3,$AQ$3*AL238,$AQ238=$AP$4,$AQ$4*AL238)</f>
        <v>919.17700440206761</v>
      </c>
      <c r="AZ238" s="155" cm="1">
        <f t="array" ref="AZ238">_xlfn.IFS($AQ238=$AP$1,$AQ$1*AM238,$AQ238=$AP$2,$AQ$2*AM238,$AQ238=$AP$3,$AQ$3*AM238,$AQ238=$AP$4,$AQ$4*AM238)</f>
        <v>1465.5730604061143</v>
      </c>
      <c r="BA238" s="155" cm="1">
        <f t="array" ref="BA238">_xlfn.IFS($AQ238=$AP$1,$AQ$1*AN238,$AQ238=$AP$2,$AQ$2*AN238,$AQ238=$AP$3,$AQ$3*AN238,$AQ238=$AP$4,$AQ$4*AN238)</f>
        <v>2306.3762689883592</v>
      </c>
      <c r="BB238" s="155">
        <f>Table2[[#This Row],[FINAL Project System Capacity (MW)]]</f>
        <v>14</v>
      </c>
      <c r="BC238" s="155" t="str">
        <f>Table2[[#This Row],[FN Parent  '#]]</f>
        <v>FN012599</v>
      </c>
      <c r="BD238" s="155">
        <f t="shared" si="89"/>
        <v>14</v>
      </c>
      <c r="BE238" s="155">
        <f t="shared" si="90"/>
        <v>14</v>
      </c>
      <c r="BF238" s="155">
        <f t="shared" si="91"/>
        <v>0</v>
      </c>
      <c r="BG238" s="155">
        <f t="shared" si="92"/>
        <v>0</v>
      </c>
      <c r="BH238" s="155">
        <f t="shared" si="93"/>
        <v>0</v>
      </c>
      <c r="BI238" s="155">
        <f t="shared" si="94"/>
        <v>0</v>
      </c>
      <c r="BJ238" s="155">
        <f t="shared" si="95"/>
        <v>0</v>
      </c>
      <c r="BK238" s="155">
        <f t="shared" si="96"/>
        <v>0</v>
      </c>
      <c r="BL238" s="155">
        <f t="shared" si="97"/>
        <v>54.910904293430626</v>
      </c>
      <c r="BM238" s="155">
        <f t="shared" si="98"/>
        <v>65.655500314433397</v>
      </c>
      <c r="BN238" s="155">
        <f t="shared" si="99"/>
        <v>104.68379002900816</v>
      </c>
      <c r="BO238" s="155">
        <f t="shared" si="100"/>
        <v>164.74116207059708</v>
      </c>
      <c r="BP238" s="155">
        <f t="shared" si="101"/>
        <v>30.485683136539279</v>
      </c>
    </row>
    <row r="239" spans="1:68">
      <c r="A239" s="155" t="s">
        <v>358</v>
      </c>
      <c r="B239" s="155" t="s">
        <v>1345</v>
      </c>
      <c r="C239" s="155" t="s">
        <v>208</v>
      </c>
      <c r="D239" s="155">
        <v>0.5</v>
      </c>
      <c r="E239" s="189">
        <v>0</v>
      </c>
      <c r="F239" s="67">
        <v>15</v>
      </c>
      <c r="G239" s="67">
        <v>1184.4559999999999</v>
      </c>
      <c r="H239" s="67">
        <v>0</v>
      </c>
      <c r="I239" s="67">
        <v>0</v>
      </c>
      <c r="J239" s="67">
        <v>0</v>
      </c>
      <c r="K239" s="67">
        <v>0</v>
      </c>
      <c r="L239" s="67">
        <v>0</v>
      </c>
      <c r="M239" s="67">
        <v>0</v>
      </c>
      <c r="N239" s="67">
        <v>0</v>
      </c>
      <c r="O239" s="67">
        <v>0</v>
      </c>
      <c r="Q239" s="202" t="s">
        <v>358</v>
      </c>
      <c r="R239" s="202" t="s">
        <v>1345</v>
      </c>
      <c r="S239" s="202" t="s">
        <v>208</v>
      </c>
      <c r="T239" s="76">
        <f>SUM($E239:F239)</f>
        <v>15</v>
      </c>
      <c r="U239" s="76">
        <f>SUM($E239:G239)</f>
        <v>1199.4559999999999</v>
      </c>
      <c r="V239" s="76">
        <f>SUM($E239:H239)</f>
        <v>1199.4559999999999</v>
      </c>
      <c r="W239" s="76">
        <f>SUM($E239:I239)</f>
        <v>1199.4559999999999</v>
      </c>
      <c r="X239" s="76">
        <f>SUM($E239:J239)</f>
        <v>1199.4559999999999</v>
      </c>
      <c r="Y239" s="76">
        <f>SUM($E239:K239)</f>
        <v>1199.4559999999999</v>
      </c>
      <c r="Z239" s="76">
        <f>SUM($E239:L239)</f>
        <v>1199.4559999999999</v>
      </c>
      <c r="AA239" s="76">
        <f>SUM($E239:M239)</f>
        <v>1199.4559999999999</v>
      </c>
      <c r="AB239" s="76">
        <f>SUM($E239:N239)</f>
        <v>1199.4559999999999</v>
      </c>
      <c r="AC239" s="76">
        <f>SUM($E239:O239)</f>
        <v>1199.4559999999999</v>
      </c>
      <c r="AE239" s="76">
        <f t="shared" si="79"/>
        <v>15</v>
      </c>
      <c r="AF239" s="76">
        <f t="shared" si="80"/>
        <v>1224.6445759999997</v>
      </c>
      <c r="AG239" s="76">
        <f t="shared" si="81"/>
        <v>1250.3621120959995</v>
      </c>
      <c r="AH239" s="76">
        <f t="shared" si="82"/>
        <v>1276.6197164500154</v>
      </c>
      <c r="AI239" s="76">
        <f t="shared" si="83"/>
        <v>1303.4287304954655</v>
      </c>
      <c r="AJ239" s="76">
        <f t="shared" si="84"/>
        <v>1330.8007338358702</v>
      </c>
      <c r="AK239" s="76">
        <f t="shared" si="85"/>
        <v>1358.7475492464234</v>
      </c>
      <c r="AL239" s="76">
        <f t="shared" si="86"/>
        <v>1387.2812477805981</v>
      </c>
      <c r="AM239" s="76">
        <f t="shared" si="87"/>
        <v>1416.4141539839904</v>
      </c>
      <c r="AN239" s="76">
        <f t="shared" si="88"/>
        <v>1446.158851217654</v>
      </c>
      <c r="AP239" s="202" t="s">
        <v>358</v>
      </c>
      <c r="AQ239" s="202" t="s">
        <v>208</v>
      </c>
      <c r="AR239" s="155" cm="1">
        <f t="array" ref="AR239">_xlfn.IFS($AQ239=$AP$1,$AQ$1*AE239,$AQ239=$AP$2,$AQ$2*AE239,$AQ239=$AP$3,$AQ$3*AE239,$AQ239=$AP$4,$AQ$4*AE239)</f>
        <v>2.1193898565790192</v>
      </c>
      <c r="AS239" s="155" cm="1">
        <f t="array" ref="AS239">_xlfn.IFS($AQ239=$AP$1,$AQ$1*AF239,$AQ239=$AP$2,$AQ$2*AF239,$AQ239=$AP$3,$AQ$3*AF239,$AQ239=$AP$4,$AQ$4*AF239)</f>
        <v>173.0332861525942</v>
      </c>
      <c r="AT239" s="155" cm="1">
        <f t="array" ref="AT239">_xlfn.IFS($AQ239=$AP$1,$AQ$1*AG239,$AQ239=$AP$2,$AQ$2*AG239,$AQ239=$AP$3,$AQ$3*AG239,$AQ239=$AP$4,$AQ$4*AG239)</f>
        <v>176.66698516179866</v>
      </c>
      <c r="AU239" s="155" cm="1">
        <f t="array" ref="AU239">_xlfn.IFS($AQ239=$AP$1,$AQ$1*AH239,$AQ239=$AP$2,$AQ$2*AH239,$AQ239=$AP$3,$AQ$3*AH239,$AQ239=$AP$4,$AQ$4*AH239)</f>
        <v>180.37699185019642</v>
      </c>
      <c r="AV239" s="155" cm="1">
        <f t="array" ref="AV239">_xlfn.IFS($AQ239=$AP$1,$AQ$1*AI239,$AQ239=$AP$2,$AQ$2*AI239,$AQ239=$AP$3,$AQ$3*AI239,$AQ239=$AP$4,$AQ$4*AI239)</f>
        <v>184.16490867905051</v>
      </c>
      <c r="AW239" s="155" cm="1">
        <f t="array" ref="AW239">_xlfn.IFS($AQ239=$AP$1,$AQ$1*AJ239,$AQ239=$AP$2,$AQ$2*AJ239,$AQ239=$AP$3,$AQ$3*AJ239,$AQ239=$AP$4,$AQ$4*AJ239)</f>
        <v>188.03237176131057</v>
      </c>
      <c r="AX239" s="155" cm="1">
        <f t="array" ref="AX239">_xlfn.IFS($AQ239=$AP$1,$AQ$1*AK239,$AQ239=$AP$2,$AQ$2*AK239,$AQ239=$AP$3,$AQ$3*AK239,$AQ239=$AP$4,$AQ$4*AK239)</f>
        <v>191.98105156829808</v>
      </c>
      <c r="AY239" s="155" cm="1">
        <f t="array" ref="AY239">_xlfn.IFS($AQ239=$AP$1,$AQ$1*AL239,$AQ239=$AP$2,$AQ$2*AL239,$AQ239=$AP$3,$AQ$3*AL239,$AQ239=$AP$4,$AQ$4*AL239)</f>
        <v>196.01265365123231</v>
      </c>
      <c r="AZ239" s="155" cm="1">
        <f t="array" ref="AZ239">_xlfn.IFS($AQ239=$AP$1,$AQ$1*AM239,$AQ239=$AP$2,$AQ$2*AM239,$AQ239=$AP$3,$AQ$3*AM239,$AQ239=$AP$4,$AQ$4*AM239)</f>
        <v>200.12891937790815</v>
      </c>
      <c r="BA239" s="155" cm="1">
        <f t="array" ref="BA239">_xlfn.IFS($AQ239=$AP$1,$AQ$1*AN239,$AQ239=$AP$2,$AQ$2*AN239,$AQ239=$AP$3,$AQ$3*AN239,$AQ239=$AP$4,$AQ$4*AN239)</f>
        <v>204.3316266848442</v>
      </c>
      <c r="BB239" s="155">
        <f>Table2[[#This Row],[FINAL Project System Capacity (MW)]]</f>
        <v>0.5</v>
      </c>
      <c r="BC239" s="155" t="str">
        <f>Table2[[#This Row],[FN Parent  '#]]</f>
        <v>Individual Project</v>
      </c>
      <c r="BD239" s="155">
        <f t="shared" si="89"/>
        <v>0.5</v>
      </c>
      <c r="BE239" s="155">
        <f t="shared" si="90"/>
        <v>0.5</v>
      </c>
      <c r="BF239" s="155">
        <f t="shared" si="91"/>
        <v>4.2387797131580385</v>
      </c>
      <c r="BG239" s="155">
        <f t="shared" si="92"/>
        <v>346.0665723051884</v>
      </c>
      <c r="BH239" s="155">
        <f t="shared" si="93"/>
        <v>353.33397032359733</v>
      </c>
      <c r="BI239" s="155">
        <f t="shared" si="94"/>
        <v>360.75398370039284</v>
      </c>
      <c r="BJ239" s="155">
        <f t="shared" si="95"/>
        <v>368.32981735810102</v>
      </c>
      <c r="BK239" s="155">
        <f t="shared" si="96"/>
        <v>376.06474352262114</v>
      </c>
      <c r="BL239" s="155">
        <f t="shared" si="97"/>
        <v>383.96210313659617</v>
      </c>
      <c r="BM239" s="155">
        <f t="shared" si="98"/>
        <v>392.02530730246463</v>
      </c>
      <c r="BN239" s="155">
        <f t="shared" si="99"/>
        <v>400.25783875581629</v>
      </c>
      <c r="BO239" s="155">
        <f t="shared" si="100"/>
        <v>408.66325336968839</v>
      </c>
      <c r="BP239" s="155">
        <f t="shared" si="101"/>
        <v>324.31263863424823</v>
      </c>
    </row>
    <row r="240" spans="1:68">
      <c r="A240" s="155" t="s">
        <v>360</v>
      </c>
      <c r="B240" s="155" t="s">
        <v>1198</v>
      </c>
      <c r="C240" s="155" t="s">
        <v>208</v>
      </c>
      <c r="D240" s="155">
        <v>4.0999999999999996</v>
      </c>
      <c r="E240" s="189">
        <v>0</v>
      </c>
      <c r="F240" s="67">
        <v>0</v>
      </c>
      <c r="G240" s="67">
        <v>0</v>
      </c>
      <c r="H240" s="67">
        <v>0</v>
      </c>
      <c r="I240" s="67">
        <v>20</v>
      </c>
      <c r="J240" s="67">
        <v>2000</v>
      </c>
      <c r="K240" s="67">
        <v>2000</v>
      </c>
      <c r="L240" s="67">
        <v>2000</v>
      </c>
      <c r="M240" s="67">
        <v>2000</v>
      </c>
      <c r="N240" s="67">
        <v>2000</v>
      </c>
      <c r="O240" s="67">
        <v>0</v>
      </c>
      <c r="Q240" s="201" t="s">
        <v>360</v>
      </c>
      <c r="R240" s="201" t="s">
        <v>1198</v>
      </c>
      <c r="S240" s="201" t="s">
        <v>208</v>
      </c>
      <c r="T240" s="76">
        <f>SUM($E240:F240)</f>
        <v>0</v>
      </c>
      <c r="U240" s="76">
        <f>SUM($E240:G240)</f>
        <v>0</v>
      </c>
      <c r="V240" s="76">
        <f>SUM($E240:H240)</f>
        <v>0</v>
      </c>
      <c r="W240" s="76">
        <f>SUM($E240:I240)</f>
        <v>20</v>
      </c>
      <c r="X240" s="76">
        <f>SUM($E240:J240)</f>
        <v>2020</v>
      </c>
      <c r="Y240" s="76">
        <f>SUM($E240:K240)</f>
        <v>4020</v>
      </c>
      <c r="Z240" s="76">
        <f>SUM($E240:L240)</f>
        <v>6020</v>
      </c>
      <c r="AA240" s="76">
        <f>SUM($E240:M240)</f>
        <v>8020</v>
      </c>
      <c r="AB240" s="76">
        <f>SUM($E240:N240)</f>
        <v>10020</v>
      </c>
      <c r="AC240" s="76">
        <f>SUM($E240:O240)</f>
        <v>10020</v>
      </c>
      <c r="AE240" s="76">
        <f t="shared" si="79"/>
        <v>0</v>
      </c>
      <c r="AF240" s="76">
        <f t="shared" si="80"/>
        <v>0</v>
      </c>
      <c r="AG240" s="76">
        <f t="shared" si="81"/>
        <v>0</v>
      </c>
      <c r="AH240" s="76">
        <f t="shared" si="82"/>
        <v>21.286645219999993</v>
      </c>
      <c r="AI240" s="76">
        <f t="shared" si="83"/>
        <v>2195.1001417316188</v>
      </c>
      <c r="AJ240" s="76">
        <f t="shared" si="84"/>
        <v>4460.2044176861837</v>
      </c>
      <c r="AK240" s="76">
        <f t="shared" si="85"/>
        <v>6819.4750340683358</v>
      </c>
      <c r="AL240" s="76">
        <f t="shared" si="86"/>
        <v>9275.8680661903381</v>
      </c>
      <c r="AM240" s="76">
        <f t="shared" si="87"/>
        <v>11832.422217171439</v>
      </c>
      <c r="AN240" s="76">
        <f t="shared" si="88"/>
        <v>12080.903083732037</v>
      </c>
      <c r="AP240" s="201" t="s">
        <v>360</v>
      </c>
      <c r="AQ240" s="201" t="s">
        <v>208</v>
      </c>
      <c r="AR240" s="155" cm="1">
        <f t="array" ref="AR240">_xlfn.IFS($AQ240=$AP$1,$AQ$1*AE240,$AQ240=$AP$2,$AQ$2*AE240,$AQ240=$AP$3,$AQ$3*AE240,$AQ240=$AP$4,$AQ$4*AE240)</f>
        <v>0</v>
      </c>
      <c r="AS240" s="155" cm="1">
        <f t="array" ref="AS240">_xlfn.IFS($AQ240=$AP$1,$AQ$1*AF240,$AQ240=$AP$2,$AQ$2*AF240,$AQ240=$AP$3,$AQ$3*AF240,$AQ240=$AP$4,$AQ$4*AF240)</f>
        <v>0</v>
      </c>
      <c r="AT240" s="155" cm="1">
        <f t="array" ref="AT240">_xlfn.IFS($AQ240=$AP$1,$AQ$1*AG240,$AQ240=$AP$2,$AQ$2*AG240,$AQ240=$AP$3,$AQ$3*AG240,$AQ240=$AP$4,$AQ$4*AG240)</f>
        <v>0</v>
      </c>
      <c r="AU240" s="155" cm="1">
        <f t="array" ref="AU240">_xlfn.IFS($AQ240=$AP$1,$AQ$1*AH240,$AQ240=$AP$2,$AQ$2*AH240,$AQ240=$AP$3,$AQ$3*AH240,$AQ240=$AP$4,$AQ$4*AH240)</f>
        <v>3.00764666399095</v>
      </c>
      <c r="AV240" s="155" cm="1">
        <f t="array" ref="AV240">_xlfn.IFS($AQ240=$AP$1,$AQ$1*AI240,$AQ240=$AP$2,$AQ$2*AI240,$AQ240=$AP$3,$AQ$3*AI240,$AQ240=$AP$4,$AQ$4*AI240)</f>
        <v>310.1515316374107</v>
      </c>
      <c r="AW240" s="155" cm="1">
        <f t="array" ref="AW240">_xlfn.IFS($AQ240=$AP$1,$AQ$1*AJ240,$AQ240=$AP$2,$AQ$2*AJ240,$AQ240=$AP$3,$AQ$3*AJ240,$AQ240=$AP$4,$AQ$4*AJ240)</f>
        <v>630.19413340753522</v>
      </c>
      <c r="AX240" s="155" cm="1">
        <f t="array" ref="AX240">_xlfn.IFS($AQ240=$AP$1,$AQ$1*AK240,$AQ240=$AP$2,$AQ$2*AK240,$AQ240=$AP$3,$AQ$3*AK240,$AQ240=$AP$4,$AQ$4*AK240)</f>
        <v>963.54174762655282</v>
      </c>
      <c r="AY240" s="155" cm="1">
        <f t="array" ref="AY240">_xlfn.IFS($AQ240=$AP$1,$AQ$1*AL240,$AQ240=$AP$2,$AQ$2*AL240,$AQ240=$AP$3,$AQ$3*AL240,$AQ240=$AP$4,$AQ$4*AL240)</f>
        <v>1310.6120460299364</v>
      </c>
      <c r="AZ240" s="155" cm="1">
        <f t="array" ref="AZ240">_xlfn.IFS($AQ240=$AP$1,$AQ$1*AM240,$AQ240=$AP$2,$AQ$2*AM240,$AQ240=$AP$3,$AQ$3*AM240,$AQ240=$AP$4,$AQ$4*AM240)</f>
        <v>1671.8343750555584</v>
      </c>
      <c r="BA240" s="155" cm="1">
        <f t="array" ref="BA240">_xlfn.IFS($AQ240=$AP$1,$AQ$1*AN240,$AQ240=$AP$2,$AQ$2*AN240,$AQ240=$AP$3,$AQ$3*AN240,$AQ240=$AP$4,$AQ$4*AN240)</f>
        <v>1706.9428969317248</v>
      </c>
      <c r="BB240" s="155">
        <f>Table2[[#This Row],[FINAL Project System Capacity (MW)]]</f>
        <v>4.0999999999999996</v>
      </c>
      <c r="BC240" s="155" t="str">
        <f>Table2[[#This Row],[FN Parent  '#]]</f>
        <v>FN011539</v>
      </c>
      <c r="BD240" s="155">
        <f t="shared" si="89"/>
        <v>4.0999999999999996</v>
      </c>
      <c r="BE240" s="155">
        <f t="shared" si="90"/>
        <v>4.0999999999999996</v>
      </c>
      <c r="BF240" s="155">
        <f t="shared" si="91"/>
        <v>0</v>
      </c>
      <c r="BG240" s="155">
        <f t="shared" si="92"/>
        <v>0</v>
      </c>
      <c r="BH240" s="155">
        <f t="shared" si="93"/>
        <v>0</v>
      </c>
      <c r="BI240" s="155">
        <f t="shared" si="94"/>
        <v>0.73357235707096347</v>
      </c>
      <c r="BJ240" s="155">
        <f t="shared" si="95"/>
        <v>75.646715033514809</v>
      </c>
      <c r="BK240" s="155">
        <f t="shared" si="96"/>
        <v>153.70588619695982</v>
      </c>
      <c r="BL240" s="155">
        <f t="shared" si="97"/>
        <v>235.01018234793972</v>
      </c>
      <c r="BM240" s="155">
        <f t="shared" si="98"/>
        <v>319.66147464144797</v>
      </c>
      <c r="BN240" s="155">
        <f t="shared" si="99"/>
        <v>407.76448172086793</v>
      </c>
      <c r="BO240" s="155">
        <f t="shared" si="100"/>
        <v>416.32753583700611</v>
      </c>
      <c r="BP240" s="155">
        <f t="shared" si="101"/>
        <v>131.88955046234568</v>
      </c>
    </row>
    <row r="241" spans="1:68">
      <c r="A241" s="155" t="s">
        <v>361</v>
      </c>
      <c r="B241" s="155" t="s">
        <v>1345</v>
      </c>
      <c r="C241" s="155" t="s">
        <v>207</v>
      </c>
      <c r="D241" s="155">
        <v>3.44</v>
      </c>
      <c r="E241" s="189">
        <v>0</v>
      </c>
      <c r="F241" s="67">
        <v>0</v>
      </c>
      <c r="G241" s="67">
        <v>0</v>
      </c>
      <c r="H241" s="67">
        <v>0</v>
      </c>
      <c r="I241" s="67">
        <v>105</v>
      </c>
      <c r="J241" s="67">
        <v>1396.5</v>
      </c>
      <c r="K241" s="67">
        <v>504</v>
      </c>
      <c r="L241" s="67">
        <v>1246.0719999999999</v>
      </c>
      <c r="M241" s="67">
        <v>8274.8610000000008</v>
      </c>
      <c r="N241" s="67">
        <v>8274.8610000000008</v>
      </c>
      <c r="O241" s="67">
        <v>5004.9560000000001</v>
      </c>
      <c r="Q241" s="202" t="s">
        <v>361</v>
      </c>
      <c r="R241" s="202" t="s">
        <v>1345</v>
      </c>
      <c r="S241" s="202" t="s">
        <v>207</v>
      </c>
      <c r="T241" s="76">
        <f>SUM($E241:F241)</f>
        <v>0</v>
      </c>
      <c r="U241" s="76">
        <f>SUM($E241:G241)</f>
        <v>0</v>
      </c>
      <c r="V241" s="76">
        <f>SUM($E241:H241)</f>
        <v>0</v>
      </c>
      <c r="W241" s="76">
        <f>SUM($E241:I241)</f>
        <v>105</v>
      </c>
      <c r="X241" s="76">
        <f>SUM($E241:J241)</f>
        <v>1501.5</v>
      </c>
      <c r="Y241" s="76">
        <f>SUM($E241:K241)</f>
        <v>2005.5</v>
      </c>
      <c r="Z241" s="76">
        <f>SUM($E241:L241)</f>
        <v>3251.5720000000001</v>
      </c>
      <c r="AA241" s="76">
        <f>SUM($E241:M241)</f>
        <v>11526.433000000001</v>
      </c>
      <c r="AB241" s="76">
        <f>SUM($E241:N241)</f>
        <v>19801.294000000002</v>
      </c>
      <c r="AC241" s="76">
        <f>SUM($E241:O241)</f>
        <v>24806.25</v>
      </c>
      <c r="AE241" s="76">
        <f t="shared" si="79"/>
        <v>0</v>
      </c>
      <c r="AF241" s="76">
        <f t="shared" si="80"/>
        <v>0</v>
      </c>
      <c r="AG241" s="76">
        <f t="shared" si="81"/>
        <v>0</v>
      </c>
      <c r="AH241" s="76">
        <f t="shared" si="82"/>
        <v>111.75488740499996</v>
      </c>
      <c r="AI241" s="76">
        <f t="shared" si="83"/>
        <v>1631.6548825792206</v>
      </c>
      <c r="AJ241" s="76">
        <f t="shared" si="84"/>
        <v>2225.1094427038906</v>
      </c>
      <c r="AK241" s="76">
        <f t="shared" si="85"/>
        <v>3683.391042437815</v>
      </c>
      <c r="AL241" s="76">
        <f t="shared" si="86"/>
        <v>13331.380521419265</v>
      </c>
      <c r="AM241" s="76">
        <f t="shared" si="87"/>
        <v>23382.961183068215</v>
      </c>
      <c r="AN241" s="76">
        <f t="shared" si="88"/>
        <v>29908.373465152479</v>
      </c>
      <c r="AP241" s="202" t="s">
        <v>361</v>
      </c>
      <c r="AQ241" s="202" t="s">
        <v>207</v>
      </c>
      <c r="AR241" s="155" cm="1">
        <f t="array" ref="AR241">_xlfn.IFS($AQ241=$AP$1,$AQ$1*AE241,$AQ241=$AP$2,$AQ$2*AE241,$AQ241=$AP$3,$AQ$3*AE241,$AQ241=$AP$4,$AQ$4*AE241)</f>
        <v>0</v>
      </c>
      <c r="AS241" s="155" cm="1">
        <f t="array" ref="AS241">_xlfn.IFS($AQ241=$AP$1,$AQ$1*AF241,$AQ241=$AP$2,$AQ$2*AF241,$AQ241=$AP$3,$AQ$3*AF241,$AQ241=$AP$4,$AQ$4*AF241)</f>
        <v>0</v>
      </c>
      <c r="AT241" s="155" cm="1">
        <f t="array" ref="AT241">_xlfn.IFS($AQ241=$AP$1,$AQ$1*AG241,$AQ241=$AP$2,$AQ$2*AG241,$AQ241=$AP$3,$AQ$3*AG241,$AQ241=$AP$4,$AQ$4*AG241)</f>
        <v>0</v>
      </c>
      <c r="AU241" s="155" cm="1">
        <f t="array" ref="AU241">_xlfn.IFS($AQ241=$AP$1,$AQ$1*AH241,$AQ241=$AP$2,$AQ$2*AH241,$AQ241=$AP$3,$AQ$3*AH241,$AQ241=$AP$4,$AQ$4*AH241)</f>
        <v>9.0065597059114832</v>
      </c>
      <c r="AV241" s="155" cm="1">
        <f t="array" ref="AV241">_xlfn.IFS($AQ241=$AP$1,$AQ$1*AI241,$AQ241=$AP$2,$AQ$2*AI241,$AQ241=$AP$3,$AQ$3*AI241,$AQ241=$AP$4,$AQ$4*AI241)</f>
        <v>131.49847367421941</v>
      </c>
      <c r="AW241" s="155" cm="1">
        <f t="array" ref="AW241">_xlfn.IFS($AQ241=$AP$1,$AQ$1*AJ241,$AQ241=$AP$2,$AQ$2*AJ241,$AQ241=$AP$3,$AQ$3*AJ241,$AQ241=$AP$4,$AQ$4*AJ241)</f>
        <v>179.32621573205031</v>
      </c>
      <c r="AX241" s="155" cm="1">
        <f t="array" ref="AX241">_xlfn.IFS($AQ241=$AP$1,$AQ$1*AK241,$AQ241=$AP$2,$AQ$2*AK241,$AQ241=$AP$3,$AQ$3*AK241,$AQ241=$AP$4,$AQ$4*AK241)</f>
        <v>296.85217456047894</v>
      </c>
      <c r="AY241" s="155" cm="1">
        <f t="array" ref="AY241">_xlfn.IFS($AQ241=$AP$1,$AQ$1*AL241,$AQ241=$AP$2,$AQ$2*AL241,$AQ241=$AP$3,$AQ$3*AL241,$AQ241=$AP$4,$AQ$4*AL241)</f>
        <v>1074.4037904423319</v>
      </c>
      <c r="AZ241" s="155" cm="1">
        <f t="array" ref="AZ241">_xlfn.IFS($AQ241=$AP$1,$AQ$1*AM241,$AQ241=$AP$2,$AQ$2*AM241,$AQ241=$AP$3,$AQ$3*AM241,$AQ241=$AP$4,$AQ$4*AM241)</f>
        <v>1884.481662382241</v>
      </c>
      <c r="BA241" s="155" cm="1">
        <f t="array" ref="BA241">_xlfn.IFS($AQ241=$AP$1,$AQ$1*AN241,$AQ241=$AP$2,$AQ$2*AN241,$AQ241=$AP$3,$AQ$3*AN241,$AQ241=$AP$4,$AQ$4*AN241)</f>
        <v>2410.3782624234714</v>
      </c>
      <c r="BB241" s="155">
        <f>Table2[[#This Row],[FINAL Project System Capacity (MW)]]</f>
        <v>3.44</v>
      </c>
      <c r="BC241" s="155" t="str">
        <f>Table2[[#This Row],[FN Parent  '#]]</f>
        <v>Individual Project</v>
      </c>
      <c r="BD241" s="155">
        <f t="shared" si="89"/>
        <v>3.44</v>
      </c>
      <c r="BE241" s="155">
        <f t="shared" si="90"/>
        <v>3.44</v>
      </c>
      <c r="BF241" s="155">
        <f t="shared" si="91"/>
        <v>0</v>
      </c>
      <c r="BG241" s="155">
        <f t="shared" si="92"/>
        <v>0</v>
      </c>
      <c r="BH241" s="155">
        <f t="shared" si="93"/>
        <v>0</v>
      </c>
      <c r="BI241" s="155">
        <f t="shared" si="94"/>
        <v>2.6181859610207803</v>
      </c>
      <c r="BJ241" s="155">
        <f t="shared" si="95"/>
        <v>38.226300486691692</v>
      </c>
      <c r="BK241" s="155">
        <f t="shared" si="96"/>
        <v>52.129713875596025</v>
      </c>
      <c r="BL241" s="155">
        <f t="shared" si="97"/>
        <v>86.294236790836905</v>
      </c>
      <c r="BM241" s="155">
        <f t="shared" si="98"/>
        <v>312.32668326811972</v>
      </c>
      <c r="BN241" s="155">
        <f t="shared" si="99"/>
        <v>547.81443673902356</v>
      </c>
      <c r="BO241" s="155">
        <f t="shared" si="100"/>
        <v>700.69135535566033</v>
      </c>
      <c r="BP241" s="155">
        <f t="shared" si="101"/>
        <v>136.42495101870483</v>
      </c>
    </row>
    <row r="242" spans="1:68">
      <c r="A242" s="155" t="s">
        <v>362</v>
      </c>
      <c r="B242" s="155" t="s">
        <v>1286</v>
      </c>
      <c r="C242" s="155" t="s">
        <v>208</v>
      </c>
      <c r="D242" s="155">
        <v>12</v>
      </c>
      <c r="E242" s="189">
        <v>0</v>
      </c>
      <c r="F242" s="67">
        <v>0</v>
      </c>
      <c r="G242" s="67">
        <v>0</v>
      </c>
      <c r="H242" s="67">
        <v>0</v>
      </c>
      <c r="I242" s="67">
        <v>0</v>
      </c>
      <c r="J242" s="67">
        <v>0</v>
      </c>
      <c r="K242" s="67">
        <v>0</v>
      </c>
      <c r="L242" s="67">
        <v>0</v>
      </c>
      <c r="M242" s="67">
        <v>2299.77</v>
      </c>
      <c r="N242" s="67">
        <v>8844.66</v>
      </c>
      <c r="O242" s="67">
        <v>10285.11</v>
      </c>
      <c r="Q242" s="201" t="s">
        <v>362</v>
      </c>
      <c r="R242" s="201" t="s">
        <v>1286</v>
      </c>
      <c r="S242" s="201" t="s">
        <v>208</v>
      </c>
      <c r="T242" s="76">
        <f>SUM($E242:F242)</f>
        <v>0</v>
      </c>
      <c r="U242" s="76">
        <f>SUM($E242:G242)</f>
        <v>0</v>
      </c>
      <c r="V242" s="76">
        <f>SUM($E242:H242)</f>
        <v>0</v>
      </c>
      <c r="W242" s="76">
        <f>SUM($E242:I242)</f>
        <v>0</v>
      </c>
      <c r="X242" s="76">
        <f>SUM($E242:J242)</f>
        <v>0</v>
      </c>
      <c r="Y242" s="76">
        <f>SUM($E242:K242)</f>
        <v>0</v>
      </c>
      <c r="Z242" s="76">
        <f>SUM($E242:L242)</f>
        <v>0</v>
      </c>
      <c r="AA242" s="76">
        <f>SUM($E242:M242)</f>
        <v>2299.77</v>
      </c>
      <c r="AB242" s="76">
        <f>SUM($E242:N242)</f>
        <v>11144.43</v>
      </c>
      <c r="AC242" s="76">
        <f>SUM($E242:O242)</f>
        <v>21429.54</v>
      </c>
      <c r="AE242" s="76">
        <f t="shared" si="79"/>
        <v>0</v>
      </c>
      <c r="AF242" s="76">
        <f t="shared" si="80"/>
        <v>0</v>
      </c>
      <c r="AG242" s="76">
        <f t="shared" si="81"/>
        <v>0</v>
      </c>
      <c r="AH242" s="76">
        <f t="shared" si="82"/>
        <v>0</v>
      </c>
      <c r="AI242" s="76">
        <f t="shared" si="83"/>
        <v>0</v>
      </c>
      <c r="AJ242" s="76">
        <f t="shared" si="84"/>
        <v>0</v>
      </c>
      <c r="AK242" s="76">
        <f t="shared" si="85"/>
        <v>0</v>
      </c>
      <c r="AL242" s="76">
        <f t="shared" si="86"/>
        <v>2659.8956487010664</v>
      </c>
      <c r="AM242" s="76">
        <f t="shared" si="87"/>
        <v>13160.239633703783</v>
      </c>
      <c r="AN242" s="76">
        <f t="shared" si="88"/>
        <v>25837.145296303297</v>
      </c>
      <c r="AP242" s="201" t="s">
        <v>362</v>
      </c>
      <c r="AQ242" s="201" t="s">
        <v>208</v>
      </c>
      <c r="AR242" s="155" cm="1">
        <f t="array" ref="AR242">_xlfn.IFS($AQ242=$AP$1,$AQ$1*AE242,$AQ242=$AP$2,$AQ$2*AE242,$AQ242=$AP$3,$AQ$3*AE242,$AQ242=$AP$4,$AQ$4*AE242)</f>
        <v>0</v>
      </c>
      <c r="AS242" s="155" cm="1">
        <f t="array" ref="AS242">_xlfn.IFS($AQ242=$AP$1,$AQ$1*AF242,$AQ242=$AP$2,$AQ$2*AF242,$AQ242=$AP$3,$AQ$3*AF242,$AQ242=$AP$4,$AQ$4*AF242)</f>
        <v>0</v>
      </c>
      <c r="AT242" s="155" cm="1">
        <f t="array" ref="AT242">_xlfn.IFS($AQ242=$AP$1,$AQ$1*AG242,$AQ242=$AP$2,$AQ$2*AG242,$AQ242=$AP$3,$AQ$3*AG242,$AQ242=$AP$4,$AQ$4*AG242)</f>
        <v>0</v>
      </c>
      <c r="AU242" s="155" cm="1">
        <f t="array" ref="AU242">_xlfn.IFS($AQ242=$AP$1,$AQ$1*AH242,$AQ242=$AP$2,$AQ$2*AH242,$AQ242=$AP$3,$AQ$3*AH242,$AQ242=$AP$4,$AQ$4*AH242)</f>
        <v>0</v>
      </c>
      <c r="AV242" s="155" cm="1">
        <f t="array" ref="AV242">_xlfn.IFS($AQ242=$AP$1,$AQ$1*AI242,$AQ242=$AP$2,$AQ$2*AI242,$AQ242=$AP$3,$AQ$3*AI242,$AQ242=$AP$4,$AQ$4*AI242)</f>
        <v>0</v>
      </c>
      <c r="AW242" s="155" cm="1">
        <f t="array" ref="AW242">_xlfn.IFS($AQ242=$AP$1,$AQ$1*AJ242,$AQ242=$AP$2,$AQ$2*AJ242,$AQ242=$AP$3,$AQ$3*AJ242,$AQ242=$AP$4,$AQ$4*AJ242)</f>
        <v>0</v>
      </c>
      <c r="AX242" s="155" cm="1">
        <f t="array" ref="AX242">_xlfn.IFS($AQ242=$AP$1,$AQ$1*AK242,$AQ242=$AP$2,$AQ$2*AK242,$AQ242=$AP$3,$AQ$3*AK242,$AQ242=$AP$4,$AQ$4*AK242)</f>
        <v>0</v>
      </c>
      <c r="AY242" s="155" cm="1">
        <f t="array" ref="AY242">_xlfn.IFS($AQ242=$AP$1,$AQ$1*AL242,$AQ242=$AP$2,$AQ$2*AL242,$AQ242=$AP$3,$AQ$3*AL242,$AQ242=$AP$4,$AQ$4*AL242)</f>
        <v>375.82372382771405</v>
      </c>
      <c r="AZ242" s="155" cm="1">
        <f t="array" ref="AZ242">_xlfn.IFS($AQ242=$AP$1,$AQ$1*AM242,$AQ242=$AP$2,$AQ$2*AM242,$AQ242=$AP$3,$AQ$3*AM242,$AQ242=$AP$4,$AQ$4*AM242)</f>
        <v>1859.4452259880657</v>
      </c>
      <c r="BA242" s="155" cm="1">
        <f t="array" ref="BA242">_xlfn.IFS($AQ242=$AP$1,$AQ$1*AN242,$AQ242=$AP$2,$AQ$2*AN242,$AQ242=$AP$3,$AQ$3*AN242,$AQ242=$AP$4,$AQ$4*AN242)</f>
        <v>3650.5989109295683</v>
      </c>
      <c r="BB242" s="155">
        <f>Table2[[#This Row],[FINAL Project System Capacity (MW)]]</f>
        <v>12</v>
      </c>
      <c r="BC242" s="155" t="str">
        <f>Table2[[#This Row],[FN Parent  '#]]</f>
        <v>FN012598</v>
      </c>
      <c r="BD242" s="155">
        <f t="shared" si="89"/>
        <v>12</v>
      </c>
      <c r="BE242" s="155">
        <f t="shared" si="90"/>
        <v>12</v>
      </c>
      <c r="BF242" s="155">
        <f t="shared" si="91"/>
        <v>0</v>
      </c>
      <c r="BG242" s="155">
        <f t="shared" si="92"/>
        <v>0</v>
      </c>
      <c r="BH242" s="155">
        <f t="shared" si="93"/>
        <v>0</v>
      </c>
      <c r="BI242" s="155">
        <f t="shared" si="94"/>
        <v>0</v>
      </c>
      <c r="BJ242" s="155">
        <f t="shared" si="95"/>
        <v>0</v>
      </c>
      <c r="BK242" s="155">
        <f t="shared" si="96"/>
        <v>0</v>
      </c>
      <c r="BL242" s="155">
        <f t="shared" si="97"/>
        <v>0</v>
      </c>
      <c r="BM242" s="155">
        <f t="shared" si="98"/>
        <v>31.318643652309504</v>
      </c>
      <c r="BN242" s="155">
        <f t="shared" si="99"/>
        <v>154.9537688323388</v>
      </c>
      <c r="BO242" s="155">
        <f t="shared" si="100"/>
        <v>304.21657591079736</v>
      </c>
      <c r="BP242" s="155">
        <f t="shared" si="101"/>
        <v>36.818292271989172</v>
      </c>
    </row>
    <row r="243" spans="1:68">
      <c r="A243" s="155" t="s">
        <v>363</v>
      </c>
      <c r="B243" s="155" t="s">
        <v>1345</v>
      </c>
      <c r="C243" s="155" t="s">
        <v>208</v>
      </c>
      <c r="D243" s="155">
        <v>3</v>
      </c>
      <c r="E243" s="189">
        <v>0</v>
      </c>
      <c r="F243" s="67">
        <v>0</v>
      </c>
      <c r="G243" s="67">
        <v>0</v>
      </c>
      <c r="H243" s="67">
        <v>136.5</v>
      </c>
      <c r="I243" s="67">
        <v>525</v>
      </c>
      <c r="J243" s="67">
        <v>4100</v>
      </c>
      <c r="K243" s="67">
        <v>1754.645</v>
      </c>
      <c r="L243" s="67">
        <v>0</v>
      </c>
      <c r="M243" s="67">
        <v>0</v>
      </c>
      <c r="N243" s="67">
        <v>0</v>
      </c>
      <c r="O243" s="67">
        <v>0</v>
      </c>
      <c r="Q243" s="202" t="s">
        <v>363</v>
      </c>
      <c r="R243" s="202" t="s">
        <v>1345</v>
      </c>
      <c r="S243" s="202" t="s">
        <v>208</v>
      </c>
      <c r="T243" s="76">
        <f>SUM($E243:F243)</f>
        <v>0</v>
      </c>
      <c r="U243" s="76">
        <f>SUM($E243:G243)</f>
        <v>0</v>
      </c>
      <c r="V243" s="76">
        <f>SUM($E243:H243)</f>
        <v>136.5</v>
      </c>
      <c r="W243" s="76">
        <f>SUM($E243:I243)</f>
        <v>661.5</v>
      </c>
      <c r="X243" s="76">
        <f>SUM($E243:J243)</f>
        <v>4761.5</v>
      </c>
      <c r="Y243" s="76">
        <f>SUM($E243:K243)</f>
        <v>6516.1450000000004</v>
      </c>
      <c r="Z243" s="76">
        <f>SUM($E243:L243)</f>
        <v>6516.1450000000004</v>
      </c>
      <c r="AA243" s="76">
        <f>SUM($E243:M243)</f>
        <v>6516.1450000000004</v>
      </c>
      <c r="AB243" s="76">
        <f>SUM($E243:N243)</f>
        <v>6516.1450000000004</v>
      </c>
      <c r="AC243" s="76">
        <f>SUM($E243:O243)</f>
        <v>6516.1450000000004</v>
      </c>
      <c r="AE243" s="76">
        <f t="shared" si="79"/>
        <v>0</v>
      </c>
      <c r="AF243" s="76">
        <f t="shared" si="80"/>
        <v>0</v>
      </c>
      <c r="AG243" s="76">
        <f t="shared" si="81"/>
        <v>142.29319649999996</v>
      </c>
      <c r="AH243" s="76">
        <f t="shared" si="82"/>
        <v>704.05579065149982</v>
      </c>
      <c r="AI243" s="76">
        <f t="shared" si="83"/>
        <v>5174.242240027279</v>
      </c>
      <c r="AJ243" s="76">
        <f t="shared" si="84"/>
        <v>7229.6862475830194</v>
      </c>
      <c r="AK243" s="76">
        <f t="shared" si="85"/>
        <v>7381.5096587822618</v>
      </c>
      <c r="AL243" s="76">
        <f t="shared" si="86"/>
        <v>7536.5213616166884</v>
      </c>
      <c r="AM243" s="76">
        <f t="shared" si="87"/>
        <v>7694.788310210638</v>
      </c>
      <c r="AN243" s="76">
        <f t="shared" si="88"/>
        <v>7856.3788647250594</v>
      </c>
      <c r="AP243" s="202" t="s">
        <v>363</v>
      </c>
      <c r="AQ243" s="202" t="s">
        <v>208</v>
      </c>
      <c r="AR243" s="155" cm="1">
        <f t="array" ref="AR243">_xlfn.IFS($AQ243=$AP$1,$AQ$1*AE243,$AQ243=$AP$2,$AQ$2*AE243,$AQ243=$AP$3,$AQ$3*AE243,$AQ243=$AP$4,$AQ$4*AE243)</f>
        <v>0</v>
      </c>
      <c r="AS243" s="155" cm="1">
        <f t="array" ref="AS243">_xlfn.IFS($AQ243=$AP$1,$AQ$1*AF243,$AQ243=$AP$2,$AQ$2*AF243,$AQ243=$AP$3,$AQ$3*AF243,$AQ243=$AP$4,$AQ$4*AF243)</f>
        <v>0</v>
      </c>
      <c r="AT243" s="155" cm="1">
        <f t="array" ref="AT243">_xlfn.IFS($AQ243=$AP$1,$AQ$1*AG243,$AQ243=$AP$2,$AQ$2*AG243,$AQ243=$AP$3,$AQ$3*AG243,$AQ243=$AP$4,$AQ$4*AG243)</f>
        <v>20.104983821487007</v>
      </c>
      <c r="AU243" s="155" cm="1">
        <f t="array" ref="AU243">_xlfn.IFS($AQ243=$AP$1,$AQ$1*AH243,$AQ243=$AP$2,$AQ$2*AH243,$AQ243=$AP$3,$AQ$3*AH243,$AQ243=$AP$4,$AQ$4*AH243)</f>
        <v>99.47791341150068</v>
      </c>
      <c r="AV243" s="155" cm="1">
        <f t="array" ref="AV243">_xlfn.IFS($AQ243=$AP$1,$AQ$1*AI243,$AQ243=$AP$2,$AQ$2*AI243,$AQ243=$AP$3,$AQ$3*AI243,$AQ243=$AP$4,$AQ$4*AI243)</f>
        <v>731.08243459976791</v>
      </c>
      <c r="AW243" s="155" cm="1">
        <f t="array" ref="AW243">_xlfn.IFS($AQ243=$AP$1,$AQ$1*AJ243,$AQ243=$AP$2,$AQ$2*AJ243,$AQ243=$AP$3,$AQ$3*AJ243,$AQ243=$AP$4,$AQ$4*AJ243)</f>
        <v>1021.5015799584189</v>
      </c>
      <c r="AX243" s="155" cm="1">
        <f t="array" ref="AX243">_xlfn.IFS($AQ243=$AP$1,$AQ$1*AK243,$AQ243=$AP$2,$AQ$2*AK243,$AQ243=$AP$3,$AQ$3*AK243,$AQ243=$AP$4,$AQ$4*AK243)</f>
        <v>1042.9531131375456</v>
      </c>
      <c r="AY243" s="155" cm="1">
        <f t="array" ref="AY243">_xlfn.IFS($AQ243=$AP$1,$AQ$1*AL243,$AQ243=$AP$2,$AQ$2*AL243,$AQ243=$AP$3,$AQ$3*AL243,$AQ243=$AP$4,$AQ$4*AL243)</f>
        <v>1064.8551285134338</v>
      </c>
      <c r="AZ243" s="155" cm="1">
        <f t="array" ref="AZ243">_xlfn.IFS($AQ243=$AP$1,$AQ$1*AM243,$AQ243=$AP$2,$AQ$2*AM243,$AQ243=$AP$3,$AQ$3*AM243,$AQ243=$AP$4,$AQ$4*AM243)</f>
        <v>1087.2170862122159</v>
      </c>
      <c r="BA243" s="155" cm="1">
        <f t="array" ref="BA243">_xlfn.IFS($AQ243=$AP$1,$AQ$1*AN243,$AQ243=$AP$2,$AQ$2*AN243,$AQ243=$AP$3,$AQ$3*AN243,$AQ243=$AP$4,$AQ$4*AN243)</f>
        <v>1110.0486450226722</v>
      </c>
      <c r="BB243" s="155">
        <f>Table2[[#This Row],[FINAL Project System Capacity (MW)]]</f>
        <v>3</v>
      </c>
      <c r="BC243" s="155" t="str">
        <f>Table2[[#This Row],[FN Parent  '#]]</f>
        <v>Individual Project</v>
      </c>
      <c r="BD243" s="155">
        <f t="shared" si="89"/>
        <v>3</v>
      </c>
      <c r="BE243" s="155">
        <f t="shared" si="90"/>
        <v>3</v>
      </c>
      <c r="BF243" s="155">
        <f t="shared" si="91"/>
        <v>0</v>
      </c>
      <c r="BG243" s="155">
        <f t="shared" si="92"/>
        <v>0</v>
      </c>
      <c r="BH243" s="155">
        <f t="shared" si="93"/>
        <v>6.7016612738290027</v>
      </c>
      <c r="BI243" s="155">
        <f t="shared" si="94"/>
        <v>33.159304470500224</v>
      </c>
      <c r="BJ243" s="155">
        <f t="shared" si="95"/>
        <v>243.69414486658931</v>
      </c>
      <c r="BK243" s="155">
        <f t="shared" si="96"/>
        <v>340.50052665280629</v>
      </c>
      <c r="BL243" s="155">
        <f t="shared" si="97"/>
        <v>347.65103771251523</v>
      </c>
      <c r="BM243" s="155">
        <f t="shared" si="98"/>
        <v>354.95170950447795</v>
      </c>
      <c r="BN243" s="155">
        <f t="shared" si="99"/>
        <v>362.40569540407199</v>
      </c>
      <c r="BO243" s="155">
        <f t="shared" si="100"/>
        <v>370.01621500755738</v>
      </c>
      <c r="BP243" s="155">
        <f t="shared" si="101"/>
        <v>177.03366961226897</v>
      </c>
    </row>
    <row r="244" spans="1:68">
      <c r="A244" s="155"/>
      <c r="B244" s="99" t="s">
        <v>1109</v>
      </c>
      <c r="C244" s="155" t="s">
        <v>208</v>
      </c>
      <c r="D244" s="155">
        <v>20</v>
      </c>
      <c r="E244" s="189">
        <v>464.30831999999998</v>
      </c>
      <c r="F244" s="67">
        <v>10.548</v>
      </c>
      <c r="G244" s="67">
        <v>2114.39975</v>
      </c>
      <c r="H244" s="67">
        <v>0</v>
      </c>
      <c r="I244" s="67">
        <v>0</v>
      </c>
      <c r="J244" s="67">
        <v>0</v>
      </c>
      <c r="K244" s="67">
        <v>0</v>
      </c>
      <c r="L244" s="67">
        <v>0</v>
      </c>
      <c r="M244" s="67">
        <v>0</v>
      </c>
      <c r="N244" s="67">
        <v>0</v>
      </c>
      <c r="O244" s="67">
        <v>0</v>
      </c>
      <c r="Q244" s="201"/>
      <c r="R244" s="203" t="s">
        <v>1109</v>
      </c>
      <c r="S244" s="201" t="s">
        <v>208</v>
      </c>
      <c r="T244" s="76"/>
      <c r="AR244" s="155"/>
      <c r="BB244" s="155"/>
      <c r="BC244" s="155"/>
      <c r="BD244" s="155"/>
      <c r="BP244" s="155">
        <f t="shared" si="101"/>
        <v>0</v>
      </c>
    </row>
    <row r="245" spans="1:68">
      <c r="A245" s="155"/>
      <c r="B245" s="99" t="s">
        <v>1109</v>
      </c>
      <c r="C245" s="155" t="s">
        <v>208</v>
      </c>
      <c r="D245" s="155">
        <v>20</v>
      </c>
      <c r="E245" s="189">
        <v>8458.0805999999993</v>
      </c>
      <c r="F245" s="67">
        <v>1569.16706</v>
      </c>
      <c r="G245" s="67">
        <v>1811.2233000000001</v>
      </c>
      <c r="H245" s="67">
        <v>0</v>
      </c>
      <c r="I245" s="67">
        <v>0</v>
      </c>
      <c r="J245" s="67">
        <v>0</v>
      </c>
      <c r="K245" s="67">
        <v>0</v>
      </c>
      <c r="L245" s="67">
        <v>0</v>
      </c>
      <c r="M245" s="67">
        <v>0</v>
      </c>
      <c r="N245" s="67">
        <v>0</v>
      </c>
      <c r="O245" s="67">
        <v>0</v>
      </c>
      <c r="Q245" s="202"/>
      <c r="R245" s="203" t="s">
        <v>1109</v>
      </c>
      <c r="S245" s="202" t="s">
        <v>208</v>
      </c>
      <c r="AR245" s="155"/>
      <c r="BB245" s="155"/>
      <c r="BC245" s="155"/>
      <c r="BD245" s="155"/>
      <c r="BP245" s="155">
        <f t="shared" si="101"/>
        <v>0</v>
      </c>
    </row>
    <row r="246" spans="1:68">
      <c r="A246" s="155"/>
      <c r="B246" s="99" t="s">
        <v>1126</v>
      </c>
      <c r="C246" s="155" t="s">
        <v>208</v>
      </c>
      <c r="D246" s="155">
        <v>130</v>
      </c>
      <c r="E246" s="189">
        <v>1418.4273599999999</v>
      </c>
      <c r="F246" s="67">
        <v>750</v>
      </c>
      <c r="G246" s="67">
        <v>749.42996000000005</v>
      </c>
      <c r="H246" s="67">
        <v>749.74728000000005</v>
      </c>
      <c r="I246" s="67">
        <v>14994.63744</v>
      </c>
      <c r="J246" s="67">
        <v>28990.2268</v>
      </c>
      <c r="K246" s="67">
        <v>21991.3338</v>
      </c>
      <c r="L246" s="67">
        <v>25000</v>
      </c>
      <c r="M246" s="67">
        <v>30000</v>
      </c>
      <c r="N246" s="67">
        <v>30000</v>
      </c>
      <c r="O246" s="67">
        <v>10000</v>
      </c>
      <c r="Q246" s="201"/>
      <c r="R246" s="203" t="s">
        <v>1126</v>
      </c>
      <c r="S246" s="201" t="s">
        <v>208</v>
      </c>
      <c r="AR246" s="155"/>
      <c r="BB246" s="155"/>
      <c r="BC246" s="155"/>
      <c r="BD246" s="155"/>
      <c r="BP246" s="155">
        <f t="shared" si="101"/>
        <v>0</v>
      </c>
    </row>
    <row r="247" spans="1:68">
      <c r="A247" s="155"/>
      <c r="B247" s="99" t="s">
        <v>1109</v>
      </c>
      <c r="C247" s="155" t="s">
        <v>206</v>
      </c>
      <c r="D247" s="155">
        <v>20</v>
      </c>
      <c r="E247" s="189">
        <v>2672.9128000000001</v>
      </c>
      <c r="F247" s="67">
        <v>7613.86265</v>
      </c>
      <c r="G247" s="67">
        <v>3446.41896</v>
      </c>
      <c r="H247" s="67">
        <v>0</v>
      </c>
      <c r="I247" s="67">
        <v>0</v>
      </c>
      <c r="J247" s="67">
        <v>0</v>
      </c>
      <c r="K247" s="67">
        <v>0</v>
      </c>
      <c r="L247" s="67">
        <v>0</v>
      </c>
      <c r="M247" s="67">
        <v>0</v>
      </c>
      <c r="N247" s="67">
        <v>0</v>
      </c>
      <c r="O247" s="67">
        <v>0</v>
      </c>
      <c r="Q247" s="202"/>
      <c r="R247" s="203" t="s">
        <v>1109</v>
      </c>
      <c r="S247" s="202" t="s">
        <v>206</v>
      </c>
      <c r="AR247" s="155"/>
      <c r="BB247" s="155"/>
      <c r="BC247" s="155"/>
      <c r="BD247" s="155"/>
      <c r="BP247" s="155">
        <f t="shared" si="101"/>
        <v>0</v>
      </c>
    </row>
    <row r="248" spans="1:68">
      <c r="A248" s="155"/>
      <c r="B248" s="99" t="s">
        <v>1126</v>
      </c>
      <c r="C248" s="155" t="s">
        <v>206</v>
      </c>
      <c r="D248" s="155">
        <v>130</v>
      </c>
      <c r="E248" s="189">
        <v>86.122039999999998</v>
      </c>
      <c r="F248" s="67">
        <v>528.95452</v>
      </c>
      <c r="G248" s="67">
        <v>250</v>
      </c>
      <c r="H248" s="67">
        <v>250</v>
      </c>
      <c r="I248" s="67">
        <v>3801</v>
      </c>
      <c r="J248" s="67">
        <v>5340</v>
      </c>
      <c r="K248" s="67">
        <v>5059</v>
      </c>
      <c r="L248" s="67">
        <v>5497</v>
      </c>
      <c r="M248" s="67">
        <v>1924</v>
      </c>
      <c r="N248" s="67">
        <v>1924</v>
      </c>
      <c r="O248" s="67">
        <v>0</v>
      </c>
      <c r="Q248" s="201"/>
      <c r="R248" s="203" t="s">
        <v>1126</v>
      </c>
      <c r="S248" s="201" t="s">
        <v>206</v>
      </c>
      <c r="AR248" s="155"/>
      <c r="BB248" s="155"/>
      <c r="BC248" s="155"/>
      <c r="BD248" s="155"/>
      <c r="BP248" s="155">
        <f t="shared" si="101"/>
        <v>0</v>
      </c>
    </row>
    <row r="249" spans="1:68">
      <c r="A249" s="155"/>
      <c r="B249" s="99" t="s">
        <v>1109</v>
      </c>
      <c r="C249" s="155" t="s">
        <v>205</v>
      </c>
      <c r="D249" s="155">
        <v>20</v>
      </c>
      <c r="E249" s="189">
        <v>11251.651</v>
      </c>
      <c r="F249" s="67">
        <v>1775.8586</v>
      </c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Q249" s="202"/>
      <c r="R249" s="203" t="s">
        <v>1109</v>
      </c>
      <c r="S249" s="202" t="s">
        <v>205</v>
      </c>
      <c r="AR249" s="155"/>
      <c r="BB249" s="155"/>
      <c r="BC249" s="155"/>
      <c r="BD249" s="155"/>
      <c r="BP249" s="155">
        <f t="shared" si="101"/>
        <v>0</v>
      </c>
    </row>
    <row r="250" spans="1:68">
      <c r="A250" s="155"/>
      <c r="B250" s="99" t="s">
        <v>1109</v>
      </c>
      <c r="C250" s="155" t="s">
        <v>205</v>
      </c>
      <c r="D250" s="155">
        <v>20</v>
      </c>
      <c r="E250" s="189">
        <v>105355.44536</v>
      </c>
      <c r="F250" s="67">
        <v>25531.585620000002</v>
      </c>
      <c r="G250" s="67">
        <v>5911.5309299999999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Q250" s="201"/>
      <c r="R250" s="203" t="s">
        <v>1109</v>
      </c>
      <c r="S250" s="201" t="s">
        <v>205</v>
      </c>
      <c r="AR250" s="155"/>
      <c r="BB250" s="155"/>
      <c r="BC250" s="155"/>
      <c r="BD250" s="155"/>
      <c r="BP250" s="155">
        <f t="shared" si="101"/>
        <v>0</v>
      </c>
    </row>
    <row r="251" spans="1:68">
      <c r="A251" s="155"/>
      <c r="B251" s="99" t="s">
        <v>1126</v>
      </c>
      <c r="C251" s="155" t="s">
        <v>205</v>
      </c>
      <c r="D251" s="155">
        <v>130</v>
      </c>
      <c r="E251" s="189">
        <v>638.51328000000001</v>
      </c>
      <c r="F251" s="67">
        <v>1255.5733600000001</v>
      </c>
      <c r="G251" s="67">
        <v>3350.1012000000001</v>
      </c>
      <c r="H251" s="67">
        <v>3500</v>
      </c>
      <c r="I251" s="67">
        <v>5430.0049200000003</v>
      </c>
      <c r="J251" s="67">
        <v>5131.1112000000003</v>
      </c>
      <c r="K251" s="67">
        <v>14615.509840000001</v>
      </c>
      <c r="L251" s="67">
        <v>22889</v>
      </c>
      <c r="M251" s="67">
        <v>21837</v>
      </c>
      <c r="N251" s="67">
        <v>17132</v>
      </c>
      <c r="O251" s="67">
        <v>17946</v>
      </c>
      <c r="Q251" s="202"/>
      <c r="R251" s="203" t="s">
        <v>1126</v>
      </c>
      <c r="S251" s="202" t="s">
        <v>205</v>
      </c>
      <c r="AR251" s="155"/>
      <c r="BB251" s="155"/>
      <c r="BC251" s="155"/>
      <c r="BD251" s="155"/>
      <c r="BP251" s="155">
        <f t="shared" si="101"/>
        <v>0</v>
      </c>
    </row>
    <row r="252" spans="1:68">
      <c r="A252" s="155"/>
      <c r="B252" s="99" t="s">
        <v>1126</v>
      </c>
      <c r="C252" s="155" t="s">
        <v>205</v>
      </c>
      <c r="D252" s="155">
        <v>130</v>
      </c>
      <c r="E252" s="189">
        <v>8830.9835600000006</v>
      </c>
      <c r="F252" s="67">
        <v>3149.9998999999998</v>
      </c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Q252" s="201"/>
      <c r="R252" s="203" t="s">
        <v>1126</v>
      </c>
      <c r="S252" s="201" t="s">
        <v>205</v>
      </c>
      <c r="AR252" s="155"/>
      <c r="BB252" s="155"/>
      <c r="BC252" s="155"/>
      <c r="BD252" s="155"/>
      <c r="BP252" s="155">
        <f t="shared" si="101"/>
        <v>0</v>
      </c>
    </row>
    <row r="253" spans="1:68">
      <c r="A253" s="155"/>
      <c r="B253" s="99" t="s">
        <v>1171</v>
      </c>
      <c r="C253" s="155" t="s">
        <v>205</v>
      </c>
      <c r="D253" s="155">
        <v>10</v>
      </c>
      <c r="E253" s="189">
        <v>7470.9739200000004</v>
      </c>
      <c r="F253" s="67">
        <v>0</v>
      </c>
      <c r="G253" s="67">
        <v>0</v>
      </c>
      <c r="H253" s="67">
        <v>0</v>
      </c>
      <c r="I253" s="67">
        <v>0</v>
      </c>
      <c r="J253" s="67">
        <v>250</v>
      </c>
      <c r="K253" s="67">
        <v>3506.0000399999999</v>
      </c>
      <c r="L253" s="67">
        <v>5634</v>
      </c>
      <c r="M253" s="67">
        <v>4899.7020400000001</v>
      </c>
      <c r="N253" s="67">
        <v>0</v>
      </c>
      <c r="O253" s="67">
        <v>0</v>
      </c>
      <c r="Q253" s="204"/>
      <c r="R253" s="205" t="s">
        <v>1171</v>
      </c>
      <c r="S253" s="204" t="s">
        <v>205</v>
      </c>
      <c r="AR253" s="155"/>
      <c r="BB253" s="155"/>
      <c r="BC253" s="155"/>
      <c r="BD253" s="155"/>
      <c r="BP253" s="155">
        <f t="shared" si="101"/>
        <v>0</v>
      </c>
    </row>
  </sheetData>
  <mergeCells count="2">
    <mergeCell ref="E4:O4"/>
    <mergeCell ref="BF4:BO4"/>
  </mergeCells>
  <conditionalFormatting sqref="BR6:BR157">
    <cfRule type="duplicateValues" dxfId="55" priority="27"/>
  </conditionalFormatting>
  <pageMargins left="0.7" right="0.7" top="0.75" bottom="0.75" header="0.3" footer="0.3"/>
  <pageSetup scale="11" orientation="landscape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BE731-3567-4C8E-B4EC-83E0E7D8D287}">
  <sheetPr>
    <pageSetUpPr fitToPage="1"/>
  </sheetPr>
  <dimension ref="B1:BK126"/>
  <sheetViews>
    <sheetView topLeftCell="AO1" workbookViewId="0">
      <selection activeCell="AV10" sqref="AV10"/>
    </sheetView>
  </sheetViews>
  <sheetFormatPr defaultRowHeight="15"/>
  <cols>
    <col min="2" max="2" width="16.5703125" bestFit="1" customWidth="1"/>
    <col min="3" max="3" width="13" bestFit="1" customWidth="1"/>
    <col min="4" max="4" width="9" bestFit="1" customWidth="1"/>
    <col min="5" max="5" width="36.85546875" bestFit="1" customWidth="1"/>
    <col min="6" max="6" width="27.140625" bestFit="1" customWidth="1"/>
    <col min="7" max="16" width="22" bestFit="1" customWidth="1"/>
    <col min="18" max="18" width="16.5703125" bestFit="1" customWidth="1"/>
    <col min="19" max="19" width="11.140625" bestFit="1" customWidth="1"/>
    <col min="20" max="20" width="16.28515625" bestFit="1" customWidth="1"/>
    <col min="21" max="28" width="14.5703125" bestFit="1" customWidth="1"/>
    <col min="29" max="29" width="14.5703125" style="8" bestFit="1" customWidth="1"/>
    <col min="30" max="30" width="8.42578125" bestFit="1" customWidth="1"/>
    <col min="31" max="31" width="15" bestFit="1" customWidth="1"/>
    <col min="32" max="40" width="14.5703125" bestFit="1" customWidth="1"/>
    <col min="46" max="46" width="9.140625" style="155"/>
  </cols>
  <sheetData>
    <row r="1" spans="2:63">
      <c r="AT1" t="s">
        <v>1600</v>
      </c>
      <c r="AU1" s="155" t="s">
        <v>206</v>
      </c>
      <c r="AV1" s="155">
        <v>8.4418087544840467E-2</v>
      </c>
    </row>
    <row r="2" spans="2:63">
      <c r="AD2" t="s">
        <v>955</v>
      </c>
      <c r="AE2" s="64">
        <v>1.0209999999999999</v>
      </c>
      <c r="AU2" s="155" t="s">
        <v>205</v>
      </c>
      <c r="AV2" s="155">
        <v>8.2053465055388061E-2</v>
      </c>
      <c r="BF2" t="s">
        <v>547</v>
      </c>
      <c r="BG2" s="155">
        <v>6.870006713965543E-2</v>
      </c>
    </row>
    <row r="3" spans="2:63">
      <c r="T3" t="s">
        <v>1588</v>
      </c>
      <c r="AE3" s="247" t="s">
        <v>1591</v>
      </c>
      <c r="AF3" s="247"/>
      <c r="AG3" s="247"/>
      <c r="AH3" s="247"/>
      <c r="AI3" s="247"/>
      <c r="AJ3" s="247"/>
      <c r="AK3" s="247"/>
      <c r="AL3" s="247"/>
      <c r="AM3" s="247"/>
      <c r="AN3" s="247"/>
      <c r="AV3" s="247" t="s">
        <v>1601</v>
      </c>
      <c r="AW3" s="247"/>
      <c r="AX3" s="247"/>
      <c r="AY3" s="247"/>
      <c r="AZ3" s="247"/>
      <c r="BA3" s="247"/>
      <c r="BB3" s="247"/>
      <c r="BC3" s="247"/>
      <c r="BD3" s="247"/>
      <c r="BE3" s="247"/>
      <c r="BJ3" t="s">
        <v>551</v>
      </c>
      <c r="BK3" t="s">
        <v>96</v>
      </c>
    </row>
    <row r="4" spans="2:63">
      <c r="B4" t="s">
        <v>1575</v>
      </c>
      <c r="C4" t="s">
        <v>8</v>
      </c>
      <c r="D4" t="s">
        <v>1598</v>
      </c>
      <c r="E4" s="123" t="s">
        <v>961</v>
      </c>
      <c r="F4" s="153" t="s">
        <v>962</v>
      </c>
      <c r="G4" s="122" t="s">
        <v>963</v>
      </c>
      <c r="H4" s="122" t="s">
        <v>964</v>
      </c>
      <c r="I4" s="122" t="s">
        <v>965</v>
      </c>
      <c r="J4" s="122" t="s">
        <v>966</v>
      </c>
      <c r="K4" s="122" t="s">
        <v>967</v>
      </c>
      <c r="L4" s="122" t="s">
        <v>968</v>
      </c>
      <c r="M4" s="122" t="s">
        <v>969</v>
      </c>
      <c r="N4" s="122" t="s">
        <v>970</v>
      </c>
      <c r="O4" s="122" t="s">
        <v>971</v>
      </c>
      <c r="P4" s="122" t="s">
        <v>972</v>
      </c>
      <c r="T4">
        <v>2026</v>
      </c>
      <c r="U4">
        <v>2027</v>
      </c>
      <c r="V4">
        <v>2028</v>
      </c>
      <c r="W4" s="155">
        <v>2029</v>
      </c>
      <c r="X4" s="155">
        <v>2030</v>
      </c>
      <c r="Y4" s="155">
        <v>2031</v>
      </c>
      <c r="Z4" s="155">
        <v>2032</v>
      </c>
      <c r="AA4" s="155">
        <v>2033</v>
      </c>
      <c r="AB4" s="155">
        <v>2034</v>
      </c>
      <c r="AC4" s="8">
        <v>2035</v>
      </c>
      <c r="AE4" s="155">
        <v>2026</v>
      </c>
      <c r="AF4" s="155">
        <v>2027</v>
      </c>
      <c r="AG4" s="155">
        <v>2028</v>
      </c>
      <c r="AH4" s="155">
        <v>2029</v>
      </c>
      <c r="AI4" s="155">
        <v>2030</v>
      </c>
      <c r="AJ4" s="155">
        <v>2031</v>
      </c>
      <c r="AK4" s="155">
        <v>2032</v>
      </c>
      <c r="AL4" s="155">
        <v>2033</v>
      </c>
      <c r="AM4" s="155">
        <v>2034</v>
      </c>
      <c r="AN4" s="8">
        <v>2035</v>
      </c>
      <c r="AP4" t="s">
        <v>96</v>
      </c>
      <c r="AQ4" t="s">
        <v>1594</v>
      </c>
      <c r="AR4" t="s">
        <v>1599</v>
      </c>
      <c r="AT4" s="155" t="s">
        <v>2272</v>
      </c>
      <c r="AV4" s="155">
        <v>2026</v>
      </c>
      <c r="AW4" s="155">
        <v>2027</v>
      </c>
      <c r="AX4" s="155">
        <v>2028</v>
      </c>
      <c r="AY4" s="155">
        <v>2029</v>
      </c>
      <c r="AZ4" s="155">
        <v>2030</v>
      </c>
      <c r="BA4" s="155">
        <v>2031</v>
      </c>
      <c r="BB4" s="155">
        <v>2032</v>
      </c>
      <c r="BC4" s="155">
        <v>2033</v>
      </c>
      <c r="BD4" s="155">
        <v>2034</v>
      </c>
      <c r="BE4" s="8">
        <v>2035</v>
      </c>
      <c r="BG4" t="s">
        <v>12</v>
      </c>
      <c r="BI4" t="s">
        <v>1602</v>
      </c>
      <c r="BJ4" s="227">
        <f>BG5+BG53</f>
        <v>65.817916755074293</v>
      </c>
      <c r="BK4" s="9">
        <f>SUM(AR5:AR117)</f>
        <v>4053</v>
      </c>
    </row>
    <row r="5" spans="2:63">
      <c r="B5" s="99" t="s">
        <v>1042</v>
      </c>
      <c r="C5" s="155" t="s">
        <v>347</v>
      </c>
      <c r="D5" s="155" t="s">
        <v>206</v>
      </c>
      <c r="E5" s="155"/>
      <c r="F5" s="189"/>
      <c r="G5" s="67"/>
      <c r="H5" s="67"/>
      <c r="I5" s="67"/>
      <c r="J5" s="67"/>
      <c r="K5" s="67"/>
      <c r="L5" s="67"/>
      <c r="M5" s="67"/>
      <c r="N5" s="67"/>
      <c r="O5" s="67"/>
      <c r="P5" s="67"/>
      <c r="R5" s="214" t="s">
        <v>1042</v>
      </c>
      <c r="S5" s="211" t="s">
        <v>206</v>
      </c>
      <c r="T5" s="76">
        <f>SUM($F5:G52)</f>
        <v>1396946.5693899996</v>
      </c>
      <c r="U5" s="76">
        <f>SUM($F5:H52)</f>
        <v>1539727.3442499996</v>
      </c>
      <c r="V5" s="76">
        <f>SUM($F5:I52)</f>
        <v>1659444.6905299993</v>
      </c>
      <c r="W5" s="76">
        <f>SUM($F5:J52)</f>
        <v>1766743.7129499994</v>
      </c>
      <c r="X5" s="76">
        <f>SUM($F5:K52)</f>
        <v>1892957.1068599992</v>
      </c>
      <c r="Y5" s="76">
        <f>SUM($F5:L52)</f>
        <v>1966605.7845799993</v>
      </c>
      <c r="Z5" s="76">
        <f>SUM($F5:M52)</f>
        <v>2032501.7845799993</v>
      </c>
      <c r="AA5" s="76">
        <f>SUM($F5:N52)</f>
        <v>2099056.7845799993</v>
      </c>
      <c r="AB5" s="76">
        <f>SUM($F5:O52)</f>
        <v>2146939.7845799997</v>
      </c>
      <c r="AC5" s="76">
        <f>SUM($F5:P52)</f>
        <v>2181079.7845799997</v>
      </c>
      <c r="AE5" s="76">
        <f>T5*$AE$2^(AE4-$AE$4)</f>
        <v>1396946.5693899996</v>
      </c>
      <c r="AF5" s="76">
        <f t="shared" ref="AF5:AN5" si="0">U5*$AE$2^(AF4-$AE$4)</f>
        <v>1572061.6184792495</v>
      </c>
      <c r="AG5" s="76">
        <f t="shared" si="0"/>
        <v>1729873.1826407826</v>
      </c>
      <c r="AH5" s="76">
        <f t="shared" si="0"/>
        <v>1880402.3306116073</v>
      </c>
      <c r="AI5" s="76">
        <f t="shared" si="0"/>
        <v>2057044.7591882474</v>
      </c>
      <c r="AJ5" s="76">
        <f t="shared" si="0"/>
        <v>2181956.1712017204</v>
      </c>
      <c r="AK5" s="76">
        <f t="shared" si="0"/>
        <v>2302424.4479472828</v>
      </c>
      <c r="AL5" s="76">
        <f t="shared" si="0"/>
        <v>2427752.343791245</v>
      </c>
      <c r="AM5" s="76">
        <f t="shared" si="0"/>
        <v>2535279.2421151348</v>
      </c>
      <c r="AN5" s="76">
        <f t="shared" si="0"/>
        <v>2629681.9855686752</v>
      </c>
      <c r="AO5" s="211" t="s">
        <v>1087</v>
      </c>
      <c r="AP5" s="211">
        <v>380</v>
      </c>
      <c r="AQ5">
        <f>AP5</f>
        <v>380</v>
      </c>
      <c r="AR5" s="155">
        <f>AQ5</f>
        <v>380</v>
      </c>
      <c r="AS5" s="155">
        <f>AR10</f>
        <v>14</v>
      </c>
      <c r="AT5" s="187">
        <v>14</v>
      </c>
      <c r="AV5" s="76">
        <f>(AE5*$AV1)/SUM($AQ5:$AQ36)</f>
        <v>31.599024059547038</v>
      </c>
      <c r="AW5" s="76">
        <f t="shared" ref="AW5:BD5" si="1">(AF5*$AV1)/SUM($AQ5:$AQ36)</f>
        <v>35.560138085387159</v>
      </c>
      <c r="AX5" s="76">
        <f t="shared" si="1"/>
        <v>39.129846134416233</v>
      </c>
      <c r="AY5" s="76">
        <f t="shared" si="1"/>
        <v>42.534825446166323</v>
      </c>
      <c r="AZ5" s="76">
        <f t="shared" si="1"/>
        <v>46.530488897322812</v>
      </c>
      <c r="BA5" s="76">
        <f t="shared" si="1"/>
        <v>49.355993322484387</v>
      </c>
      <c r="BB5" s="76">
        <f t="shared" si="1"/>
        <v>52.080993733171141</v>
      </c>
      <c r="BC5" s="76">
        <f t="shared" si="1"/>
        <v>54.915919050203897</v>
      </c>
      <c r="BD5" s="76">
        <f t="shared" si="1"/>
        <v>57.348184622586345</v>
      </c>
      <c r="BE5" s="76">
        <f>(AN5*$AV1)/SUM($AQ5:$AQ36)</f>
        <v>59.483580941271789</v>
      </c>
      <c r="BG5" s="227">
        <f>NPV($BG$2,AV5:BE5)/((1-(1+$BG$2)^-10)/$BG$2)</f>
        <v>45.146620040312534</v>
      </c>
    </row>
    <row r="6" spans="2:63">
      <c r="B6" s="99" t="s">
        <v>1042</v>
      </c>
      <c r="C6" s="155" t="s">
        <v>347</v>
      </c>
      <c r="D6" s="155" t="s">
        <v>206</v>
      </c>
      <c r="E6" s="155"/>
      <c r="F6" s="189"/>
      <c r="G6" s="67"/>
      <c r="H6" s="67"/>
      <c r="I6" s="67"/>
      <c r="J6" s="67"/>
      <c r="K6" s="67"/>
      <c r="L6" s="67"/>
      <c r="M6" s="67"/>
      <c r="N6" s="67"/>
      <c r="O6" s="67"/>
      <c r="P6" s="67"/>
      <c r="R6" s="214" t="s">
        <v>1042</v>
      </c>
      <c r="S6" s="210" t="s">
        <v>206</v>
      </c>
      <c r="AO6" s="210" t="s">
        <v>1090</v>
      </c>
      <c r="AP6" s="210">
        <v>800</v>
      </c>
      <c r="AQ6" s="155">
        <f t="shared" ref="AQ6:AR36" si="2">AP6</f>
        <v>800</v>
      </c>
      <c r="AR6" s="155">
        <f t="shared" si="2"/>
        <v>800</v>
      </c>
      <c r="AS6" s="155">
        <f>AR16</f>
        <v>105</v>
      </c>
      <c r="AT6" s="187">
        <v>105</v>
      </c>
      <c r="BG6" s="9"/>
    </row>
    <row r="7" spans="2:63">
      <c r="B7" s="99" t="s">
        <v>1042</v>
      </c>
      <c r="C7" s="155" t="s">
        <v>347</v>
      </c>
      <c r="D7" s="155" t="s">
        <v>206</v>
      </c>
      <c r="E7" s="155"/>
      <c r="F7" s="189"/>
      <c r="G7" s="67"/>
      <c r="H7" s="67"/>
      <c r="I7" s="67"/>
      <c r="J7" s="67"/>
      <c r="K7" s="67"/>
      <c r="L7" s="67"/>
      <c r="M7" s="67"/>
      <c r="N7" s="67"/>
      <c r="O7" s="67"/>
      <c r="P7" s="67"/>
      <c r="R7" s="214" t="s">
        <v>1042</v>
      </c>
      <c r="S7" s="211" t="s">
        <v>206</v>
      </c>
      <c r="AO7" s="211" t="s">
        <v>1090</v>
      </c>
      <c r="AP7" s="211">
        <v>800</v>
      </c>
      <c r="AQ7" s="155"/>
      <c r="AR7" s="155"/>
      <c r="AS7" s="155">
        <f>AR12</f>
        <v>100</v>
      </c>
      <c r="AT7" s="187">
        <v>100</v>
      </c>
      <c r="BG7" s="9"/>
    </row>
    <row r="8" spans="2:63">
      <c r="B8" s="99" t="s">
        <v>1042</v>
      </c>
      <c r="C8" s="155" t="s">
        <v>347</v>
      </c>
      <c r="D8" s="155" t="s">
        <v>206</v>
      </c>
      <c r="E8" s="155"/>
      <c r="F8" s="189"/>
      <c r="G8" s="67"/>
      <c r="H8" s="67"/>
      <c r="I8" s="67"/>
      <c r="J8" s="67"/>
      <c r="K8" s="67"/>
      <c r="L8" s="67"/>
      <c r="M8" s="67"/>
      <c r="N8" s="67"/>
      <c r="O8" s="67"/>
      <c r="P8" s="67"/>
      <c r="R8" s="214" t="s">
        <v>1042</v>
      </c>
      <c r="S8" s="210" t="s">
        <v>206</v>
      </c>
      <c r="AO8" s="210" t="s">
        <v>1090</v>
      </c>
      <c r="AP8" s="210">
        <v>800</v>
      </c>
      <c r="AQ8" s="155"/>
      <c r="AR8" s="155"/>
      <c r="AS8" s="155">
        <f>AR11</f>
        <v>20</v>
      </c>
      <c r="AT8" s="187">
        <v>20</v>
      </c>
      <c r="BG8" s="9"/>
    </row>
    <row r="9" spans="2:63">
      <c r="B9" s="99" t="s">
        <v>1042</v>
      </c>
      <c r="C9" s="155" t="s">
        <v>347</v>
      </c>
      <c r="D9" s="155" t="s">
        <v>206</v>
      </c>
      <c r="E9" s="155"/>
      <c r="F9" s="189"/>
      <c r="G9" s="67"/>
      <c r="H9" s="67"/>
      <c r="I9" s="67"/>
      <c r="J9" s="67"/>
      <c r="K9" s="67"/>
      <c r="L9" s="67"/>
      <c r="M9" s="67"/>
      <c r="N9" s="67"/>
      <c r="O9" s="67"/>
      <c r="P9" s="67"/>
      <c r="R9" s="214" t="s">
        <v>1042</v>
      </c>
      <c r="S9" s="211" t="s">
        <v>206</v>
      </c>
      <c r="AO9" s="211" t="s">
        <v>1099</v>
      </c>
      <c r="AP9" s="211">
        <v>75</v>
      </c>
      <c r="AQ9" s="155">
        <f t="shared" si="2"/>
        <v>75</v>
      </c>
      <c r="AR9" s="155">
        <f t="shared" ref="AR9:AR36" si="3">AQ9</f>
        <v>75</v>
      </c>
      <c r="AS9" s="155">
        <f>AR24</f>
        <v>28</v>
      </c>
      <c r="AT9" s="187">
        <v>28</v>
      </c>
      <c r="BG9" s="9"/>
    </row>
    <row r="10" spans="2:63">
      <c r="B10" s="99" t="s">
        <v>1042</v>
      </c>
      <c r="C10" s="155" t="s">
        <v>347</v>
      </c>
      <c r="D10" s="155" t="s">
        <v>206</v>
      </c>
      <c r="E10" s="155"/>
      <c r="F10" s="189"/>
      <c r="G10" s="67"/>
      <c r="H10" s="67"/>
      <c r="I10" s="67"/>
      <c r="J10" s="67"/>
      <c r="K10" s="67"/>
      <c r="L10" s="67"/>
      <c r="M10" s="67"/>
      <c r="N10" s="67"/>
      <c r="O10" s="67"/>
      <c r="P10" s="67"/>
      <c r="R10" s="214" t="s">
        <v>1042</v>
      </c>
      <c r="S10" s="210" t="s">
        <v>206</v>
      </c>
      <c r="AO10" s="210" t="s">
        <v>1103</v>
      </c>
      <c r="AP10" s="210">
        <v>14</v>
      </c>
      <c r="AQ10" s="155">
        <f t="shared" si="2"/>
        <v>14</v>
      </c>
      <c r="AR10" s="155">
        <f t="shared" si="3"/>
        <v>14</v>
      </c>
      <c r="AS10" s="155">
        <f>AR6</f>
        <v>800</v>
      </c>
      <c r="AT10" s="187">
        <v>800</v>
      </c>
      <c r="BG10" s="9"/>
    </row>
    <row r="11" spans="2:63">
      <c r="B11" s="99" t="s">
        <v>1042</v>
      </c>
      <c r="C11" s="155" t="s">
        <v>347</v>
      </c>
      <c r="D11" s="155" t="s">
        <v>206</v>
      </c>
      <c r="E11" s="155"/>
      <c r="F11" s="189"/>
      <c r="G11" s="67"/>
      <c r="H11" s="67"/>
      <c r="I11" s="67"/>
      <c r="J11" s="67"/>
      <c r="K11" s="67"/>
      <c r="L11" s="67"/>
      <c r="M11" s="67"/>
      <c r="N11" s="67"/>
      <c r="O11" s="67"/>
      <c r="P11" s="67"/>
      <c r="R11" s="214" t="s">
        <v>1042</v>
      </c>
      <c r="S11" s="211" t="s">
        <v>206</v>
      </c>
      <c r="AO11" s="215" t="s">
        <v>1109</v>
      </c>
      <c r="AP11" s="217">
        <v>20</v>
      </c>
      <c r="AQ11" s="155">
        <f t="shared" si="2"/>
        <v>20</v>
      </c>
      <c r="AR11" s="155">
        <f t="shared" si="3"/>
        <v>20</v>
      </c>
      <c r="AS11" s="155">
        <f>AR5</f>
        <v>380</v>
      </c>
      <c r="AT11" s="187">
        <v>380</v>
      </c>
      <c r="BG11" s="9"/>
    </row>
    <row r="12" spans="2:63">
      <c r="B12" s="99" t="s">
        <v>1042</v>
      </c>
      <c r="C12" s="155" t="s">
        <v>347</v>
      </c>
      <c r="D12" s="155" t="s">
        <v>206</v>
      </c>
      <c r="E12" s="155"/>
      <c r="F12" s="189"/>
      <c r="G12" s="67"/>
      <c r="H12" s="67"/>
      <c r="I12" s="67"/>
      <c r="J12" s="67"/>
      <c r="K12" s="67"/>
      <c r="L12" s="67"/>
      <c r="M12" s="67"/>
      <c r="N12" s="67"/>
      <c r="O12" s="67"/>
      <c r="P12" s="67"/>
      <c r="R12" s="214" t="s">
        <v>1042</v>
      </c>
      <c r="S12" s="210" t="s">
        <v>206</v>
      </c>
      <c r="AO12" s="210" t="s">
        <v>1116</v>
      </c>
      <c r="AP12" s="210">
        <v>100</v>
      </c>
      <c r="AQ12" s="155">
        <f t="shared" si="2"/>
        <v>100</v>
      </c>
      <c r="AR12" s="155">
        <f t="shared" si="3"/>
        <v>100</v>
      </c>
      <c r="AS12" s="155">
        <f>AR79</f>
        <v>20</v>
      </c>
      <c r="AT12" s="187">
        <v>20</v>
      </c>
      <c r="BG12" s="9"/>
    </row>
    <row r="13" spans="2:63">
      <c r="B13" s="99" t="s">
        <v>1042</v>
      </c>
      <c r="C13" s="155" t="s">
        <v>347</v>
      </c>
      <c r="D13" s="155" t="s">
        <v>206</v>
      </c>
      <c r="E13" s="155"/>
      <c r="F13" s="189"/>
      <c r="G13" s="67"/>
      <c r="H13" s="67"/>
      <c r="I13" s="67"/>
      <c r="J13" s="67"/>
      <c r="K13" s="67"/>
      <c r="L13" s="67"/>
      <c r="M13" s="67"/>
      <c r="N13" s="67"/>
      <c r="O13" s="67"/>
      <c r="P13" s="67"/>
      <c r="R13" s="214" t="s">
        <v>1042</v>
      </c>
      <c r="S13" s="211" t="s">
        <v>206</v>
      </c>
      <c r="AO13" s="211" t="s">
        <v>1121</v>
      </c>
      <c r="AP13" s="211">
        <v>5</v>
      </c>
      <c r="AQ13" s="155">
        <f t="shared" si="2"/>
        <v>5</v>
      </c>
      <c r="AR13" s="155">
        <f t="shared" si="3"/>
        <v>5</v>
      </c>
      <c r="AS13" s="155">
        <f>AR25</f>
        <v>34</v>
      </c>
      <c r="AT13" s="187">
        <v>34</v>
      </c>
      <c r="BG13" s="9"/>
    </row>
    <row r="14" spans="2:63">
      <c r="B14" s="99" t="s">
        <v>1042</v>
      </c>
      <c r="C14" s="155" t="s">
        <v>347</v>
      </c>
      <c r="D14" s="155" t="s">
        <v>206</v>
      </c>
      <c r="E14" s="155"/>
      <c r="F14" s="189"/>
      <c r="G14" s="67"/>
      <c r="H14" s="67"/>
      <c r="I14" s="67"/>
      <c r="J14" s="67"/>
      <c r="K14" s="67"/>
      <c r="L14" s="67"/>
      <c r="M14" s="67"/>
      <c r="N14" s="67"/>
      <c r="O14" s="67"/>
      <c r="P14" s="67"/>
      <c r="R14" s="214" t="s">
        <v>1042</v>
      </c>
      <c r="S14" s="210" t="s">
        <v>206</v>
      </c>
      <c r="AO14" s="216" t="s">
        <v>1126</v>
      </c>
      <c r="AP14" s="218">
        <v>130</v>
      </c>
      <c r="AQ14" s="155">
        <f t="shared" si="2"/>
        <v>130</v>
      </c>
      <c r="AR14" s="155">
        <f t="shared" si="3"/>
        <v>130</v>
      </c>
      <c r="AS14" s="155">
        <f>AR114</f>
        <v>16</v>
      </c>
      <c r="AT14" s="221">
        <v>16</v>
      </c>
      <c r="BG14" s="9"/>
    </row>
    <row r="15" spans="2:63">
      <c r="B15" s="99" t="s">
        <v>1042</v>
      </c>
      <c r="C15" s="155" t="s">
        <v>347</v>
      </c>
      <c r="D15" s="155" t="s">
        <v>206</v>
      </c>
      <c r="E15" s="155"/>
      <c r="F15" s="189"/>
      <c r="G15" s="67"/>
      <c r="H15" s="67"/>
      <c r="I15" s="67"/>
      <c r="J15" s="67"/>
      <c r="K15" s="67"/>
      <c r="L15" s="67"/>
      <c r="M15" s="67"/>
      <c r="N15" s="67"/>
      <c r="O15" s="67"/>
      <c r="P15" s="67"/>
      <c r="R15" s="214" t="s">
        <v>1042</v>
      </c>
      <c r="S15" s="211" t="s">
        <v>206</v>
      </c>
      <c r="AO15" s="211" t="s">
        <v>1139</v>
      </c>
      <c r="AP15" s="211">
        <v>100</v>
      </c>
      <c r="AQ15" s="155">
        <f t="shared" si="2"/>
        <v>100</v>
      </c>
      <c r="AR15" s="155">
        <f t="shared" si="3"/>
        <v>100</v>
      </c>
      <c r="AS15" s="155">
        <f t="shared" ref="AS15:AS20" si="4">AR26</f>
        <v>40</v>
      </c>
      <c r="AT15" s="187">
        <v>40</v>
      </c>
      <c r="BG15" s="9"/>
    </row>
    <row r="16" spans="2:63">
      <c r="B16" s="99" t="s">
        <v>1042</v>
      </c>
      <c r="C16" s="155" t="s">
        <v>347</v>
      </c>
      <c r="D16" s="155" t="s">
        <v>206</v>
      </c>
      <c r="E16" s="155"/>
      <c r="F16" s="189"/>
      <c r="G16" s="67"/>
      <c r="H16" s="67"/>
      <c r="I16" s="67"/>
      <c r="J16" s="67"/>
      <c r="K16" s="67"/>
      <c r="L16" s="67"/>
      <c r="M16" s="67"/>
      <c r="N16" s="67"/>
      <c r="O16" s="67"/>
      <c r="P16" s="67"/>
      <c r="R16" s="214" t="s">
        <v>1042</v>
      </c>
      <c r="S16" s="210" t="s">
        <v>206</v>
      </c>
      <c r="AO16" s="210" t="s">
        <v>1166</v>
      </c>
      <c r="AP16" s="210">
        <v>105</v>
      </c>
      <c r="AQ16" s="155">
        <f t="shared" si="2"/>
        <v>105</v>
      </c>
      <c r="AR16" s="155">
        <f t="shared" si="3"/>
        <v>105</v>
      </c>
      <c r="AS16" s="155">
        <f t="shared" si="4"/>
        <v>40</v>
      </c>
      <c r="AT16" s="187">
        <v>40</v>
      </c>
      <c r="BG16" s="9"/>
    </row>
    <row r="17" spans="2:59">
      <c r="B17" s="99" t="s">
        <v>1042</v>
      </c>
      <c r="C17" s="155" t="s">
        <v>347</v>
      </c>
      <c r="D17" s="155" t="s">
        <v>206</v>
      </c>
      <c r="E17" s="155"/>
      <c r="F17" s="189"/>
      <c r="G17" s="67"/>
      <c r="H17" s="67"/>
      <c r="I17" s="67"/>
      <c r="J17" s="67"/>
      <c r="K17" s="67"/>
      <c r="L17" s="67"/>
      <c r="M17" s="67"/>
      <c r="N17" s="67"/>
      <c r="O17" s="67"/>
      <c r="P17" s="67"/>
      <c r="R17" s="214" t="s">
        <v>1042</v>
      </c>
      <c r="S17" s="211" t="s">
        <v>206</v>
      </c>
      <c r="AO17" s="214" t="s">
        <v>1192</v>
      </c>
      <c r="AP17" s="211"/>
      <c r="AQ17" s="155"/>
      <c r="AR17" s="155"/>
      <c r="AS17" s="155">
        <f t="shared" si="4"/>
        <v>40</v>
      </c>
      <c r="AT17" s="187">
        <v>40</v>
      </c>
      <c r="BG17" s="9"/>
    </row>
    <row r="18" spans="2:59">
      <c r="B18" s="99" t="s">
        <v>1042</v>
      </c>
      <c r="C18" s="155" t="s">
        <v>347</v>
      </c>
      <c r="D18" s="155" t="s">
        <v>206</v>
      </c>
      <c r="E18" s="155"/>
      <c r="F18" s="189"/>
      <c r="G18" s="67"/>
      <c r="H18" s="67"/>
      <c r="I18" s="67"/>
      <c r="J18" s="67"/>
      <c r="K18" s="67"/>
      <c r="L18" s="67"/>
      <c r="M18" s="67"/>
      <c r="N18" s="67"/>
      <c r="O18" s="67"/>
      <c r="P18" s="67"/>
      <c r="R18" s="214" t="s">
        <v>1042</v>
      </c>
      <c r="S18" s="210" t="s">
        <v>206</v>
      </c>
      <c r="AO18" s="214" t="s">
        <v>1203</v>
      </c>
      <c r="AP18" s="210"/>
      <c r="AQ18" s="155"/>
      <c r="AR18" s="155"/>
      <c r="AS18" s="155">
        <f t="shared" si="4"/>
        <v>40</v>
      </c>
      <c r="AT18" s="187">
        <v>40</v>
      </c>
      <c r="BG18" s="9"/>
    </row>
    <row r="19" spans="2:59">
      <c r="B19" s="99" t="s">
        <v>1042</v>
      </c>
      <c r="C19" s="155" t="s">
        <v>347</v>
      </c>
      <c r="D19" s="155" t="s">
        <v>206</v>
      </c>
      <c r="E19" s="155"/>
      <c r="F19" s="189"/>
      <c r="G19" s="67"/>
      <c r="H19" s="67"/>
      <c r="I19" s="67"/>
      <c r="J19" s="67"/>
      <c r="K19" s="67"/>
      <c r="L19" s="67"/>
      <c r="M19" s="67"/>
      <c r="N19" s="67"/>
      <c r="O19" s="67"/>
      <c r="P19" s="67"/>
      <c r="R19" s="214" t="s">
        <v>1042</v>
      </c>
      <c r="S19" s="211" t="s">
        <v>206</v>
      </c>
      <c r="AO19" s="214" t="s">
        <v>1203</v>
      </c>
      <c r="AP19" s="211"/>
      <c r="AQ19" s="155"/>
      <c r="AR19" s="155"/>
      <c r="AS19" s="155">
        <f t="shared" si="4"/>
        <v>40</v>
      </c>
      <c r="AT19" s="187">
        <v>40</v>
      </c>
      <c r="BG19" s="9"/>
    </row>
    <row r="20" spans="2:59">
      <c r="B20" s="99" t="s">
        <v>1042</v>
      </c>
      <c r="C20" s="155" t="s">
        <v>347</v>
      </c>
      <c r="D20" s="155" t="s">
        <v>206</v>
      </c>
      <c r="E20" s="155"/>
      <c r="F20" s="189"/>
      <c r="G20" s="67"/>
      <c r="H20" s="67"/>
      <c r="I20" s="67"/>
      <c r="J20" s="67"/>
      <c r="K20" s="67"/>
      <c r="L20" s="67"/>
      <c r="M20" s="67"/>
      <c r="N20" s="67"/>
      <c r="O20" s="67"/>
      <c r="P20" s="67"/>
      <c r="R20" s="214" t="s">
        <v>1042</v>
      </c>
      <c r="S20" s="210" t="s">
        <v>206</v>
      </c>
      <c r="AO20" s="214" t="s">
        <v>1203</v>
      </c>
      <c r="AP20" s="210"/>
      <c r="AQ20" s="155"/>
      <c r="AR20" s="155"/>
      <c r="AS20" s="155">
        <f t="shared" si="4"/>
        <v>18</v>
      </c>
      <c r="AT20" s="187">
        <v>18</v>
      </c>
      <c r="BG20" s="9"/>
    </row>
    <row r="21" spans="2:59">
      <c r="B21" s="155" t="s">
        <v>1087</v>
      </c>
      <c r="C21" s="155" t="s">
        <v>347</v>
      </c>
      <c r="D21" s="155" t="s">
        <v>206</v>
      </c>
      <c r="E21" s="155">
        <v>380</v>
      </c>
      <c r="F21" s="189">
        <v>33388.302840000004</v>
      </c>
      <c r="G21" s="67">
        <v>19183.415290000001</v>
      </c>
      <c r="H21" s="67">
        <v>14899.195530000001</v>
      </c>
      <c r="I21" s="67">
        <v>4170.2809999999999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R21" s="211" t="s">
        <v>1087</v>
      </c>
      <c r="S21" s="211" t="s">
        <v>206</v>
      </c>
      <c r="T21" s="76"/>
      <c r="U21" s="76"/>
      <c r="V21" s="76"/>
      <c r="W21" s="76"/>
      <c r="X21" s="76"/>
      <c r="Y21" s="76"/>
      <c r="Z21" s="76"/>
      <c r="AA21" s="76"/>
      <c r="AB21" s="76"/>
      <c r="AC21" s="207"/>
      <c r="AO21" s="214" t="s">
        <v>1203</v>
      </c>
      <c r="AP21" s="211"/>
      <c r="AQ21" s="155"/>
      <c r="AR21" s="155"/>
      <c r="AS21" s="155">
        <f>AR9</f>
        <v>75</v>
      </c>
      <c r="AT21" s="187">
        <v>75</v>
      </c>
      <c r="BG21" s="9"/>
    </row>
    <row r="22" spans="2:59">
      <c r="B22" s="155" t="s">
        <v>1090</v>
      </c>
      <c r="C22" s="155" t="s">
        <v>347</v>
      </c>
      <c r="D22" s="155" t="s">
        <v>206</v>
      </c>
      <c r="E22" s="155">
        <v>800</v>
      </c>
      <c r="F22" s="189">
        <v>21736.820479999998</v>
      </c>
      <c r="G22" s="67">
        <v>8569</v>
      </c>
      <c r="H22" s="67">
        <v>17197.51643</v>
      </c>
      <c r="I22" s="67">
        <v>12683.073119999999</v>
      </c>
      <c r="J22" s="67">
        <v>14812.79385</v>
      </c>
      <c r="K22" s="67">
        <v>131.72131999999999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R22" s="210" t="s">
        <v>1090</v>
      </c>
      <c r="S22" s="210" t="s">
        <v>206</v>
      </c>
      <c r="AO22" s="214" t="s">
        <v>1203</v>
      </c>
      <c r="AP22" s="210"/>
      <c r="AQ22" s="155"/>
      <c r="AR22" s="155"/>
      <c r="AS22" s="155">
        <f>AR32</f>
        <v>160</v>
      </c>
      <c r="AT22" s="187">
        <v>160</v>
      </c>
      <c r="BG22" s="9"/>
    </row>
    <row r="23" spans="2:59">
      <c r="B23" s="155" t="s">
        <v>1090</v>
      </c>
      <c r="C23" s="155" t="s">
        <v>347</v>
      </c>
      <c r="D23" s="155" t="s">
        <v>206</v>
      </c>
      <c r="E23" s="155">
        <v>800</v>
      </c>
      <c r="F23" s="189">
        <v>21630.842639999999</v>
      </c>
      <c r="G23" s="67">
        <v>8644</v>
      </c>
      <c r="H23" s="67">
        <v>17065.75316</v>
      </c>
      <c r="I23" s="67">
        <v>35434.486969999998</v>
      </c>
      <c r="J23" s="67">
        <v>3840.76181</v>
      </c>
      <c r="K23" s="67">
        <v>33.83296</v>
      </c>
      <c r="L23" s="67">
        <v>0</v>
      </c>
      <c r="M23" s="67">
        <v>0</v>
      </c>
      <c r="N23" s="67">
        <v>0</v>
      </c>
      <c r="O23" s="67">
        <v>0</v>
      </c>
      <c r="P23" s="67">
        <v>0</v>
      </c>
      <c r="R23" s="211" t="s">
        <v>1090</v>
      </c>
      <c r="S23" s="211" t="s">
        <v>206</v>
      </c>
      <c r="AO23" s="211" t="s">
        <v>1304</v>
      </c>
      <c r="AP23" s="211">
        <v>200</v>
      </c>
      <c r="AQ23" s="155">
        <f t="shared" si="2"/>
        <v>200</v>
      </c>
      <c r="AR23" s="155">
        <f t="shared" si="3"/>
        <v>200</v>
      </c>
      <c r="AS23" s="155">
        <f>AR113</f>
        <v>20</v>
      </c>
      <c r="AT23" s="221">
        <v>20</v>
      </c>
      <c r="BG23" s="9"/>
    </row>
    <row r="24" spans="2:59">
      <c r="B24" s="155" t="s">
        <v>1090</v>
      </c>
      <c r="C24" s="155" t="s">
        <v>347</v>
      </c>
      <c r="D24" s="155" t="s">
        <v>206</v>
      </c>
      <c r="E24" s="155">
        <v>800</v>
      </c>
      <c r="F24" s="189">
        <v>34560.413039999999</v>
      </c>
      <c r="G24" s="67">
        <v>12308</v>
      </c>
      <c r="H24" s="67">
        <v>29724.719130000001</v>
      </c>
      <c r="I24" s="67">
        <v>20911.178889999999</v>
      </c>
      <c r="J24" s="67">
        <v>25513.823280000001</v>
      </c>
      <c r="K24" s="67">
        <v>12291.925450000001</v>
      </c>
      <c r="L24" s="67">
        <v>0</v>
      </c>
      <c r="M24" s="67">
        <v>0</v>
      </c>
      <c r="N24" s="67">
        <v>0</v>
      </c>
      <c r="O24" s="67">
        <v>0</v>
      </c>
      <c r="P24" s="67">
        <v>0</v>
      </c>
      <c r="R24" s="210" t="s">
        <v>1090</v>
      </c>
      <c r="S24" s="210" t="s">
        <v>206</v>
      </c>
      <c r="AO24" s="210" t="s">
        <v>1345</v>
      </c>
      <c r="AP24" s="210">
        <v>28</v>
      </c>
      <c r="AQ24" s="155">
        <f t="shared" si="2"/>
        <v>28</v>
      </c>
      <c r="AR24" s="155">
        <f t="shared" si="3"/>
        <v>28</v>
      </c>
      <c r="AS24" s="155">
        <f>AR98</f>
        <v>10</v>
      </c>
      <c r="AT24" s="221">
        <v>10</v>
      </c>
      <c r="BG24" s="9"/>
    </row>
    <row r="25" spans="2:59">
      <c r="B25" s="155" t="s">
        <v>1099</v>
      </c>
      <c r="C25" s="155" t="s">
        <v>347</v>
      </c>
      <c r="D25" s="155" t="s">
        <v>206</v>
      </c>
      <c r="E25" s="155">
        <v>75</v>
      </c>
      <c r="F25" s="189">
        <v>1558.1163200000001</v>
      </c>
      <c r="G25" s="67">
        <v>954.58321000000001</v>
      </c>
      <c r="H25" s="67">
        <v>1239.44517</v>
      </c>
      <c r="I25" s="67">
        <v>146.65603999999999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v>0</v>
      </c>
      <c r="P25" s="67">
        <v>0</v>
      </c>
      <c r="R25" s="211" t="s">
        <v>1099</v>
      </c>
      <c r="S25" s="211" t="s">
        <v>206</v>
      </c>
      <c r="AO25" s="211" t="s">
        <v>1345</v>
      </c>
      <c r="AP25" s="211">
        <v>34</v>
      </c>
      <c r="AQ25" s="155">
        <f t="shared" si="2"/>
        <v>34</v>
      </c>
      <c r="AR25" s="155">
        <f t="shared" si="3"/>
        <v>34</v>
      </c>
      <c r="AS25" s="155">
        <f>AR85</f>
        <v>25</v>
      </c>
      <c r="AT25" s="221">
        <v>25</v>
      </c>
      <c r="BG25" s="9"/>
    </row>
    <row r="26" spans="2:59">
      <c r="B26" s="155" t="s">
        <v>1103</v>
      </c>
      <c r="C26" s="155" t="s">
        <v>347</v>
      </c>
      <c r="D26" s="155" t="s">
        <v>206</v>
      </c>
      <c r="E26" s="155">
        <v>14</v>
      </c>
      <c r="F26" s="189">
        <v>5386.9529600000005</v>
      </c>
      <c r="G26" s="67">
        <v>12005.448490000001</v>
      </c>
      <c r="H26" s="67">
        <v>13140.8858</v>
      </c>
      <c r="I26" s="67">
        <v>21714.226009999998</v>
      </c>
      <c r="J26" s="67">
        <v>11048.45844</v>
      </c>
      <c r="K26" s="67">
        <v>487.16073999999998</v>
      </c>
      <c r="L26" s="67">
        <v>0</v>
      </c>
      <c r="M26" s="67">
        <v>0</v>
      </c>
      <c r="N26" s="67">
        <v>0</v>
      </c>
      <c r="O26" s="67">
        <v>0</v>
      </c>
      <c r="P26" s="67">
        <v>0</v>
      </c>
      <c r="R26" s="210" t="s">
        <v>1103</v>
      </c>
      <c r="S26" s="210" t="s">
        <v>206</v>
      </c>
      <c r="AO26" s="210" t="s">
        <v>1345</v>
      </c>
      <c r="AP26" s="210">
        <v>40</v>
      </c>
      <c r="AQ26" s="155">
        <f t="shared" si="2"/>
        <v>40</v>
      </c>
      <c r="AR26" s="155">
        <f t="shared" si="3"/>
        <v>40</v>
      </c>
      <c r="AS26" s="155">
        <f>AR14</f>
        <v>130</v>
      </c>
      <c r="AT26" s="221">
        <v>130</v>
      </c>
      <c r="BG26" s="9"/>
    </row>
    <row r="27" spans="2:59">
      <c r="B27" s="208" t="s">
        <v>1109</v>
      </c>
      <c r="C27" s="199" t="s">
        <v>347</v>
      </c>
      <c r="D27" s="199" t="s">
        <v>206</v>
      </c>
      <c r="E27" s="199">
        <v>20</v>
      </c>
      <c r="F27" s="213">
        <v>2672.9128000000001</v>
      </c>
      <c r="G27" s="212">
        <v>7613.86265</v>
      </c>
      <c r="H27" s="212">
        <v>3446.41896</v>
      </c>
      <c r="I27" s="212">
        <v>0</v>
      </c>
      <c r="J27" s="212">
        <v>0</v>
      </c>
      <c r="K27" s="212">
        <v>0</v>
      </c>
      <c r="L27" s="212">
        <v>0</v>
      </c>
      <c r="M27" s="212">
        <v>0</v>
      </c>
      <c r="N27" s="212">
        <v>0</v>
      </c>
      <c r="O27" s="212">
        <v>0</v>
      </c>
      <c r="P27" s="212">
        <v>0</v>
      </c>
      <c r="R27" s="215" t="s">
        <v>1109</v>
      </c>
      <c r="S27" s="217" t="s">
        <v>206</v>
      </c>
      <c r="AO27" s="211" t="s">
        <v>1345</v>
      </c>
      <c r="AP27" s="211">
        <v>40</v>
      </c>
      <c r="AQ27" s="155">
        <f t="shared" si="2"/>
        <v>40</v>
      </c>
      <c r="AR27" s="155">
        <f t="shared" si="3"/>
        <v>40</v>
      </c>
      <c r="AS27" s="155">
        <f>AR13</f>
        <v>5</v>
      </c>
      <c r="AT27" s="221">
        <v>5</v>
      </c>
      <c r="BG27" s="9"/>
    </row>
    <row r="28" spans="2:59">
      <c r="B28" s="155" t="s">
        <v>1116</v>
      </c>
      <c r="C28" s="155" t="s">
        <v>347</v>
      </c>
      <c r="D28" s="155" t="s">
        <v>206</v>
      </c>
      <c r="E28" s="155">
        <v>100</v>
      </c>
      <c r="F28" s="189">
        <v>10264.586360000001</v>
      </c>
      <c r="G28" s="67">
        <v>1198.72783</v>
      </c>
      <c r="H28" s="67">
        <v>1090.60951</v>
      </c>
      <c r="I28" s="67">
        <v>1090.60951</v>
      </c>
      <c r="J28" s="67">
        <v>11369.08122</v>
      </c>
      <c r="K28" s="67">
        <v>56118.75344</v>
      </c>
      <c r="L28" s="67">
        <v>28144.67772</v>
      </c>
      <c r="M28" s="67">
        <v>0</v>
      </c>
      <c r="N28" s="67">
        <v>0</v>
      </c>
      <c r="O28" s="67">
        <v>0</v>
      </c>
      <c r="P28" s="67">
        <v>0</v>
      </c>
      <c r="R28" s="210" t="s">
        <v>1116</v>
      </c>
      <c r="S28" s="210" t="s">
        <v>206</v>
      </c>
      <c r="AO28" s="210" t="s">
        <v>1345</v>
      </c>
      <c r="AP28" s="210">
        <v>40</v>
      </c>
      <c r="AQ28" s="155">
        <f t="shared" si="2"/>
        <v>40</v>
      </c>
      <c r="AR28" s="155">
        <f t="shared" si="3"/>
        <v>40</v>
      </c>
      <c r="AS28" s="155">
        <f>AR33</f>
        <v>312</v>
      </c>
      <c r="AT28" s="221">
        <v>312</v>
      </c>
      <c r="BG28" s="9"/>
    </row>
    <row r="29" spans="2:59">
      <c r="B29" s="155" t="s">
        <v>1121</v>
      </c>
      <c r="C29" s="155" t="s">
        <v>347</v>
      </c>
      <c r="D29" s="155" t="s">
        <v>206</v>
      </c>
      <c r="E29" s="155">
        <v>5</v>
      </c>
      <c r="F29" s="189">
        <v>1352.29132</v>
      </c>
      <c r="G29" s="67">
        <v>249.65528</v>
      </c>
      <c r="H29" s="67">
        <v>250</v>
      </c>
      <c r="I29" s="67">
        <v>150</v>
      </c>
      <c r="J29" s="67">
        <v>150</v>
      </c>
      <c r="K29" s="67">
        <v>2322</v>
      </c>
      <c r="L29" s="67">
        <v>6820</v>
      </c>
      <c r="M29" s="67">
        <v>13711</v>
      </c>
      <c r="N29" s="67">
        <v>16496</v>
      </c>
      <c r="O29" s="67">
        <v>150</v>
      </c>
      <c r="P29" s="67">
        <v>0</v>
      </c>
      <c r="R29" s="211" t="s">
        <v>1121</v>
      </c>
      <c r="S29" s="211" t="s">
        <v>206</v>
      </c>
      <c r="AO29" s="211" t="s">
        <v>1345</v>
      </c>
      <c r="AP29" s="211">
        <v>40</v>
      </c>
      <c r="AQ29" s="155">
        <f t="shared" si="2"/>
        <v>40</v>
      </c>
      <c r="AR29" s="155">
        <f t="shared" si="3"/>
        <v>40</v>
      </c>
      <c r="AS29" s="155">
        <f>AR115</f>
        <v>200</v>
      </c>
      <c r="AT29" s="221">
        <v>200</v>
      </c>
      <c r="BG29" s="9"/>
    </row>
    <row r="30" spans="2:59">
      <c r="B30" s="208" t="s">
        <v>1126</v>
      </c>
      <c r="C30" s="199" t="s">
        <v>347</v>
      </c>
      <c r="D30" s="199" t="s">
        <v>206</v>
      </c>
      <c r="E30" s="199">
        <v>130</v>
      </c>
      <c r="F30" s="213">
        <v>86.122039999999998</v>
      </c>
      <c r="G30" s="212">
        <v>528.95452</v>
      </c>
      <c r="H30" s="212">
        <v>250</v>
      </c>
      <c r="I30" s="212">
        <v>250</v>
      </c>
      <c r="J30" s="212">
        <v>3801</v>
      </c>
      <c r="K30" s="212">
        <v>5340</v>
      </c>
      <c r="L30" s="212">
        <v>5059</v>
      </c>
      <c r="M30" s="212">
        <v>5497</v>
      </c>
      <c r="N30" s="212">
        <v>1924</v>
      </c>
      <c r="O30" s="212">
        <v>1924</v>
      </c>
      <c r="P30" s="212">
        <v>0</v>
      </c>
      <c r="R30" s="216" t="s">
        <v>1126</v>
      </c>
      <c r="S30" s="218" t="s">
        <v>206</v>
      </c>
      <c r="AO30" s="210" t="s">
        <v>1345</v>
      </c>
      <c r="AP30" s="210">
        <v>40</v>
      </c>
      <c r="AQ30" s="155">
        <f t="shared" si="2"/>
        <v>40</v>
      </c>
      <c r="AR30" s="155">
        <f t="shared" si="3"/>
        <v>40</v>
      </c>
      <c r="AS30" s="155">
        <f>AR34</f>
        <v>40</v>
      </c>
      <c r="AT30" s="187">
        <v>40</v>
      </c>
      <c r="BG30" s="9"/>
    </row>
    <row r="31" spans="2:59">
      <c r="B31" s="155" t="s">
        <v>1139</v>
      </c>
      <c r="C31" s="155" t="s">
        <v>347</v>
      </c>
      <c r="D31" s="155" t="s">
        <v>206</v>
      </c>
      <c r="E31" s="155">
        <v>100</v>
      </c>
      <c r="F31" s="189">
        <v>235496.03692000001</v>
      </c>
      <c r="G31" s="67">
        <v>3306.3641400000001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v>0</v>
      </c>
      <c r="P31" s="67">
        <v>0</v>
      </c>
      <c r="R31" s="211" t="s">
        <v>1139</v>
      </c>
      <c r="S31" s="211" t="s">
        <v>206</v>
      </c>
      <c r="AO31" s="211" t="s">
        <v>1345</v>
      </c>
      <c r="AP31" s="211">
        <v>18</v>
      </c>
      <c r="AQ31" s="155">
        <f t="shared" si="2"/>
        <v>18</v>
      </c>
      <c r="AR31" s="155">
        <f t="shared" si="3"/>
        <v>18</v>
      </c>
      <c r="AS31" s="155">
        <f>AR107</f>
        <v>10</v>
      </c>
      <c r="AT31" s="187">
        <v>10</v>
      </c>
      <c r="BG31" s="9"/>
    </row>
    <row r="32" spans="2:59">
      <c r="B32" s="155" t="s">
        <v>1166</v>
      </c>
      <c r="C32" s="155" t="s">
        <v>347</v>
      </c>
      <c r="D32" s="155" t="s">
        <v>206</v>
      </c>
      <c r="E32" s="155">
        <v>105</v>
      </c>
      <c r="F32" s="189">
        <v>20664.368399999999</v>
      </c>
      <c r="G32" s="67">
        <v>19014.504260000002</v>
      </c>
      <c r="H32" s="67">
        <v>22690.011920000001</v>
      </c>
      <c r="I32" s="67">
        <v>16736.834739999998</v>
      </c>
      <c r="J32" s="67">
        <v>7973.1038200000003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R32" s="210" t="s">
        <v>1166</v>
      </c>
      <c r="S32" s="210" t="s">
        <v>206</v>
      </c>
      <c r="AO32" s="210" t="s">
        <v>1345</v>
      </c>
      <c r="AP32" s="210">
        <v>160</v>
      </c>
      <c r="AQ32" s="155">
        <f t="shared" si="2"/>
        <v>160</v>
      </c>
      <c r="AR32" s="155">
        <f t="shared" si="3"/>
        <v>160</v>
      </c>
      <c r="AS32" s="155">
        <f>AR35</f>
        <v>1000</v>
      </c>
      <c r="AT32" s="187">
        <v>1000</v>
      </c>
      <c r="BG32" s="9"/>
    </row>
    <row r="33" spans="2:59">
      <c r="B33" s="99" t="s">
        <v>1192</v>
      </c>
      <c r="C33" s="155" t="s">
        <v>347</v>
      </c>
      <c r="D33" s="155" t="s">
        <v>206</v>
      </c>
      <c r="E33" s="155"/>
      <c r="F33" s="189"/>
      <c r="G33" s="67"/>
      <c r="H33" s="67"/>
      <c r="I33" s="67"/>
      <c r="J33" s="67"/>
      <c r="K33" s="67"/>
      <c r="L33" s="67"/>
      <c r="M33" s="67"/>
      <c r="N33" s="67"/>
      <c r="O33" s="67"/>
      <c r="P33" s="67"/>
      <c r="R33" s="214" t="s">
        <v>1192</v>
      </c>
      <c r="S33" s="211" t="s">
        <v>206</v>
      </c>
      <c r="AO33" s="211" t="s">
        <v>1345</v>
      </c>
      <c r="AP33" s="211">
        <v>312</v>
      </c>
      <c r="AQ33" s="155">
        <f t="shared" si="2"/>
        <v>312</v>
      </c>
      <c r="AR33" s="155">
        <f t="shared" si="3"/>
        <v>312</v>
      </c>
      <c r="AS33" s="155">
        <f>AR116</f>
        <v>10</v>
      </c>
      <c r="AT33" s="221">
        <v>10</v>
      </c>
      <c r="BG33" s="9"/>
    </row>
    <row r="34" spans="2:59">
      <c r="B34" s="99" t="s">
        <v>1203</v>
      </c>
      <c r="C34" s="155" t="s">
        <v>347</v>
      </c>
      <c r="D34" s="155" t="s">
        <v>206</v>
      </c>
      <c r="E34" s="155"/>
      <c r="F34" s="189"/>
      <c r="G34" s="67"/>
      <c r="H34" s="67"/>
      <c r="I34" s="67"/>
      <c r="J34" s="67"/>
      <c r="K34" s="67"/>
      <c r="L34" s="67"/>
      <c r="M34" s="67"/>
      <c r="N34" s="67"/>
      <c r="O34" s="67"/>
      <c r="P34" s="67"/>
      <c r="R34" s="214" t="s">
        <v>1203</v>
      </c>
      <c r="S34" s="210" t="s">
        <v>206</v>
      </c>
      <c r="AO34" s="210" t="s">
        <v>1345</v>
      </c>
      <c r="AP34" s="210">
        <v>40</v>
      </c>
      <c r="AQ34" s="155">
        <f t="shared" si="2"/>
        <v>40</v>
      </c>
      <c r="AR34" s="155">
        <f t="shared" si="3"/>
        <v>40</v>
      </c>
      <c r="AS34" s="155">
        <f>AR36</f>
        <v>11</v>
      </c>
      <c r="AT34" s="187">
        <v>11</v>
      </c>
      <c r="BG34" s="9"/>
    </row>
    <row r="35" spans="2:59">
      <c r="B35" s="99" t="s">
        <v>1203</v>
      </c>
      <c r="C35" s="155" t="s">
        <v>347</v>
      </c>
      <c r="D35" s="155" t="s">
        <v>206</v>
      </c>
      <c r="E35" s="155"/>
      <c r="F35" s="189"/>
      <c r="G35" s="67"/>
      <c r="H35" s="67"/>
      <c r="I35" s="67"/>
      <c r="J35" s="67"/>
      <c r="K35" s="67"/>
      <c r="L35" s="67"/>
      <c r="M35" s="67"/>
      <c r="N35" s="67"/>
      <c r="O35" s="67"/>
      <c r="P35" s="67"/>
      <c r="R35" s="214" t="s">
        <v>1203</v>
      </c>
      <c r="S35" s="211" t="s">
        <v>206</v>
      </c>
      <c r="AO35" s="211" t="s">
        <v>1345</v>
      </c>
      <c r="AP35" s="211">
        <v>1000</v>
      </c>
      <c r="AQ35" s="155">
        <f t="shared" si="2"/>
        <v>1000</v>
      </c>
      <c r="AR35" s="155">
        <f t="shared" si="3"/>
        <v>1000</v>
      </c>
      <c r="AS35" s="155">
        <f>AR117</f>
        <v>10</v>
      </c>
      <c r="AT35" s="187">
        <v>10</v>
      </c>
      <c r="BG35" s="9"/>
    </row>
    <row r="36" spans="2:59">
      <c r="B36" s="99" t="s">
        <v>1203</v>
      </c>
      <c r="C36" s="155" t="s">
        <v>347</v>
      </c>
      <c r="D36" s="155" t="s">
        <v>206</v>
      </c>
      <c r="E36" s="155"/>
      <c r="F36" s="189"/>
      <c r="G36" s="67"/>
      <c r="H36" s="67"/>
      <c r="I36" s="67"/>
      <c r="J36" s="67"/>
      <c r="K36" s="67"/>
      <c r="L36" s="67"/>
      <c r="M36" s="67"/>
      <c r="N36" s="67"/>
      <c r="O36" s="67"/>
      <c r="P36" s="67"/>
      <c r="R36" s="214" t="s">
        <v>1203</v>
      </c>
      <c r="S36" s="210" t="s">
        <v>206</v>
      </c>
      <c r="AO36" s="210" t="s">
        <v>1345</v>
      </c>
      <c r="AP36" s="210">
        <v>11</v>
      </c>
      <c r="AQ36" s="155">
        <f t="shared" si="2"/>
        <v>11</v>
      </c>
      <c r="AR36" s="155">
        <f t="shared" si="3"/>
        <v>11</v>
      </c>
      <c r="AS36" s="155">
        <f>AR23</f>
        <v>200</v>
      </c>
      <c r="AT36" s="187">
        <v>200</v>
      </c>
      <c r="BG36" s="9"/>
    </row>
    <row r="37" spans="2:59">
      <c r="B37" s="99" t="s">
        <v>1203</v>
      </c>
      <c r="C37" s="155" t="s">
        <v>347</v>
      </c>
      <c r="D37" s="155" t="s">
        <v>206</v>
      </c>
      <c r="E37" s="155"/>
      <c r="F37" s="189"/>
      <c r="G37" s="67"/>
      <c r="H37" s="67"/>
      <c r="I37" s="67"/>
      <c r="J37" s="67"/>
      <c r="K37" s="67"/>
      <c r="L37" s="67"/>
      <c r="M37" s="67"/>
      <c r="N37" s="67"/>
      <c r="O37" s="67"/>
      <c r="P37" s="67"/>
      <c r="R37" s="214" t="s">
        <v>1203</v>
      </c>
      <c r="S37" s="211" t="s">
        <v>206</v>
      </c>
      <c r="AR37" s="155"/>
      <c r="AS37" s="155">
        <f>AR15</f>
        <v>100</v>
      </c>
      <c r="AT37" s="187">
        <v>100</v>
      </c>
      <c r="BG37" s="9"/>
    </row>
    <row r="38" spans="2:59">
      <c r="B38" s="99" t="s">
        <v>1203</v>
      </c>
      <c r="C38" s="155" t="s">
        <v>347</v>
      </c>
      <c r="D38" s="155" t="s">
        <v>206</v>
      </c>
      <c r="E38" s="155"/>
      <c r="F38" s="189"/>
      <c r="G38" s="67"/>
      <c r="H38" s="67"/>
      <c r="I38" s="67"/>
      <c r="J38" s="67"/>
      <c r="K38" s="67"/>
      <c r="L38" s="67"/>
      <c r="M38" s="67"/>
      <c r="N38" s="67"/>
      <c r="O38" s="67"/>
      <c r="P38" s="67"/>
      <c r="R38" s="214" t="s">
        <v>1203</v>
      </c>
      <c r="S38" s="210" t="s">
        <v>206</v>
      </c>
      <c r="AR38" s="155"/>
      <c r="BG38" s="9"/>
    </row>
    <row r="39" spans="2:59">
      <c r="B39" s="155" t="s">
        <v>1304</v>
      </c>
      <c r="C39" s="155" t="s">
        <v>347</v>
      </c>
      <c r="D39" s="155" t="s">
        <v>206</v>
      </c>
      <c r="E39" s="155">
        <v>200</v>
      </c>
      <c r="F39" s="189">
        <v>0</v>
      </c>
      <c r="G39" s="67">
        <v>0</v>
      </c>
      <c r="H39" s="67">
        <v>98</v>
      </c>
      <c r="I39" s="67">
        <v>980</v>
      </c>
      <c r="J39" s="67">
        <v>2980</v>
      </c>
      <c r="K39" s="67">
        <v>9290</v>
      </c>
      <c r="L39" s="67">
        <v>9290</v>
      </c>
      <c r="M39" s="67">
        <v>0</v>
      </c>
      <c r="N39" s="67">
        <v>0</v>
      </c>
      <c r="O39" s="67">
        <v>0</v>
      </c>
      <c r="P39" s="67">
        <v>0</v>
      </c>
      <c r="R39" s="211" t="s">
        <v>1304</v>
      </c>
      <c r="S39" s="211" t="s">
        <v>206</v>
      </c>
      <c r="AR39" s="155"/>
      <c r="BG39" s="9"/>
    </row>
    <row r="40" spans="2:59">
      <c r="B40" s="155" t="s">
        <v>1345</v>
      </c>
      <c r="C40" s="155" t="s">
        <v>347</v>
      </c>
      <c r="D40" s="155" t="s">
        <v>206</v>
      </c>
      <c r="E40" s="155">
        <v>28</v>
      </c>
      <c r="F40" s="189">
        <v>143</v>
      </c>
      <c r="G40" s="67">
        <v>0</v>
      </c>
      <c r="H40" s="67">
        <v>0</v>
      </c>
      <c r="I40" s="67">
        <v>0</v>
      </c>
      <c r="J40" s="67">
        <v>0</v>
      </c>
      <c r="K40" s="67">
        <v>110</v>
      </c>
      <c r="L40" s="67">
        <v>330</v>
      </c>
      <c r="M40" s="67">
        <v>480</v>
      </c>
      <c r="N40" s="67">
        <v>7121</v>
      </c>
      <c r="O40" s="67">
        <v>7859</v>
      </c>
      <c r="P40" s="67">
        <v>0</v>
      </c>
      <c r="R40" s="210" t="s">
        <v>1345</v>
      </c>
      <c r="S40" s="210" t="s">
        <v>206</v>
      </c>
      <c r="AR40" s="155"/>
      <c r="BG40" s="9"/>
    </row>
    <row r="41" spans="2:59">
      <c r="B41" s="155" t="s">
        <v>1345</v>
      </c>
      <c r="C41" s="155" t="s">
        <v>347</v>
      </c>
      <c r="D41" s="155" t="s">
        <v>206</v>
      </c>
      <c r="E41" s="155">
        <v>34</v>
      </c>
      <c r="F41" s="189"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98</v>
      </c>
      <c r="N41" s="67">
        <v>882</v>
      </c>
      <c r="O41" s="67">
        <v>0</v>
      </c>
      <c r="P41" s="67">
        <v>0</v>
      </c>
      <c r="R41" s="211" t="s">
        <v>1345</v>
      </c>
      <c r="S41" s="211" t="s">
        <v>206</v>
      </c>
      <c r="AR41" s="155"/>
      <c r="AS41" s="155">
        <f t="shared" ref="AS41:AS47" si="5">AR100</f>
        <v>0</v>
      </c>
      <c r="BG41" s="9"/>
    </row>
    <row r="42" spans="2:59">
      <c r="B42" s="155" t="s">
        <v>1345</v>
      </c>
      <c r="C42" s="155" t="s">
        <v>347</v>
      </c>
      <c r="D42" s="155" t="s">
        <v>206</v>
      </c>
      <c r="E42" s="155">
        <v>40</v>
      </c>
      <c r="F42" s="189">
        <v>0</v>
      </c>
      <c r="G42" s="67">
        <v>120</v>
      </c>
      <c r="H42" s="67">
        <v>220</v>
      </c>
      <c r="I42" s="67">
        <v>830</v>
      </c>
      <c r="J42" s="67">
        <v>4570</v>
      </c>
      <c r="K42" s="67">
        <v>4650</v>
      </c>
      <c r="L42" s="67">
        <v>500</v>
      </c>
      <c r="M42" s="67">
        <v>0</v>
      </c>
      <c r="N42" s="67">
        <v>0</v>
      </c>
      <c r="O42" s="67">
        <v>0</v>
      </c>
      <c r="P42" s="67">
        <v>0</v>
      </c>
      <c r="R42" s="210" t="s">
        <v>1345</v>
      </c>
      <c r="S42" s="210" t="s">
        <v>206</v>
      </c>
      <c r="AR42" s="155"/>
      <c r="AS42" s="155">
        <f t="shared" si="5"/>
        <v>0</v>
      </c>
      <c r="BG42" s="9"/>
    </row>
    <row r="43" spans="2:59">
      <c r="B43" s="155" t="s">
        <v>1345</v>
      </c>
      <c r="C43" s="155" t="s">
        <v>347</v>
      </c>
      <c r="D43" s="155" t="s">
        <v>206</v>
      </c>
      <c r="E43" s="155">
        <v>40</v>
      </c>
      <c r="F43" s="189">
        <v>0</v>
      </c>
      <c r="G43" s="67">
        <v>120</v>
      </c>
      <c r="H43" s="67">
        <v>220</v>
      </c>
      <c r="I43" s="67">
        <v>890</v>
      </c>
      <c r="J43" s="67">
        <v>5380</v>
      </c>
      <c r="K43" s="67">
        <v>1470</v>
      </c>
      <c r="L43" s="67">
        <v>500</v>
      </c>
      <c r="M43" s="67">
        <v>0</v>
      </c>
      <c r="N43" s="67">
        <v>0</v>
      </c>
      <c r="O43" s="67">
        <v>0</v>
      </c>
      <c r="P43" s="67">
        <v>0</v>
      </c>
      <c r="R43" s="211" t="s">
        <v>1345</v>
      </c>
      <c r="S43" s="211" t="s">
        <v>206</v>
      </c>
      <c r="AR43" s="155"/>
      <c r="AS43" s="155">
        <f t="shared" si="5"/>
        <v>0</v>
      </c>
      <c r="BG43" s="9"/>
    </row>
    <row r="44" spans="2:59">
      <c r="B44" s="155" t="s">
        <v>1345</v>
      </c>
      <c r="C44" s="155" t="s">
        <v>347</v>
      </c>
      <c r="D44" s="155" t="s">
        <v>206</v>
      </c>
      <c r="E44" s="155">
        <v>40</v>
      </c>
      <c r="F44" s="189">
        <v>0</v>
      </c>
      <c r="G44" s="67">
        <v>120</v>
      </c>
      <c r="H44" s="67">
        <v>220</v>
      </c>
      <c r="I44" s="67">
        <v>1070</v>
      </c>
      <c r="J44" s="67">
        <v>3750</v>
      </c>
      <c r="K44" s="67">
        <v>4500</v>
      </c>
      <c r="L44" s="67">
        <v>750</v>
      </c>
      <c r="M44" s="67">
        <v>0</v>
      </c>
      <c r="N44" s="67">
        <v>0</v>
      </c>
      <c r="O44" s="67">
        <v>0</v>
      </c>
      <c r="P44" s="67">
        <v>0</v>
      </c>
      <c r="R44" s="210" t="s">
        <v>1345</v>
      </c>
      <c r="S44" s="210" t="s">
        <v>206</v>
      </c>
      <c r="T44" s="76"/>
      <c r="AR44" s="155"/>
      <c r="AS44" s="155">
        <f t="shared" si="5"/>
        <v>0</v>
      </c>
      <c r="BG44" s="9"/>
    </row>
    <row r="45" spans="2:59">
      <c r="B45" s="155" t="s">
        <v>1345</v>
      </c>
      <c r="C45" s="155" t="s">
        <v>347</v>
      </c>
      <c r="D45" s="155" t="s">
        <v>206</v>
      </c>
      <c r="E45" s="155">
        <v>40</v>
      </c>
      <c r="F45" s="189">
        <v>0</v>
      </c>
      <c r="G45" s="67">
        <v>120</v>
      </c>
      <c r="H45" s="67">
        <v>220</v>
      </c>
      <c r="I45" s="67">
        <v>740</v>
      </c>
      <c r="J45" s="67">
        <v>3580</v>
      </c>
      <c r="K45" s="67">
        <v>1020</v>
      </c>
      <c r="L45" s="67">
        <v>500</v>
      </c>
      <c r="M45" s="67">
        <v>0</v>
      </c>
      <c r="N45" s="67">
        <v>0</v>
      </c>
      <c r="O45" s="67">
        <v>0</v>
      </c>
      <c r="P45" s="67">
        <v>0</v>
      </c>
      <c r="R45" s="211" t="s">
        <v>1345</v>
      </c>
      <c r="S45" s="211" t="s">
        <v>206</v>
      </c>
      <c r="T45" s="76"/>
      <c r="AR45" s="155"/>
      <c r="AS45" s="155">
        <f t="shared" si="5"/>
        <v>0</v>
      </c>
      <c r="BG45" s="9"/>
    </row>
    <row r="46" spans="2:59">
      <c r="B46" s="155" t="s">
        <v>1345</v>
      </c>
      <c r="C46" s="155" t="s">
        <v>347</v>
      </c>
      <c r="D46" s="155" t="s">
        <v>206</v>
      </c>
      <c r="E46" s="155">
        <v>40</v>
      </c>
      <c r="F46" s="189">
        <v>0</v>
      </c>
      <c r="G46" s="67">
        <v>120</v>
      </c>
      <c r="H46" s="67">
        <v>175</v>
      </c>
      <c r="I46" s="67">
        <v>950</v>
      </c>
      <c r="J46" s="67">
        <v>2850</v>
      </c>
      <c r="K46" s="67">
        <v>2100</v>
      </c>
      <c r="L46" s="67">
        <v>500</v>
      </c>
      <c r="M46" s="67">
        <v>0</v>
      </c>
      <c r="N46" s="67">
        <v>0</v>
      </c>
      <c r="O46" s="67">
        <v>0</v>
      </c>
      <c r="P46" s="67">
        <v>0</v>
      </c>
      <c r="R46" s="210" t="s">
        <v>1345</v>
      </c>
      <c r="S46" s="210" t="s">
        <v>206</v>
      </c>
      <c r="T46" s="76"/>
      <c r="AR46" s="155"/>
      <c r="AS46" s="155">
        <f t="shared" si="5"/>
        <v>0</v>
      </c>
      <c r="BG46" s="9"/>
    </row>
    <row r="47" spans="2:59">
      <c r="B47" s="155" t="s">
        <v>1345</v>
      </c>
      <c r="C47" s="155" t="s">
        <v>347</v>
      </c>
      <c r="D47" s="155" t="s">
        <v>206</v>
      </c>
      <c r="E47" s="155">
        <v>18</v>
      </c>
      <c r="F47" s="189">
        <v>127.24636000000001</v>
      </c>
      <c r="G47" s="67">
        <v>231.38064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v>0</v>
      </c>
      <c r="P47" s="67">
        <v>0</v>
      </c>
      <c r="R47" s="211" t="s">
        <v>1345</v>
      </c>
      <c r="S47" s="211" t="s">
        <v>206</v>
      </c>
      <c r="AR47" s="155"/>
      <c r="AS47" s="155">
        <f t="shared" si="5"/>
        <v>0</v>
      </c>
      <c r="BG47" s="9"/>
    </row>
    <row r="48" spans="2:59">
      <c r="B48" s="155" t="s">
        <v>1345</v>
      </c>
      <c r="C48" s="155" t="s">
        <v>347</v>
      </c>
      <c r="D48" s="155" t="s">
        <v>206</v>
      </c>
      <c r="E48" s="155">
        <v>160</v>
      </c>
      <c r="F48" s="189">
        <v>1296.20164</v>
      </c>
      <c r="G48" s="67">
        <v>250</v>
      </c>
      <c r="H48" s="67">
        <v>500</v>
      </c>
      <c r="I48" s="67">
        <v>500</v>
      </c>
      <c r="J48" s="67">
        <v>5000</v>
      </c>
      <c r="K48" s="67">
        <v>20000</v>
      </c>
      <c r="L48" s="67">
        <v>4295</v>
      </c>
      <c r="M48" s="67">
        <v>0</v>
      </c>
      <c r="N48" s="67">
        <v>0</v>
      </c>
      <c r="O48" s="67">
        <v>0</v>
      </c>
      <c r="P48" s="67">
        <v>0</v>
      </c>
      <c r="R48" s="210" t="s">
        <v>1345</v>
      </c>
      <c r="S48" s="210" t="s">
        <v>206</v>
      </c>
      <c r="AR48" s="155"/>
      <c r="BG48" s="9"/>
    </row>
    <row r="49" spans="2:59">
      <c r="B49" s="155" t="s">
        <v>1345</v>
      </c>
      <c r="C49" s="155" t="s">
        <v>347</v>
      </c>
      <c r="D49" s="155" t="s">
        <v>206</v>
      </c>
      <c r="E49" s="155">
        <v>312</v>
      </c>
      <c r="F49" s="189">
        <v>0</v>
      </c>
      <c r="G49" s="67">
        <v>0</v>
      </c>
      <c r="H49" s="67">
        <v>50</v>
      </c>
      <c r="I49" s="67">
        <v>470</v>
      </c>
      <c r="J49" s="67">
        <v>680</v>
      </c>
      <c r="K49" s="67">
        <v>6250</v>
      </c>
      <c r="L49" s="67">
        <v>15000</v>
      </c>
      <c r="M49" s="67">
        <v>39250</v>
      </c>
      <c r="N49" s="67">
        <v>39250</v>
      </c>
      <c r="O49" s="67">
        <v>37950</v>
      </c>
      <c r="P49" s="67">
        <v>34140</v>
      </c>
      <c r="R49" s="211" t="s">
        <v>1345</v>
      </c>
      <c r="S49" s="211" t="s">
        <v>206</v>
      </c>
      <c r="T49" s="76"/>
      <c r="AR49" s="155"/>
      <c r="AS49" s="155">
        <f>AR108</f>
        <v>0</v>
      </c>
      <c r="BG49" s="9"/>
    </row>
    <row r="50" spans="2:59">
      <c r="B50" s="155" t="s">
        <v>1345</v>
      </c>
      <c r="C50" s="155" t="s">
        <v>347</v>
      </c>
      <c r="D50" s="155" t="s">
        <v>206</v>
      </c>
      <c r="E50" s="155">
        <v>40</v>
      </c>
      <c r="F50" s="189">
        <v>659.08267999999998</v>
      </c>
      <c r="G50" s="67">
        <v>381.82044000000002</v>
      </c>
      <c r="H50" s="67">
        <v>2036.7487100000001</v>
      </c>
      <c r="I50" s="67">
        <v>0</v>
      </c>
      <c r="J50" s="67">
        <v>0</v>
      </c>
      <c r="K50" s="67">
        <v>0</v>
      </c>
      <c r="L50" s="67">
        <v>0</v>
      </c>
      <c r="M50" s="67">
        <v>0</v>
      </c>
      <c r="N50" s="67">
        <v>0</v>
      </c>
      <c r="O50" s="67">
        <v>0</v>
      </c>
      <c r="P50" s="67">
        <v>0</v>
      </c>
      <c r="R50" s="210" t="s">
        <v>1345</v>
      </c>
      <c r="S50" s="210" t="s">
        <v>206</v>
      </c>
      <c r="AR50" s="155"/>
      <c r="AS50" s="155">
        <f>AR109</f>
        <v>0</v>
      </c>
      <c r="BG50" s="9"/>
    </row>
    <row r="51" spans="2:59">
      <c r="B51" s="155" t="s">
        <v>1345</v>
      </c>
      <c r="C51" s="155" t="s">
        <v>347</v>
      </c>
      <c r="D51" s="155" t="s">
        <v>206</v>
      </c>
      <c r="E51" s="155">
        <v>1000</v>
      </c>
      <c r="F51" s="189">
        <v>860693.69335999992</v>
      </c>
      <c r="G51" s="67">
        <v>50189.862480000003</v>
      </c>
      <c r="H51" s="67">
        <v>18046.470539999998</v>
      </c>
      <c r="I51" s="67">
        <v>0</v>
      </c>
      <c r="J51" s="67">
        <v>0</v>
      </c>
      <c r="K51" s="67">
        <v>0</v>
      </c>
      <c r="L51" s="67">
        <v>0</v>
      </c>
      <c r="M51" s="67">
        <v>0</v>
      </c>
      <c r="N51" s="67">
        <v>0</v>
      </c>
      <c r="O51" s="67">
        <v>0</v>
      </c>
      <c r="P51" s="67">
        <v>0</v>
      </c>
      <c r="R51" s="211" t="s">
        <v>1345</v>
      </c>
      <c r="S51" s="211" t="s">
        <v>206</v>
      </c>
      <c r="AR51" s="155"/>
      <c r="AS51" s="155">
        <f>AR110</f>
        <v>0</v>
      </c>
      <c r="BG51" s="9"/>
    </row>
    <row r="52" spans="2:59">
      <c r="B52" s="155" t="s">
        <v>1345</v>
      </c>
      <c r="C52" s="155" t="s">
        <v>347</v>
      </c>
      <c r="D52" s="155" t="s">
        <v>206</v>
      </c>
      <c r="E52" s="155">
        <v>11</v>
      </c>
      <c r="F52" s="189">
        <v>0</v>
      </c>
      <c r="G52" s="67">
        <v>0</v>
      </c>
      <c r="H52" s="67">
        <v>0</v>
      </c>
      <c r="I52" s="67">
        <v>0</v>
      </c>
      <c r="J52" s="67">
        <v>0</v>
      </c>
      <c r="K52" s="67">
        <v>98</v>
      </c>
      <c r="L52" s="67">
        <v>1960</v>
      </c>
      <c r="M52" s="67">
        <v>6860</v>
      </c>
      <c r="N52" s="67">
        <v>882</v>
      </c>
      <c r="O52" s="67">
        <v>0</v>
      </c>
      <c r="P52" s="67">
        <v>0</v>
      </c>
      <c r="R52" s="210" t="s">
        <v>1345</v>
      </c>
      <c r="S52" s="210" t="s">
        <v>206</v>
      </c>
      <c r="AR52" s="155"/>
      <c r="BG52" s="9"/>
    </row>
    <row r="53" spans="2:59">
      <c r="B53" s="99" t="s">
        <v>1042</v>
      </c>
      <c r="C53" s="155" t="s">
        <v>347</v>
      </c>
      <c r="D53" s="155" t="s">
        <v>205</v>
      </c>
      <c r="E53" s="155"/>
      <c r="F53" s="189"/>
      <c r="G53" s="67"/>
      <c r="H53" s="67"/>
      <c r="I53" s="67"/>
      <c r="J53" s="67"/>
      <c r="K53" s="67"/>
      <c r="L53" s="67"/>
      <c r="M53" s="67"/>
      <c r="N53" s="67"/>
      <c r="O53" s="67"/>
      <c r="P53" s="67"/>
      <c r="R53" s="214" t="s">
        <v>1042</v>
      </c>
      <c r="S53" s="211" t="s">
        <v>205</v>
      </c>
      <c r="T53" s="76">
        <f>SUM($F53:G117)</f>
        <v>282680.75897999998</v>
      </c>
      <c r="U53" s="76">
        <f>SUM($F53:H117)</f>
        <v>313780.20104000001</v>
      </c>
      <c r="V53" s="76">
        <f>SUM($F53:I117)</f>
        <v>341418.12975000008</v>
      </c>
      <c r="W53" s="76">
        <f>SUM($F53:J117)</f>
        <v>392312.57051000005</v>
      </c>
      <c r="X53" s="76">
        <f>SUM($F53:K117)</f>
        <v>468575.69127000001</v>
      </c>
      <c r="Y53" s="76">
        <f>SUM($F53:L117)</f>
        <v>569236.06165000016</v>
      </c>
      <c r="Z53" s="76">
        <f>SUM($F53:M117)</f>
        <v>666161.76913000015</v>
      </c>
      <c r="AA53" s="76">
        <f>SUM($F53:N117)</f>
        <v>704836.47117000015</v>
      </c>
      <c r="AB53" s="76">
        <f>SUM($F53:O117)</f>
        <v>722268.47117000015</v>
      </c>
      <c r="AC53" s="76">
        <f>SUM($F53:P117)</f>
        <v>740214.47117000015</v>
      </c>
      <c r="AE53" s="76">
        <f t="shared" ref="AE53:AN53" si="6">T53*$AE$2^(AE4-$AE$4)</f>
        <v>282680.75897999998</v>
      </c>
      <c r="AF53" s="76">
        <f t="shared" si="6"/>
        <v>320369.58526183997</v>
      </c>
      <c r="AG53" s="76">
        <f t="shared" si="6"/>
        <v>355908.25659471971</v>
      </c>
      <c r="AH53" s="76">
        <f t="shared" si="6"/>
        <v>417550.92518963013</v>
      </c>
      <c r="AI53" s="76">
        <f t="shared" si="6"/>
        <v>509193.34966275661</v>
      </c>
      <c r="AJ53" s="76">
        <f t="shared" si="6"/>
        <v>631569.45195960579</v>
      </c>
      <c r="AK53" s="76">
        <f t="shared" si="6"/>
        <v>754630.15834432398</v>
      </c>
      <c r="AL53" s="76">
        <f t="shared" si="6"/>
        <v>815208.24374215596</v>
      </c>
      <c r="AM53" s="76">
        <f t="shared" si="6"/>
        <v>852912.72505332914</v>
      </c>
      <c r="AN53" s="76">
        <f t="shared" si="6"/>
        <v>892461.00672462408</v>
      </c>
      <c r="AO53" s="214" t="s">
        <v>1042</v>
      </c>
      <c r="AP53" s="211"/>
      <c r="AQ53" s="155"/>
      <c r="AR53" s="155"/>
      <c r="AV53" s="76">
        <f>(AE53*$AV2)/SUM($AQ67:$AQ117)</f>
        <v>10.788342222695816</v>
      </c>
      <c r="AW53" s="76">
        <f>(AF53*$AV2)/SUM($AQ67:$AQ117)</f>
        <v>12.226713753065837</v>
      </c>
      <c r="AX53" s="76">
        <f t="shared" ref="AX53:BE53" si="7">(AG53*$AV2)/SUM($AQ67:$AQ117)</f>
        <v>13.583025904846009</v>
      </c>
      <c r="AY53" s="76">
        <f t="shared" si="7"/>
        <v>15.935581511112684</v>
      </c>
      <c r="AZ53" s="76">
        <f t="shared" si="7"/>
        <v>19.433059871157671</v>
      </c>
      <c r="BA53" s="76">
        <f t="shared" si="7"/>
        <v>24.10347067740377</v>
      </c>
      <c r="BB53" s="76">
        <f t="shared" si="7"/>
        <v>28.800008989510673</v>
      </c>
      <c r="BC53" s="76">
        <f t="shared" si="7"/>
        <v>31.111935414307567</v>
      </c>
      <c r="BD53" s="76">
        <f t="shared" si="7"/>
        <v>32.55090440951588</v>
      </c>
      <c r="BE53" s="76">
        <f t="shared" si="7"/>
        <v>34.060240943523439</v>
      </c>
      <c r="BG53" s="227">
        <f>NPV($BG$2,AV53:BE53)/((1-(1+$BG$2)^-10)/$BG$2)</f>
        <v>20.671296714761763</v>
      </c>
    </row>
    <row r="54" spans="2:59">
      <c r="B54" s="99" t="s">
        <v>1042</v>
      </c>
      <c r="C54" s="155" t="s">
        <v>347</v>
      </c>
      <c r="D54" s="155" t="s">
        <v>205</v>
      </c>
      <c r="E54" s="155"/>
      <c r="F54" s="189"/>
      <c r="G54" s="67"/>
      <c r="H54" s="67"/>
      <c r="I54" s="67"/>
      <c r="J54" s="67"/>
      <c r="K54" s="67"/>
      <c r="L54" s="67"/>
      <c r="M54" s="67"/>
      <c r="N54" s="67"/>
      <c r="O54" s="67"/>
      <c r="P54" s="67"/>
      <c r="R54" s="214" t="s">
        <v>1042</v>
      </c>
      <c r="S54" s="210" t="s">
        <v>205</v>
      </c>
      <c r="T54" s="76"/>
      <c r="AO54" s="214" t="s">
        <v>1042</v>
      </c>
      <c r="AP54" s="210"/>
      <c r="AQ54" s="155"/>
      <c r="AR54" s="155"/>
    </row>
    <row r="55" spans="2:59">
      <c r="B55" s="99" t="s">
        <v>1042</v>
      </c>
      <c r="C55" s="155" t="s">
        <v>347</v>
      </c>
      <c r="D55" s="155" t="s">
        <v>205</v>
      </c>
      <c r="E55" s="155"/>
      <c r="F55" s="189"/>
      <c r="G55" s="67"/>
      <c r="H55" s="67"/>
      <c r="I55" s="67"/>
      <c r="J55" s="67"/>
      <c r="K55" s="67"/>
      <c r="L55" s="67"/>
      <c r="M55" s="67"/>
      <c r="N55" s="67"/>
      <c r="O55" s="67"/>
      <c r="P55" s="67"/>
      <c r="R55" s="214" t="s">
        <v>1042</v>
      </c>
      <c r="S55" s="211" t="s">
        <v>205</v>
      </c>
      <c r="AO55" s="214" t="s">
        <v>1042</v>
      </c>
      <c r="AP55" s="211"/>
      <c r="AQ55" s="155"/>
      <c r="AR55" s="155"/>
    </row>
    <row r="56" spans="2:59">
      <c r="B56" s="99" t="s">
        <v>1042</v>
      </c>
      <c r="C56" s="155" t="s">
        <v>347</v>
      </c>
      <c r="D56" s="155" t="s">
        <v>205</v>
      </c>
      <c r="E56" s="155"/>
      <c r="F56" s="189"/>
      <c r="G56" s="67"/>
      <c r="H56" s="67"/>
      <c r="I56" s="67"/>
      <c r="J56" s="67"/>
      <c r="K56" s="67"/>
      <c r="L56" s="67"/>
      <c r="M56" s="67"/>
      <c r="N56" s="67"/>
      <c r="O56" s="67"/>
      <c r="P56" s="67"/>
      <c r="R56" s="214" t="s">
        <v>1042</v>
      </c>
      <c r="S56" s="210" t="s">
        <v>205</v>
      </c>
      <c r="T56" s="76"/>
      <c r="AO56" s="214" t="s">
        <v>1042</v>
      </c>
      <c r="AP56" s="210"/>
      <c r="AQ56" s="155"/>
      <c r="AR56" s="155"/>
    </row>
    <row r="57" spans="2:59">
      <c r="B57" s="99" t="s">
        <v>1042</v>
      </c>
      <c r="C57" s="155" t="s">
        <v>347</v>
      </c>
      <c r="D57" s="155" t="s">
        <v>205</v>
      </c>
      <c r="E57" s="155"/>
      <c r="F57" s="189"/>
      <c r="G57" s="67"/>
      <c r="H57" s="67"/>
      <c r="I57" s="67"/>
      <c r="J57" s="67"/>
      <c r="K57" s="67"/>
      <c r="L57" s="67"/>
      <c r="M57" s="67"/>
      <c r="N57" s="67"/>
      <c r="O57" s="67"/>
      <c r="P57" s="67"/>
      <c r="R57" s="214" t="s">
        <v>1042</v>
      </c>
      <c r="S57" s="211" t="s">
        <v>205</v>
      </c>
      <c r="T57" s="76"/>
      <c r="AO57" s="214" t="s">
        <v>1042</v>
      </c>
      <c r="AP57" s="211"/>
      <c r="AQ57" s="155"/>
      <c r="AR57" s="155"/>
      <c r="AS57" s="155"/>
    </row>
    <row r="58" spans="2:59">
      <c r="B58" s="99" t="s">
        <v>1042</v>
      </c>
      <c r="C58" s="155" t="s">
        <v>347</v>
      </c>
      <c r="D58" s="155" t="s">
        <v>205</v>
      </c>
      <c r="E58" s="155"/>
      <c r="F58" s="189"/>
      <c r="G58" s="67"/>
      <c r="H58" s="67"/>
      <c r="I58" s="67"/>
      <c r="J58" s="67"/>
      <c r="K58" s="67"/>
      <c r="L58" s="67"/>
      <c r="M58" s="67"/>
      <c r="N58" s="67"/>
      <c r="O58" s="67"/>
      <c r="P58" s="67"/>
      <c r="R58" s="214" t="s">
        <v>1042</v>
      </c>
      <c r="S58" s="210" t="s">
        <v>205</v>
      </c>
      <c r="AO58" s="214" t="s">
        <v>1042</v>
      </c>
      <c r="AP58" s="210"/>
      <c r="AQ58" s="155"/>
      <c r="AR58" s="155"/>
      <c r="AS58" s="155"/>
    </row>
    <row r="59" spans="2:59">
      <c r="B59" s="99" t="s">
        <v>1042</v>
      </c>
      <c r="C59" s="155" t="s">
        <v>347</v>
      </c>
      <c r="D59" s="155" t="s">
        <v>205</v>
      </c>
      <c r="E59" s="155"/>
      <c r="F59" s="189"/>
      <c r="G59" s="67"/>
      <c r="H59" s="67"/>
      <c r="I59" s="67"/>
      <c r="J59" s="67"/>
      <c r="K59" s="67"/>
      <c r="L59" s="67"/>
      <c r="M59" s="67"/>
      <c r="N59" s="67"/>
      <c r="O59" s="67"/>
      <c r="P59" s="67"/>
      <c r="R59" s="214" t="s">
        <v>1042</v>
      </c>
      <c r="S59" s="211" t="s">
        <v>205</v>
      </c>
      <c r="T59" s="76"/>
      <c r="AO59" s="214" t="s">
        <v>1042</v>
      </c>
      <c r="AP59" s="211"/>
      <c r="AQ59" s="155"/>
      <c r="AR59" s="155"/>
      <c r="AS59" s="155"/>
    </row>
    <row r="60" spans="2:59">
      <c r="B60" s="99" t="s">
        <v>1042</v>
      </c>
      <c r="C60" s="155" t="s">
        <v>347</v>
      </c>
      <c r="D60" s="155" t="s">
        <v>205</v>
      </c>
      <c r="E60" s="155"/>
      <c r="F60" s="189"/>
      <c r="G60" s="67"/>
      <c r="H60" s="67"/>
      <c r="I60" s="67"/>
      <c r="J60" s="67"/>
      <c r="K60" s="67"/>
      <c r="L60" s="67"/>
      <c r="M60" s="67"/>
      <c r="N60" s="67"/>
      <c r="O60" s="67"/>
      <c r="P60" s="67"/>
      <c r="R60" s="214" t="s">
        <v>1042</v>
      </c>
      <c r="S60" s="210" t="s">
        <v>205</v>
      </c>
      <c r="T60" s="76"/>
      <c r="AO60" s="214" t="s">
        <v>1042</v>
      </c>
      <c r="AP60" s="210"/>
      <c r="AQ60" s="155"/>
      <c r="AR60" s="155"/>
      <c r="AS60" s="155"/>
    </row>
    <row r="61" spans="2:59">
      <c r="B61" s="99" t="s">
        <v>1042</v>
      </c>
      <c r="C61" s="155" t="s">
        <v>347</v>
      </c>
      <c r="D61" s="155" t="s">
        <v>205</v>
      </c>
      <c r="E61" s="155"/>
      <c r="F61" s="189"/>
      <c r="G61" s="67"/>
      <c r="H61" s="67"/>
      <c r="I61" s="67"/>
      <c r="J61" s="67"/>
      <c r="K61" s="67"/>
      <c r="L61" s="67"/>
      <c r="M61" s="67"/>
      <c r="N61" s="67"/>
      <c r="O61" s="67"/>
      <c r="P61" s="67"/>
      <c r="R61" s="214" t="s">
        <v>1042</v>
      </c>
      <c r="S61" s="211" t="s">
        <v>205</v>
      </c>
      <c r="T61" s="76"/>
      <c r="AO61" s="214" t="s">
        <v>1042</v>
      </c>
      <c r="AP61" s="211"/>
      <c r="AQ61" s="155"/>
      <c r="AR61" s="155"/>
      <c r="AS61" s="155"/>
    </row>
    <row r="62" spans="2:59">
      <c r="B62" s="99" t="s">
        <v>1042</v>
      </c>
      <c r="C62" s="155" t="s">
        <v>347</v>
      </c>
      <c r="D62" s="155" t="s">
        <v>205</v>
      </c>
      <c r="E62" s="155"/>
      <c r="F62" s="189"/>
      <c r="G62" s="67"/>
      <c r="H62" s="67"/>
      <c r="I62" s="67"/>
      <c r="J62" s="67"/>
      <c r="K62" s="67"/>
      <c r="L62" s="67"/>
      <c r="M62" s="67"/>
      <c r="N62" s="67"/>
      <c r="O62" s="67"/>
      <c r="P62" s="67"/>
      <c r="R62" s="214" t="s">
        <v>1042</v>
      </c>
      <c r="S62" s="210" t="s">
        <v>205</v>
      </c>
      <c r="AO62" s="214" t="s">
        <v>1042</v>
      </c>
      <c r="AP62" s="210"/>
      <c r="AQ62" s="155"/>
      <c r="AR62" s="155"/>
      <c r="AS62" s="155"/>
    </row>
    <row r="63" spans="2:59">
      <c r="B63" s="99" t="s">
        <v>1042</v>
      </c>
      <c r="C63" s="155" t="s">
        <v>347</v>
      </c>
      <c r="D63" s="155" t="s">
        <v>205</v>
      </c>
      <c r="E63" s="155"/>
      <c r="F63" s="189"/>
      <c r="G63" s="67"/>
      <c r="H63" s="67"/>
      <c r="I63" s="67"/>
      <c r="J63" s="67"/>
      <c r="K63" s="67"/>
      <c r="L63" s="67"/>
      <c r="M63" s="67"/>
      <c r="N63" s="67"/>
      <c r="O63" s="67"/>
      <c r="P63" s="67"/>
      <c r="R63" s="214" t="s">
        <v>1042</v>
      </c>
      <c r="S63" s="211" t="s">
        <v>205</v>
      </c>
      <c r="AO63" s="214" t="s">
        <v>1042</v>
      </c>
      <c r="AP63" s="211"/>
      <c r="AQ63" s="155"/>
      <c r="AR63" s="155"/>
      <c r="AS63" s="155"/>
    </row>
    <row r="64" spans="2:59">
      <c r="B64" s="99" t="s">
        <v>1042</v>
      </c>
      <c r="C64" s="155" t="s">
        <v>347</v>
      </c>
      <c r="D64" s="155" t="s">
        <v>205</v>
      </c>
      <c r="E64" s="155"/>
      <c r="F64" s="189"/>
      <c r="G64" s="67"/>
      <c r="H64" s="67"/>
      <c r="I64" s="67"/>
      <c r="J64" s="67"/>
      <c r="K64" s="67"/>
      <c r="L64" s="67"/>
      <c r="M64" s="67"/>
      <c r="N64" s="67"/>
      <c r="O64" s="67"/>
      <c r="P64" s="67"/>
      <c r="R64" s="214" t="s">
        <v>1042</v>
      </c>
      <c r="S64" s="210" t="s">
        <v>205</v>
      </c>
      <c r="AO64" s="214" t="s">
        <v>1042</v>
      </c>
      <c r="AP64" s="210"/>
      <c r="AQ64" s="155"/>
      <c r="AR64" s="155"/>
      <c r="AS64" s="155"/>
    </row>
    <row r="65" spans="2:45">
      <c r="B65" s="99" t="s">
        <v>1042</v>
      </c>
      <c r="C65" s="155" t="s">
        <v>347</v>
      </c>
      <c r="D65" s="155" t="s">
        <v>205</v>
      </c>
      <c r="E65" s="155"/>
      <c r="F65" s="189"/>
      <c r="G65" s="67"/>
      <c r="H65" s="67"/>
      <c r="I65" s="67"/>
      <c r="J65" s="67"/>
      <c r="K65" s="67"/>
      <c r="L65" s="67"/>
      <c r="M65" s="67"/>
      <c r="N65" s="67"/>
      <c r="O65" s="67"/>
      <c r="P65" s="67"/>
      <c r="R65" s="214" t="s">
        <v>1042</v>
      </c>
      <c r="S65" s="211" t="s">
        <v>205</v>
      </c>
      <c r="AO65" s="214" t="s">
        <v>1042</v>
      </c>
      <c r="AP65" s="211"/>
      <c r="AQ65" s="155"/>
      <c r="AR65" s="155"/>
      <c r="AS65" s="155"/>
    </row>
    <row r="66" spans="2:45">
      <c r="B66" s="99" t="s">
        <v>1042</v>
      </c>
      <c r="C66" s="155" t="s">
        <v>347</v>
      </c>
      <c r="D66" s="155" t="s">
        <v>205</v>
      </c>
      <c r="E66" s="155"/>
      <c r="F66" s="189"/>
      <c r="G66" s="67"/>
      <c r="H66" s="67"/>
      <c r="I66" s="67"/>
      <c r="J66" s="67"/>
      <c r="K66" s="67"/>
      <c r="L66" s="67"/>
      <c r="M66" s="67"/>
      <c r="N66" s="67"/>
      <c r="O66" s="67"/>
      <c r="P66" s="67"/>
      <c r="R66" s="214" t="s">
        <v>1042</v>
      </c>
      <c r="S66" s="210" t="s">
        <v>205</v>
      </c>
      <c r="AO66" s="214" t="s">
        <v>1042</v>
      </c>
      <c r="AP66" s="210"/>
      <c r="AQ66" s="155"/>
      <c r="AR66" s="155"/>
      <c r="AS66" s="155"/>
    </row>
    <row r="67" spans="2:45">
      <c r="B67" s="99" t="s">
        <v>1042</v>
      </c>
      <c r="C67" s="155" t="s">
        <v>347</v>
      </c>
      <c r="D67" s="155" t="s">
        <v>205</v>
      </c>
      <c r="E67" s="155"/>
      <c r="F67" s="189"/>
      <c r="G67" s="67"/>
      <c r="H67" s="67"/>
      <c r="I67" s="67"/>
      <c r="J67" s="67"/>
      <c r="K67" s="67"/>
      <c r="L67" s="67"/>
      <c r="M67" s="67"/>
      <c r="N67" s="67"/>
      <c r="O67" s="67"/>
      <c r="P67" s="67"/>
      <c r="R67" s="214" t="s">
        <v>1042</v>
      </c>
      <c r="S67" s="211" t="s">
        <v>205</v>
      </c>
      <c r="AO67" s="214" t="s">
        <v>1042</v>
      </c>
      <c r="AP67" s="211"/>
      <c r="AQ67" s="155"/>
      <c r="AR67" s="155"/>
      <c r="AS67" s="155"/>
    </row>
    <row r="68" spans="2:45">
      <c r="B68" s="99" t="s">
        <v>1042</v>
      </c>
      <c r="C68" s="155" t="s">
        <v>347</v>
      </c>
      <c r="D68" s="155" t="s">
        <v>205</v>
      </c>
      <c r="E68" s="155"/>
      <c r="F68" s="189"/>
      <c r="G68" s="67"/>
      <c r="H68" s="67"/>
      <c r="I68" s="67"/>
      <c r="J68" s="67"/>
      <c r="K68" s="67"/>
      <c r="L68" s="67"/>
      <c r="M68" s="67"/>
      <c r="N68" s="67"/>
      <c r="O68" s="67"/>
      <c r="P68" s="67"/>
      <c r="R68" s="214" t="s">
        <v>1042</v>
      </c>
      <c r="S68" s="210" t="s">
        <v>205</v>
      </c>
      <c r="AO68" s="214" t="s">
        <v>1042</v>
      </c>
      <c r="AP68" s="210"/>
      <c r="AQ68" s="155"/>
      <c r="AR68" s="155"/>
      <c r="AS68" s="155"/>
    </row>
    <row r="69" spans="2:45">
      <c r="B69" s="99" t="s">
        <v>1042</v>
      </c>
      <c r="C69" s="155" t="s">
        <v>347</v>
      </c>
      <c r="D69" s="155" t="s">
        <v>205</v>
      </c>
      <c r="E69" s="155"/>
      <c r="F69" s="189"/>
      <c r="G69" s="67"/>
      <c r="H69" s="67"/>
      <c r="I69" s="67"/>
      <c r="J69" s="67"/>
      <c r="K69" s="67"/>
      <c r="L69" s="67"/>
      <c r="M69" s="67"/>
      <c r="N69" s="67"/>
      <c r="O69" s="67"/>
      <c r="P69" s="67"/>
      <c r="R69" s="214" t="s">
        <v>1042</v>
      </c>
      <c r="S69" s="211" t="s">
        <v>205</v>
      </c>
      <c r="AO69" s="214" t="s">
        <v>1042</v>
      </c>
      <c r="AP69" s="211"/>
      <c r="AQ69" s="155"/>
      <c r="AR69" s="155"/>
      <c r="AS69" s="155"/>
    </row>
    <row r="70" spans="2:45">
      <c r="B70" s="99" t="s">
        <v>1042</v>
      </c>
      <c r="C70" s="155" t="s">
        <v>347</v>
      </c>
      <c r="D70" s="155" t="s">
        <v>205</v>
      </c>
      <c r="E70" s="155"/>
      <c r="F70" s="189"/>
      <c r="G70" s="67"/>
      <c r="H70" s="67"/>
      <c r="I70" s="67"/>
      <c r="J70" s="67"/>
      <c r="K70" s="67"/>
      <c r="L70" s="67"/>
      <c r="M70" s="67"/>
      <c r="N70" s="67"/>
      <c r="O70" s="67"/>
      <c r="P70" s="67"/>
      <c r="R70" s="214" t="s">
        <v>1042</v>
      </c>
      <c r="S70" s="210" t="s">
        <v>205</v>
      </c>
      <c r="AO70" s="214" t="s">
        <v>1042</v>
      </c>
      <c r="AP70" s="210"/>
      <c r="AQ70" s="155"/>
      <c r="AR70" s="155"/>
      <c r="AS70" s="155"/>
    </row>
    <row r="71" spans="2:45">
      <c r="B71" s="99" t="s">
        <v>1042</v>
      </c>
      <c r="C71" s="155" t="s">
        <v>347</v>
      </c>
      <c r="D71" s="155" t="s">
        <v>205</v>
      </c>
      <c r="E71" s="155"/>
      <c r="F71" s="189"/>
      <c r="G71" s="67"/>
      <c r="H71" s="67"/>
      <c r="I71" s="67"/>
      <c r="J71" s="67"/>
      <c r="K71" s="67"/>
      <c r="L71" s="67"/>
      <c r="M71" s="67"/>
      <c r="N71" s="67"/>
      <c r="O71" s="67"/>
      <c r="P71" s="67"/>
      <c r="R71" s="214" t="s">
        <v>1042</v>
      </c>
      <c r="S71" s="211" t="s">
        <v>205</v>
      </c>
      <c r="AO71" s="214" t="s">
        <v>1042</v>
      </c>
      <c r="AP71" s="211"/>
      <c r="AQ71" s="155"/>
      <c r="AR71" s="155"/>
      <c r="AS71" s="155"/>
    </row>
    <row r="72" spans="2:45">
      <c r="B72" s="99" t="s">
        <v>1042</v>
      </c>
      <c r="C72" s="155" t="s">
        <v>347</v>
      </c>
      <c r="D72" s="155" t="s">
        <v>205</v>
      </c>
      <c r="E72" s="155"/>
      <c r="F72" s="189"/>
      <c r="G72" s="67"/>
      <c r="H72" s="67"/>
      <c r="I72" s="67"/>
      <c r="J72" s="67"/>
      <c r="K72" s="67"/>
      <c r="L72" s="67"/>
      <c r="M72" s="67"/>
      <c r="N72" s="67"/>
      <c r="O72" s="67"/>
      <c r="P72" s="67"/>
      <c r="R72" s="214" t="s">
        <v>1042</v>
      </c>
      <c r="S72" s="210" t="s">
        <v>205</v>
      </c>
      <c r="AO72" s="214" t="s">
        <v>1042</v>
      </c>
      <c r="AP72" s="210"/>
      <c r="AQ72" s="155"/>
      <c r="AR72" s="155"/>
      <c r="AS72" s="155"/>
    </row>
    <row r="73" spans="2:45">
      <c r="B73" s="99" t="s">
        <v>1042</v>
      </c>
      <c r="C73" s="155" t="s">
        <v>347</v>
      </c>
      <c r="D73" s="155" t="s">
        <v>205</v>
      </c>
      <c r="E73" s="155"/>
      <c r="F73" s="189"/>
      <c r="G73" s="67"/>
      <c r="H73" s="67"/>
      <c r="I73" s="67"/>
      <c r="J73" s="67"/>
      <c r="K73" s="67"/>
      <c r="L73" s="67"/>
      <c r="M73" s="67"/>
      <c r="N73" s="67"/>
      <c r="O73" s="67"/>
      <c r="P73" s="67"/>
      <c r="R73" s="214" t="s">
        <v>1042</v>
      </c>
      <c r="S73" s="211" t="s">
        <v>205</v>
      </c>
      <c r="AO73" s="214" t="s">
        <v>1042</v>
      </c>
      <c r="AP73" s="211"/>
      <c r="AQ73" s="155"/>
      <c r="AR73" s="155"/>
      <c r="AS73" s="155"/>
    </row>
    <row r="74" spans="2:45">
      <c r="B74" s="99" t="s">
        <v>1042</v>
      </c>
      <c r="C74" s="155" t="s">
        <v>347</v>
      </c>
      <c r="D74" s="155" t="s">
        <v>205</v>
      </c>
      <c r="E74" s="155"/>
      <c r="F74" s="189"/>
      <c r="G74" s="67"/>
      <c r="H74" s="67"/>
      <c r="I74" s="67"/>
      <c r="J74" s="67"/>
      <c r="K74" s="67"/>
      <c r="L74" s="67"/>
      <c r="M74" s="67"/>
      <c r="N74" s="67"/>
      <c r="O74" s="67"/>
      <c r="P74" s="67"/>
      <c r="R74" s="214" t="s">
        <v>1042</v>
      </c>
      <c r="S74" s="210" t="s">
        <v>205</v>
      </c>
      <c r="AO74" s="214" t="s">
        <v>1042</v>
      </c>
      <c r="AP74" s="210"/>
      <c r="AQ74" s="155"/>
      <c r="AR74" s="155"/>
      <c r="AS74" s="155"/>
    </row>
    <row r="75" spans="2:45">
      <c r="B75" s="99" t="s">
        <v>1042</v>
      </c>
      <c r="C75" s="155" t="s">
        <v>347</v>
      </c>
      <c r="D75" s="155" t="s">
        <v>205</v>
      </c>
      <c r="E75" s="155"/>
      <c r="F75" s="189"/>
      <c r="G75" s="67"/>
      <c r="H75" s="67"/>
      <c r="I75" s="67"/>
      <c r="J75" s="67"/>
      <c r="K75" s="67"/>
      <c r="L75" s="67"/>
      <c r="M75" s="67"/>
      <c r="N75" s="67"/>
      <c r="O75" s="67"/>
      <c r="P75" s="67"/>
      <c r="R75" s="214" t="s">
        <v>1042</v>
      </c>
      <c r="S75" s="211" t="s">
        <v>205</v>
      </c>
      <c r="AO75" s="214" t="s">
        <v>1042</v>
      </c>
      <c r="AP75" s="211"/>
      <c r="AQ75" s="155"/>
      <c r="AR75" s="155"/>
      <c r="AS75" s="155"/>
    </row>
    <row r="76" spans="2:45">
      <c r="B76" s="155" t="s">
        <v>1087</v>
      </c>
      <c r="C76" s="155" t="s">
        <v>347</v>
      </c>
      <c r="D76" s="155" t="s">
        <v>205</v>
      </c>
      <c r="E76" s="155">
        <v>380</v>
      </c>
      <c r="F76" s="189">
        <v>1107.8212799999999</v>
      </c>
      <c r="G76" s="67">
        <v>241</v>
      </c>
      <c r="H76" s="67">
        <v>15.518129999999999</v>
      </c>
      <c r="I76" s="67">
        <v>16.34459</v>
      </c>
      <c r="J76" s="67">
        <v>17.215060000000001</v>
      </c>
      <c r="K76" s="67">
        <v>18.131889999999999</v>
      </c>
      <c r="L76" s="67">
        <v>0</v>
      </c>
      <c r="M76" s="67">
        <v>0</v>
      </c>
      <c r="N76" s="67">
        <v>0</v>
      </c>
      <c r="O76" s="67">
        <v>0</v>
      </c>
      <c r="P76" s="67">
        <v>0</v>
      </c>
      <c r="R76" s="210" t="s">
        <v>1087</v>
      </c>
      <c r="S76" s="210" t="s">
        <v>205</v>
      </c>
      <c r="AO76" s="210" t="s">
        <v>1087</v>
      </c>
      <c r="AP76" s="210">
        <v>380</v>
      </c>
      <c r="AQ76" s="155">
        <f>AP76</f>
        <v>380</v>
      </c>
      <c r="AR76" s="155"/>
      <c r="AS76" s="155"/>
    </row>
    <row r="77" spans="2:45">
      <c r="B77" s="155" t="s">
        <v>1090</v>
      </c>
      <c r="C77" s="155" t="s">
        <v>347</v>
      </c>
      <c r="D77" s="155" t="s">
        <v>205</v>
      </c>
      <c r="E77" s="155">
        <v>800</v>
      </c>
      <c r="F77" s="189">
        <v>83.391480000000001</v>
      </c>
      <c r="G77" s="67">
        <v>0</v>
      </c>
      <c r="H77" s="67">
        <v>0</v>
      </c>
      <c r="I77" s="67">
        <v>0</v>
      </c>
      <c r="J77" s="67">
        <v>0</v>
      </c>
      <c r="K77" s="67">
        <v>0</v>
      </c>
      <c r="L77" s="67">
        <v>0</v>
      </c>
      <c r="M77" s="67">
        <v>0</v>
      </c>
      <c r="N77" s="67">
        <v>0</v>
      </c>
      <c r="O77" s="67">
        <v>0</v>
      </c>
      <c r="P77" s="67">
        <v>0</v>
      </c>
      <c r="R77" s="211" t="s">
        <v>1090</v>
      </c>
      <c r="S77" s="211" t="s">
        <v>205</v>
      </c>
      <c r="AO77" s="211" t="s">
        <v>1090</v>
      </c>
      <c r="AP77" s="211">
        <v>800</v>
      </c>
      <c r="AQ77" s="155">
        <f>AP77</f>
        <v>800</v>
      </c>
      <c r="AR77" s="155"/>
      <c r="AS77" s="155"/>
    </row>
    <row r="78" spans="2:45">
      <c r="B78" s="155" t="s">
        <v>1090</v>
      </c>
      <c r="C78" s="155" t="s">
        <v>347</v>
      </c>
      <c r="D78" s="155" t="s">
        <v>205</v>
      </c>
      <c r="E78" s="155">
        <v>800</v>
      </c>
      <c r="F78" s="189">
        <v>2071.39284</v>
      </c>
      <c r="G78" s="67">
        <v>419</v>
      </c>
      <c r="H78" s="67">
        <v>466.82094999999998</v>
      </c>
      <c r="I78" s="67">
        <v>1154.23324</v>
      </c>
      <c r="J78" s="67">
        <v>172.48671999999999</v>
      </c>
      <c r="K78" s="67">
        <v>113.3592</v>
      </c>
      <c r="L78" s="67">
        <v>0</v>
      </c>
      <c r="M78" s="67">
        <v>0</v>
      </c>
      <c r="N78" s="67">
        <v>0</v>
      </c>
      <c r="O78" s="67">
        <v>0</v>
      </c>
      <c r="P78" s="67">
        <v>0</v>
      </c>
      <c r="R78" s="210" t="s">
        <v>1090</v>
      </c>
      <c r="S78" s="210" t="s">
        <v>205</v>
      </c>
      <c r="AO78" s="210" t="s">
        <v>1090</v>
      </c>
      <c r="AP78" s="210">
        <v>800</v>
      </c>
      <c r="AQ78" s="155"/>
      <c r="AR78" s="155"/>
      <c r="AS78" s="155"/>
    </row>
    <row r="79" spans="2:45">
      <c r="B79" s="155" t="s">
        <v>1096</v>
      </c>
      <c r="C79" s="155" t="s">
        <v>347</v>
      </c>
      <c r="D79" s="155" t="s">
        <v>205</v>
      </c>
      <c r="E79" s="155">
        <v>20</v>
      </c>
      <c r="F79" s="189">
        <v>0</v>
      </c>
      <c r="G79" s="67">
        <v>0</v>
      </c>
      <c r="H79" s="67">
        <v>220.04512</v>
      </c>
      <c r="I79" s="67">
        <v>260.24556000000001</v>
      </c>
      <c r="J79" s="67">
        <v>480.29068000000001</v>
      </c>
      <c r="K79" s="67">
        <v>1116.1367600000001</v>
      </c>
      <c r="L79" s="67">
        <v>7855.4492399999999</v>
      </c>
      <c r="M79" s="67">
        <v>3584.7071999999998</v>
      </c>
      <c r="N79" s="67">
        <v>0</v>
      </c>
      <c r="O79" s="67">
        <v>0</v>
      </c>
      <c r="P79" s="67">
        <v>0</v>
      </c>
      <c r="R79" s="211" t="s">
        <v>1096</v>
      </c>
      <c r="S79" s="211" t="s">
        <v>205</v>
      </c>
      <c r="AO79" s="211" t="s">
        <v>1096</v>
      </c>
      <c r="AP79" s="211">
        <v>20</v>
      </c>
      <c r="AQ79" s="155">
        <f>AP79</f>
        <v>20</v>
      </c>
      <c r="AR79" s="155">
        <f t="shared" ref="AR79:AR117" si="8">AQ79</f>
        <v>20</v>
      </c>
    </row>
    <row r="80" spans="2:45">
      <c r="B80" s="155" t="s">
        <v>1096</v>
      </c>
      <c r="C80" s="155" t="s">
        <v>347</v>
      </c>
      <c r="D80" s="155" t="s">
        <v>205</v>
      </c>
      <c r="E80" s="155">
        <v>20</v>
      </c>
      <c r="F80" s="189">
        <v>788.22195999999985</v>
      </c>
      <c r="G80" s="67">
        <v>958.95554000000004</v>
      </c>
      <c r="H80" s="67">
        <v>1259.38795</v>
      </c>
      <c r="I80" s="67">
        <v>0</v>
      </c>
      <c r="J80" s="67">
        <v>0</v>
      </c>
      <c r="K80" s="67">
        <v>0</v>
      </c>
      <c r="L80" s="67">
        <v>0</v>
      </c>
      <c r="M80" s="67">
        <v>0</v>
      </c>
      <c r="N80" s="67">
        <v>0</v>
      </c>
      <c r="O80" s="67">
        <v>0</v>
      </c>
      <c r="P80" s="67">
        <v>0</v>
      </c>
      <c r="R80" s="210" t="s">
        <v>1096</v>
      </c>
      <c r="S80" s="210" t="s">
        <v>205</v>
      </c>
      <c r="AO80" s="210" t="s">
        <v>1096</v>
      </c>
      <c r="AP80" s="210">
        <v>20</v>
      </c>
      <c r="AQ80" s="155"/>
      <c r="AR80" s="155"/>
    </row>
    <row r="81" spans="2:44">
      <c r="B81" s="155" t="s">
        <v>1099</v>
      </c>
      <c r="C81" s="155" t="s">
        <v>347</v>
      </c>
      <c r="D81" s="155" t="s">
        <v>205</v>
      </c>
      <c r="E81" s="155">
        <v>75</v>
      </c>
      <c r="F81" s="189">
        <v>9549.8041199999989</v>
      </c>
      <c r="G81" s="67">
        <v>1829.4416799999999</v>
      </c>
      <c r="H81" s="67">
        <v>0</v>
      </c>
      <c r="I81" s="67">
        <v>0</v>
      </c>
      <c r="J81" s="67">
        <v>0</v>
      </c>
      <c r="K81" s="67">
        <v>0</v>
      </c>
      <c r="L81" s="67">
        <v>0</v>
      </c>
      <c r="M81" s="67">
        <v>0</v>
      </c>
      <c r="N81" s="67">
        <v>0</v>
      </c>
      <c r="O81" s="67">
        <v>0</v>
      </c>
      <c r="P81" s="67">
        <v>0</v>
      </c>
      <c r="R81" s="211" t="s">
        <v>1099</v>
      </c>
      <c r="S81" s="211" t="s">
        <v>205</v>
      </c>
      <c r="AO81" s="211" t="s">
        <v>1099</v>
      </c>
      <c r="AP81" s="211">
        <v>75</v>
      </c>
      <c r="AQ81" s="155">
        <f>AP81</f>
        <v>75</v>
      </c>
      <c r="AR81" s="155"/>
    </row>
    <row r="82" spans="2:44">
      <c r="B82" s="155" t="s">
        <v>1099</v>
      </c>
      <c r="C82" s="155" t="s">
        <v>347</v>
      </c>
      <c r="D82" s="155" t="s">
        <v>205</v>
      </c>
      <c r="E82" s="155">
        <v>75</v>
      </c>
      <c r="F82" s="189">
        <v>15823.41676</v>
      </c>
      <c r="G82" s="67">
        <v>10420.627109999999</v>
      </c>
      <c r="H82" s="67">
        <v>9972.87255</v>
      </c>
      <c r="I82" s="67">
        <v>780.98818000000006</v>
      </c>
      <c r="J82" s="67">
        <v>0</v>
      </c>
      <c r="K82" s="67">
        <v>0</v>
      </c>
      <c r="L82" s="67">
        <v>0</v>
      </c>
      <c r="M82" s="67">
        <v>0</v>
      </c>
      <c r="N82" s="67">
        <v>0</v>
      </c>
      <c r="O82" s="67">
        <v>0</v>
      </c>
      <c r="P82" s="67">
        <v>0</v>
      </c>
      <c r="R82" s="210" t="s">
        <v>1099</v>
      </c>
      <c r="S82" s="210" t="s">
        <v>205</v>
      </c>
      <c r="AO82" s="210" t="s">
        <v>1099</v>
      </c>
      <c r="AP82" s="210">
        <v>75</v>
      </c>
      <c r="AQ82" s="155"/>
      <c r="AR82" s="155"/>
    </row>
    <row r="83" spans="2:44">
      <c r="B83" s="155" t="s">
        <v>1103</v>
      </c>
      <c r="C83" s="155" t="s">
        <v>347</v>
      </c>
      <c r="D83" s="155" t="s">
        <v>205</v>
      </c>
      <c r="E83" s="155">
        <v>14</v>
      </c>
      <c r="F83" s="189">
        <v>874.39548000000002</v>
      </c>
      <c r="G83" s="67">
        <v>101.92</v>
      </c>
      <c r="H83" s="67">
        <v>638.34600999999998</v>
      </c>
      <c r="I83" s="67">
        <v>76.927989999999994</v>
      </c>
      <c r="J83" s="67">
        <v>44.703719999999997</v>
      </c>
      <c r="K83" s="67">
        <v>0</v>
      </c>
      <c r="L83" s="67">
        <v>0</v>
      </c>
      <c r="M83" s="67">
        <v>0</v>
      </c>
      <c r="N83" s="67">
        <v>0</v>
      </c>
      <c r="O83" s="67">
        <v>0</v>
      </c>
      <c r="P83" s="67">
        <v>0</v>
      </c>
      <c r="R83" s="211" t="s">
        <v>1103</v>
      </c>
      <c r="S83" s="211" t="s">
        <v>205</v>
      </c>
      <c r="AO83" s="211" t="s">
        <v>1103</v>
      </c>
      <c r="AP83" s="211">
        <v>14</v>
      </c>
      <c r="AQ83" s="155">
        <f>AP83</f>
        <v>14</v>
      </c>
      <c r="AR83" s="155"/>
    </row>
    <row r="84" spans="2:44">
      <c r="B84" s="155" t="s">
        <v>1103</v>
      </c>
      <c r="C84" s="155" t="s">
        <v>347</v>
      </c>
      <c r="D84" s="155" t="s">
        <v>205</v>
      </c>
      <c r="E84" s="155">
        <v>14</v>
      </c>
      <c r="F84" s="189">
        <v>24.46388</v>
      </c>
      <c r="G84" s="67">
        <v>993.88499999999999</v>
      </c>
      <c r="H84" s="67">
        <v>200</v>
      </c>
      <c r="I84" s="67">
        <v>0</v>
      </c>
      <c r="J84" s="67">
        <v>0</v>
      </c>
      <c r="K84" s="67">
        <v>0</v>
      </c>
      <c r="L84" s="67">
        <v>0</v>
      </c>
      <c r="M84" s="67">
        <v>0</v>
      </c>
      <c r="N84" s="67">
        <v>0</v>
      </c>
      <c r="O84" s="67">
        <v>0</v>
      </c>
      <c r="P84" s="67">
        <v>0</v>
      </c>
      <c r="R84" s="210" t="s">
        <v>1103</v>
      </c>
      <c r="S84" s="210" t="s">
        <v>205</v>
      </c>
      <c r="AO84" s="210" t="s">
        <v>1103</v>
      </c>
      <c r="AP84" s="210">
        <v>14</v>
      </c>
      <c r="AQ84" s="155"/>
      <c r="AR84" s="155"/>
    </row>
    <row r="85" spans="2:44">
      <c r="B85" s="155" t="s">
        <v>1107</v>
      </c>
      <c r="C85" s="155" t="s">
        <v>347</v>
      </c>
      <c r="D85" s="155" t="s">
        <v>205</v>
      </c>
      <c r="E85" s="155">
        <v>25</v>
      </c>
      <c r="F85" s="189">
        <v>11533.273559999998</v>
      </c>
      <c r="G85" s="67">
        <v>6065.58385</v>
      </c>
      <c r="H85" s="67">
        <v>2241.0649400000002</v>
      </c>
      <c r="I85" s="67">
        <v>0</v>
      </c>
      <c r="J85" s="67">
        <v>0</v>
      </c>
      <c r="K85" s="67">
        <v>0</v>
      </c>
      <c r="L85" s="67">
        <v>0</v>
      </c>
      <c r="M85" s="67">
        <v>0</v>
      </c>
      <c r="N85" s="67">
        <v>0</v>
      </c>
      <c r="O85" s="67">
        <v>0</v>
      </c>
      <c r="P85" s="67">
        <v>0</v>
      </c>
      <c r="R85" s="211" t="s">
        <v>1107</v>
      </c>
      <c r="S85" s="211" t="s">
        <v>205</v>
      </c>
      <c r="AO85" s="211" t="s">
        <v>1107</v>
      </c>
      <c r="AP85" s="211">
        <v>25</v>
      </c>
      <c r="AQ85" s="155">
        <f>AP85</f>
        <v>25</v>
      </c>
      <c r="AR85" s="155">
        <f t="shared" si="8"/>
        <v>25</v>
      </c>
    </row>
    <row r="86" spans="2:44">
      <c r="B86" s="208" t="s">
        <v>1109</v>
      </c>
      <c r="C86" s="199" t="s">
        <v>347</v>
      </c>
      <c r="D86" s="199" t="s">
        <v>205</v>
      </c>
      <c r="E86" s="199">
        <v>20</v>
      </c>
      <c r="F86" s="213">
        <v>105355.44536</v>
      </c>
      <c r="G86" s="212">
        <v>25531.585620000002</v>
      </c>
      <c r="H86" s="212">
        <v>5911.5309299999999</v>
      </c>
      <c r="I86" s="212">
        <v>0</v>
      </c>
      <c r="J86" s="212">
        <v>0</v>
      </c>
      <c r="K86" s="212">
        <v>0</v>
      </c>
      <c r="L86" s="212">
        <v>0</v>
      </c>
      <c r="M86" s="212">
        <v>0</v>
      </c>
      <c r="N86" s="212">
        <v>0</v>
      </c>
      <c r="O86" s="212">
        <v>0</v>
      </c>
      <c r="P86" s="212">
        <v>0</v>
      </c>
      <c r="R86" s="216" t="s">
        <v>1109</v>
      </c>
      <c r="S86" s="218" t="s">
        <v>205</v>
      </c>
      <c r="AO86" s="216" t="s">
        <v>1109</v>
      </c>
      <c r="AP86" s="218">
        <v>20</v>
      </c>
      <c r="AQ86" s="155">
        <f t="shared" ref="AQ86:AQ117" si="9">AP86</f>
        <v>20</v>
      </c>
      <c r="AR86" s="155"/>
    </row>
    <row r="87" spans="2:44">
      <c r="B87" s="208" t="s">
        <v>1109</v>
      </c>
      <c r="C87" s="199" t="s">
        <v>347</v>
      </c>
      <c r="D87" s="199" t="s">
        <v>205</v>
      </c>
      <c r="E87" s="199">
        <v>20</v>
      </c>
      <c r="F87" s="213">
        <v>11251.651</v>
      </c>
      <c r="G87" s="212">
        <v>1775.8586</v>
      </c>
      <c r="H87" s="212">
        <v>0</v>
      </c>
      <c r="I87" s="212">
        <v>0</v>
      </c>
      <c r="J87" s="212">
        <v>0</v>
      </c>
      <c r="K87" s="212">
        <v>0</v>
      </c>
      <c r="L87" s="212">
        <v>0</v>
      </c>
      <c r="M87" s="212">
        <v>0</v>
      </c>
      <c r="N87" s="212">
        <v>0</v>
      </c>
      <c r="O87" s="212">
        <v>0</v>
      </c>
      <c r="P87" s="212">
        <v>0</v>
      </c>
      <c r="R87" s="215" t="s">
        <v>1109</v>
      </c>
      <c r="S87" s="217" t="s">
        <v>205</v>
      </c>
      <c r="AO87" s="215" t="s">
        <v>1109</v>
      </c>
      <c r="AP87" s="217">
        <v>20</v>
      </c>
      <c r="AQ87" s="155"/>
      <c r="AR87" s="155"/>
    </row>
    <row r="88" spans="2:44">
      <c r="B88" s="155" t="s">
        <v>1116</v>
      </c>
      <c r="C88" s="155" t="s">
        <v>347</v>
      </c>
      <c r="D88" s="155" t="s">
        <v>205</v>
      </c>
      <c r="E88" s="155">
        <v>100</v>
      </c>
      <c r="F88" s="189">
        <v>0</v>
      </c>
      <c r="G88" s="67">
        <v>0</v>
      </c>
      <c r="H88" s="67">
        <v>0</v>
      </c>
      <c r="I88" s="67">
        <v>15.44492</v>
      </c>
      <c r="J88" s="67">
        <v>6517.7209999999995</v>
      </c>
      <c r="K88" s="67">
        <v>298.86057</v>
      </c>
      <c r="L88" s="67">
        <v>0</v>
      </c>
      <c r="M88" s="67">
        <v>0</v>
      </c>
      <c r="N88" s="67">
        <v>0</v>
      </c>
      <c r="O88" s="67">
        <v>0</v>
      </c>
      <c r="P88" s="67">
        <v>0</v>
      </c>
      <c r="R88" s="210" t="s">
        <v>1116</v>
      </c>
      <c r="S88" s="210" t="s">
        <v>205</v>
      </c>
      <c r="AO88" s="210" t="s">
        <v>1116</v>
      </c>
      <c r="AP88" s="210">
        <v>100</v>
      </c>
      <c r="AQ88" s="155">
        <f t="shared" si="9"/>
        <v>100</v>
      </c>
      <c r="AR88" s="155"/>
    </row>
    <row r="89" spans="2:44">
      <c r="B89" s="155" t="s">
        <v>1116</v>
      </c>
      <c r="C89" s="155" t="s">
        <v>347</v>
      </c>
      <c r="D89" s="155" t="s">
        <v>205</v>
      </c>
      <c r="E89" s="155">
        <v>100</v>
      </c>
      <c r="F89" s="189">
        <v>588.27380000000005</v>
      </c>
      <c r="G89" s="67">
        <v>0</v>
      </c>
      <c r="H89" s="67">
        <v>0</v>
      </c>
      <c r="I89" s="67">
        <v>6393.1740399999999</v>
      </c>
      <c r="J89" s="67">
        <v>4183.7388799999999</v>
      </c>
      <c r="K89" s="67">
        <v>0</v>
      </c>
      <c r="L89" s="67">
        <v>0</v>
      </c>
      <c r="M89" s="67">
        <v>0</v>
      </c>
      <c r="N89" s="67">
        <v>0</v>
      </c>
      <c r="O89" s="67">
        <v>0</v>
      </c>
      <c r="P89" s="67">
        <v>0</v>
      </c>
      <c r="R89" s="211" t="s">
        <v>1116</v>
      </c>
      <c r="S89" s="211" t="s">
        <v>205</v>
      </c>
      <c r="AO89" s="211" t="s">
        <v>1116</v>
      </c>
      <c r="AP89" s="211">
        <v>100</v>
      </c>
      <c r="AQ89" s="155"/>
      <c r="AR89" s="155"/>
    </row>
    <row r="90" spans="2:44">
      <c r="B90" s="155" t="s">
        <v>1116</v>
      </c>
      <c r="C90" s="155" t="s">
        <v>347</v>
      </c>
      <c r="D90" s="155" t="s">
        <v>205</v>
      </c>
      <c r="E90" s="155">
        <v>100</v>
      </c>
      <c r="F90" s="189">
        <v>1592.77324</v>
      </c>
      <c r="G90" s="67">
        <v>446.53868</v>
      </c>
      <c r="H90" s="67">
        <v>337.67516000000001</v>
      </c>
      <c r="I90" s="67">
        <v>0</v>
      </c>
      <c r="J90" s="67">
        <v>0</v>
      </c>
      <c r="K90" s="67">
        <v>0</v>
      </c>
      <c r="L90" s="67">
        <v>0</v>
      </c>
      <c r="M90" s="67">
        <v>0</v>
      </c>
      <c r="N90" s="67">
        <v>0</v>
      </c>
      <c r="O90" s="67">
        <v>0</v>
      </c>
      <c r="P90" s="67">
        <v>0</v>
      </c>
      <c r="R90" s="210" t="s">
        <v>1116</v>
      </c>
      <c r="S90" s="210" t="s">
        <v>205</v>
      </c>
      <c r="AO90" s="210" t="s">
        <v>1116</v>
      </c>
      <c r="AP90" s="210">
        <v>100</v>
      </c>
      <c r="AQ90" s="155"/>
      <c r="AR90" s="155"/>
    </row>
    <row r="91" spans="2:44">
      <c r="B91" s="155" t="s">
        <v>1121</v>
      </c>
      <c r="C91" s="155" t="s">
        <v>347</v>
      </c>
      <c r="D91" s="155" t="s">
        <v>205</v>
      </c>
      <c r="E91" s="155">
        <v>5</v>
      </c>
      <c r="F91" s="189">
        <v>221.48439999999997</v>
      </c>
      <c r="G91" s="67">
        <v>24.999479999999998</v>
      </c>
      <c r="H91" s="67">
        <v>24.999479999999998</v>
      </c>
      <c r="I91" s="67">
        <v>24.999479999999998</v>
      </c>
      <c r="J91" s="67">
        <v>150</v>
      </c>
      <c r="K91" s="67">
        <v>450.00060000000002</v>
      </c>
      <c r="L91" s="67">
        <v>450.00067999999999</v>
      </c>
      <c r="M91" s="67">
        <v>250.00028</v>
      </c>
      <c r="N91" s="67">
        <v>0</v>
      </c>
      <c r="O91" s="67">
        <v>0</v>
      </c>
      <c r="P91" s="67">
        <v>0</v>
      </c>
      <c r="R91" s="211" t="s">
        <v>1121</v>
      </c>
      <c r="S91" s="211" t="s">
        <v>205</v>
      </c>
      <c r="AO91" s="211" t="s">
        <v>1121</v>
      </c>
      <c r="AP91" s="211">
        <v>5</v>
      </c>
      <c r="AQ91" s="155">
        <f t="shared" si="9"/>
        <v>5</v>
      </c>
      <c r="AR91" s="155"/>
    </row>
    <row r="92" spans="2:44">
      <c r="B92" s="155" t="s">
        <v>1121</v>
      </c>
      <c r="C92" s="155" t="s">
        <v>347</v>
      </c>
      <c r="D92" s="155" t="s">
        <v>205</v>
      </c>
      <c r="E92" s="155">
        <v>5</v>
      </c>
      <c r="F92" s="189">
        <v>7.5803599999999998</v>
      </c>
      <c r="G92" s="67">
        <v>50</v>
      </c>
      <c r="H92" s="67">
        <v>50</v>
      </c>
      <c r="I92" s="67">
        <v>20</v>
      </c>
      <c r="J92" s="67">
        <v>20</v>
      </c>
      <c r="K92" s="67">
        <v>20</v>
      </c>
      <c r="L92" s="67">
        <v>180</v>
      </c>
      <c r="M92" s="67">
        <v>2010</v>
      </c>
      <c r="N92" s="67">
        <v>150</v>
      </c>
      <c r="O92" s="67">
        <v>0</v>
      </c>
      <c r="P92" s="67">
        <v>0</v>
      </c>
      <c r="R92" s="210" t="s">
        <v>1121</v>
      </c>
      <c r="S92" s="210" t="s">
        <v>205</v>
      </c>
      <c r="AO92" s="210" t="s">
        <v>1121</v>
      </c>
      <c r="AP92" s="210">
        <v>5</v>
      </c>
      <c r="AQ92" s="155"/>
      <c r="AR92" s="155"/>
    </row>
    <row r="93" spans="2:44">
      <c r="B93" s="155" t="s">
        <v>1121</v>
      </c>
      <c r="C93" s="155" t="s">
        <v>347</v>
      </c>
      <c r="D93" s="155" t="s">
        <v>205</v>
      </c>
      <c r="E93" s="155">
        <v>5</v>
      </c>
      <c r="F93" s="189">
        <v>4428.0875999999998</v>
      </c>
      <c r="G93" s="67">
        <v>1049.9286199999999</v>
      </c>
      <c r="H93" s="67">
        <v>450</v>
      </c>
      <c r="I93" s="67">
        <v>450</v>
      </c>
      <c r="J93" s="67">
        <v>2850</v>
      </c>
      <c r="K93" s="67">
        <v>12716</v>
      </c>
      <c r="L93" s="67">
        <v>13064</v>
      </c>
      <c r="M93" s="67">
        <v>15098</v>
      </c>
      <c r="N93" s="67">
        <v>10406</v>
      </c>
      <c r="O93" s="67">
        <v>300</v>
      </c>
      <c r="P93" s="67">
        <v>0</v>
      </c>
      <c r="R93" s="211" t="s">
        <v>1121</v>
      </c>
      <c r="S93" s="211" t="s">
        <v>205</v>
      </c>
      <c r="AO93" s="211" t="s">
        <v>1121</v>
      </c>
      <c r="AP93" s="211">
        <v>5</v>
      </c>
      <c r="AQ93" s="155"/>
      <c r="AR93" s="155"/>
    </row>
    <row r="94" spans="2:44">
      <c r="B94" s="208" t="s">
        <v>1126</v>
      </c>
      <c r="C94" s="199" t="s">
        <v>347</v>
      </c>
      <c r="D94" s="199" t="s">
        <v>205</v>
      </c>
      <c r="E94" s="199">
        <v>130</v>
      </c>
      <c r="F94" s="213">
        <v>638.51328000000001</v>
      </c>
      <c r="G94" s="212">
        <v>1255.5733600000001</v>
      </c>
      <c r="H94" s="212">
        <v>3350.1012000000001</v>
      </c>
      <c r="I94" s="212">
        <v>3500</v>
      </c>
      <c r="J94" s="212">
        <v>5430.0049200000003</v>
      </c>
      <c r="K94" s="212">
        <v>5131.1112000000003</v>
      </c>
      <c r="L94" s="212">
        <v>14615.509840000001</v>
      </c>
      <c r="M94" s="212">
        <v>22889</v>
      </c>
      <c r="N94" s="212">
        <v>21837</v>
      </c>
      <c r="O94" s="212">
        <v>17132</v>
      </c>
      <c r="P94" s="212">
        <v>17946</v>
      </c>
      <c r="R94" s="216" t="s">
        <v>1126</v>
      </c>
      <c r="S94" s="218" t="s">
        <v>205</v>
      </c>
      <c r="AO94" s="216" t="s">
        <v>1126</v>
      </c>
      <c r="AP94" s="218">
        <v>130</v>
      </c>
      <c r="AQ94" s="155">
        <f t="shared" si="9"/>
        <v>130</v>
      </c>
      <c r="AR94" s="155"/>
    </row>
    <row r="95" spans="2:44">
      <c r="B95" s="208" t="s">
        <v>1126</v>
      </c>
      <c r="C95" s="199" t="s">
        <v>347</v>
      </c>
      <c r="D95" s="199" t="s">
        <v>205</v>
      </c>
      <c r="E95" s="199">
        <v>130</v>
      </c>
      <c r="F95" s="213">
        <v>8830.9835600000006</v>
      </c>
      <c r="G95" s="212">
        <v>3149.9998999999998</v>
      </c>
      <c r="H95" s="212">
        <v>0</v>
      </c>
      <c r="I95" s="212">
        <v>0</v>
      </c>
      <c r="J95" s="212">
        <v>0</v>
      </c>
      <c r="K95" s="212">
        <v>0</v>
      </c>
      <c r="L95" s="212">
        <v>0</v>
      </c>
      <c r="M95" s="212">
        <v>0</v>
      </c>
      <c r="N95" s="212">
        <v>0</v>
      </c>
      <c r="O95" s="212">
        <v>0</v>
      </c>
      <c r="P95" s="212">
        <v>0</v>
      </c>
      <c r="R95" s="215" t="s">
        <v>1126</v>
      </c>
      <c r="S95" s="217" t="s">
        <v>205</v>
      </c>
      <c r="AO95" s="215" t="s">
        <v>1126</v>
      </c>
      <c r="AP95" s="217">
        <v>130</v>
      </c>
      <c r="AQ95" s="155"/>
      <c r="AR95" s="155"/>
    </row>
    <row r="96" spans="2:44">
      <c r="B96" s="155" t="s">
        <v>1166</v>
      </c>
      <c r="C96" s="155" t="s">
        <v>347</v>
      </c>
      <c r="D96" s="155" t="s">
        <v>205</v>
      </c>
      <c r="E96" s="155">
        <v>105</v>
      </c>
      <c r="F96" s="189">
        <v>5</v>
      </c>
      <c r="G96" s="67">
        <v>0</v>
      </c>
      <c r="H96" s="67">
        <v>3342.0829800000001</v>
      </c>
      <c r="I96" s="67">
        <v>1052.2500399999999</v>
      </c>
      <c r="J96" s="67">
        <v>0</v>
      </c>
      <c r="K96" s="67">
        <v>0</v>
      </c>
      <c r="L96" s="67">
        <v>0</v>
      </c>
      <c r="M96" s="67">
        <v>0</v>
      </c>
      <c r="N96" s="67">
        <v>0</v>
      </c>
      <c r="O96" s="67">
        <v>0</v>
      </c>
      <c r="P96" s="67">
        <v>0</v>
      </c>
      <c r="R96" s="210" t="s">
        <v>1166</v>
      </c>
      <c r="S96" s="210" t="s">
        <v>205</v>
      </c>
      <c r="AO96" s="210" t="s">
        <v>1166</v>
      </c>
      <c r="AP96" s="210">
        <v>105</v>
      </c>
      <c r="AQ96" s="155">
        <f t="shared" si="9"/>
        <v>105</v>
      </c>
      <c r="AR96" s="155"/>
    </row>
    <row r="97" spans="2:44">
      <c r="B97" s="155" t="s">
        <v>1166</v>
      </c>
      <c r="C97" s="155" t="s">
        <v>347</v>
      </c>
      <c r="D97" s="155" t="s">
        <v>205</v>
      </c>
      <c r="E97" s="155">
        <v>105</v>
      </c>
      <c r="F97" s="189">
        <v>1405.1071600000002</v>
      </c>
      <c r="G97" s="67">
        <v>750</v>
      </c>
      <c r="H97" s="67">
        <v>0</v>
      </c>
      <c r="I97" s="67">
        <v>0</v>
      </c>
      <c r="J97" s="67">
        <v>0</v>
      </c>
      <c r="K97" s="67">
        <v>0</v>
      </c>
      <c r="L97" s="67">
        <v>0</v>
      </c>
      <c r="M97" s="67">
        <v>0</v>
      </c>
      <c r="N97" s="67">
        <v>0</v>
      </c>
      <c r="O97" s="67">
        <v>0</v>
      </c>
      <c r="P97" s="67">
        <v>0</v>
      </c>
      <c r="R97" s="211" t="s">
        <v>1166</v>
      </c>
      <c r="S97" s="211" t="s">
        <v>205</v>
      </c>
      <c r="AO97" s="211" t="s">
        <v>1166</v>
      </c>
      <c r="AP97" s="211">
        <v>105</v>
      </c>
      <c r="AQ97" s="155"/>
      <c r="AR97" s="155"/>
    </row>
    <row r="98" spans="2:44">
      <c r="B98" s="208" t="s">
        <v>1171</v>
      </c>
      <c r="C98" s="199" t="s">
        <v>347</v>
      </c>
      <c r="D98" s="199" t="s">
        <v>205</v>
      </c>
      <c r="E98" s="199">
        <v>10</v>
      </c>
      <c r="F98" s="213">
        <v>7470.9739200000004</v>
      </c>
      <c r="G98" s="212">
        <v>0</v>
      </c>
      <c r="H98" s="212">
        <v>0</v>
      </c>
      <c r="I98" s="212">
        <v>0</v>
      </c>
      <c r="J98" s="212">
        <v>0</v>
      </c>
      <c r="K98" s="212">
        <v>250</v>
      </c>
      <c r="L98" s="212">
        <v>3506.0000399999999</v>
      </c>
      <c r="M98" s="212">
        <v>5634</v>
      </c>
      <c r="N98" s="212">
        <v>4899.7020400000001</v>
      </c>
      <c r="O98" s="212">
        <v>0</v>
      </c>
      <c r="P98" s="212">
        <v>0</v>
      </c>
      <c r="R98" s="216" t="s">
        <v>1171</v>
      </c>
      <c r="S98" s="218" t="s">
        <v>205</v>
      </c>
      <c r="AO98" s="216" t="s">
        <v>1171</v>
      </c>
      <c r="AP98" s="218">
        <v>10</v>
      </c>
      <c r="AQ98" s="155">
        <f t="shared" si="9"/>
        <v>10</v>
      </c>
      <c r="AR98" s="155">
        <f t="shared" si="8"/>
        <v>10</v>
      </c>
    </row>
    <row r="99" spans="2:44">
      <c r="B99" s="99" t="s">
        <v>1203</v>
      </c>
      <c r="C99" s="155" t="s">
        <v>347</v>
      </c>
      <c r="D99" s="155" t="s">
        <v>205</v>
      </c>
      <c r="E99" s="155"/>
      <c r="F99" s="189"/>
      <c r="G99" s="67"/>
      <c r="H99" s="67"/>
      <c r="I99" s="67"/>
      <c r="J99" s="67"/>
      <c r="K99" s="67"/>
      <c r="L99" s="67"/>
      <c r="M99" s="67"/>
      <c r="N99" s="67"/>
      <c r="O99" s="67"/>
      <c r="P99" s="67"/>
      <c r="R99" s="214" t="s">
        <v>1203</v>
      </c>
      <c r="S99" s="211" t="s">
        <v>205</v>
      </c>
      <c r="AO99" s="214" t="s">
        <v>1203</v>
      </c>
      <c r="AP99" s="211"/>
      <c r="AQ99" s="155">
        <f t="shared" si="9"/>
        <v>0</v>
      </c>
      <c r="AR99" s="155">
        <f t="shared" si="8"/>
        <v>0</v>
      </c>
    </row>
    <row r="100" spans="2:44">
      <c r="B100" s="99" t="s">
        <v>1203</v>
      </c>
      <c r="C100" s="155" t="s">
        <v>347</v>
      </c>
      <c r="D100" s="155" t="s">
        <v>205</v>
      </c>
      <c r="E100" s="155"/>
      <c r="F100" s="189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R100" s="214" t="s">
        <v>1203</v>
      </c>
      <c r="S100" s="210" t="s">
        <v>205</v>
      </c>
      <c r="AO100" s="214" t="s">
        <v>1203</v>
      </c>
      <c r="AP100" s="210"/>
      <c r="AQ100" s="155">
        <f t="shared" si="9"/>
        <v>0</v>
      </c>
      <c r="AR100" s="155">
        <f t="shared" si="8"/>
        <v>0</v>
      </c>
    </row>
    <row r="101" spans="2:44">
      <c r="B101" s="99" t="s">
        <v>1203</v>
      </c>
      <c r="C101" s="155" t="s">
        <v>347</v>
      </c>
      <c r="D101" s="155" t="s">
        <v>205</v>
      </c>
      <c r="E101" s="155"/>
      <c r="F101" s="189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R101" s="214" t="s">
        <v>1203</v>
      </c>
      <c r="S101" s="211" t="s">
        <v>205</v>
      </c>
      <c r="AO101" s="214" t="s">
        <v>1203</v>
      </c>
      <c r="AP101" s="211"/>
      <c r="AQ101" s="155">
        <f t="shared" si="9"/>
        <v>0</v>
      </c>
      <c r="AR101" s="155">
        <f t="shared" si="8"/>
        <v>0</v>
      </c>
    </row>
    <row r="102" spans="2:44">
      <c r="B102" s="99" t="s">
        <v>1203</v>
      </c>
      <c r="C102" s="155" t="s">
        <v>347</v>
      </c>
      <c r="D102" s="155" t="s">
        <v>205</v>
      </c>
      <c r="E102" s="155"/>
      <c r="F102" s="189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R102" s="214" t="s">
        <v>1203</v>
      </c>
      <c r="S102" s="210" t="s">
        <v>205</v>
      </c>
      <c r="AO102" s="214" t="s">
        <v>1203</v>
      </c>
      <c r="AP102" s="210"/>
      <c r="AQ102" s="155">
        <f t="shared" si="9"/>
        <v>0</v>
      </c>
      <c r="AR102" s="155">
        <f t="shared" si="8"/>
        <v>0</v>
      </c>
    </row>
    <row r="103" spans="2:44">
      <c r="B103" s="99" t="s">
        <v>1203</v>
      </c>
      <c r="C103" s="155" t="s">
        <v>347</v>
      </c>
      <c r="D103" s="155" t="s">
        <v>205</v>
      </c>
      <c r="E103" s="155"/>
      <c r="F103" s="189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R103" s="214" t="s">
        <v>1203</v>
      </c>
      <c r="S103" s="211" t="s">
        <v>205</v>
      </c>
      <c r="AO103" s="214" t="s">
        <v>1203</v>
      </c>
      <c r="AP103" s="211"/>
      <c r="AQ103" s="155">
        <f t="shared" si="9"/>
        <v>0</v>
      </c>
      <c r="AR103" s="155">
        <f t="shared" si="8"/>
        <v>0</v>
      </c>
    </row>
    <row r="104" spans="2:44">
      <c r="B104" s="99" t="s">
        <v>1203</v>
      </c>
      <c r="C104" s="155" t="s">
        <v>347</v>
      </c>
      <c r="D104" s="155" t="s">
        <v>205</v>
      </c>
      <c r="E104" s="155"/>
      <c r="F104" s="189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R104" s="214" t="s">
        <v>1203</v>
      </c>
      <c r="S104" s="210" t="s">
        <v>205</v>
      </c>
      <c r="AO104" s="214" t="s">
        <v>1203</v>
      </c>
      <c r="AP104" s="210"/>
      <c r="AQ104" s="155">
        <f t="shared" si="9"/>
        <v>0</v>
      </c>
      <c r="AR104" s="155">
        <f t="shared" si="8"/>
        <v>0</v>
      </c>
    </row>
    <row r="105" spans="2:44">
      <c r="B105" s="99" t="s">
        <v>1203</v>
      </c>
      <c r="C105" s="155" t="s">
        <v>347</v>
      </c>
      <c r="D105" s="155" t="s">
        <v>205</v>
      </c>
      <c r="E105" s="155"/>
      <c r="F105" s="189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R105" s="214" t="s">
        <v>1203</v>
      </c>
      <c r="S105" s="211" t="s">
        <v>205</v>
      </c>
      <c r="AO105" s="214" t="s">
        <v>1203</v>
      </c>
      <c r="AP105" s="211"/>
      <c r="AQ105" s="155">
        <f t="shared" si="9"/>
        <v>0</v>
      </c>
      <c r="AR105" s="155">
        <f t="shared" si="8"/>
        <v>0</v>
      </c>
    </row>
    <row r="106" spans="2:44">
      <c r="B106" s="99" t="s">
        <v>1203</v>
      </c>
      <c r="C106" s="155" t="s">
        <v>347</v>
      </c>
      <c r="D106" s="155" t="s">
        <v>205</v>
      </c>
      <c r="E106" s="155"/>
      <c r="F106" s="189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R106" s="214" t="s">
        <v>1203</v>
      </c>
      <c r="S106" s="210" t="s">
        <v>205</v>
      </c>
      <c r="AO106" s="214" t="s">
        <v>1203</v>
      </c>
      <c r="AP106" s="210"/>
      <c r="AQ106" s="155">
        <f t="shared" si="9"/>
        <v>0</v>
      </c>
      <c r="AR106" s="155">
        <f t="shared" si="8"/>
        <v>0</v>
      </c>
    </row>
    <row r="107" spans="2:44">
      <c r="B107" s="155" t="s">
        <v>1298</v>
      </c>
      <c r="C107" s="155" t="s">
        <v>347</v>
      </c>
      <c r="D107" s="155" t="s">
        <v>205</v>
      </c>
      <c r="E107" s="155">
        <v>10</v>
      </c>
      <c r="F107" s="189">
        <v>0</v>
      </c>
      <c r="G107" s="67">
        <v>0</v>
      </c>
      <c r="H107" s="67">
        <v>0</v>
      </c>
      <c r="I107" s="67">
        <v>621.33349999999996</v>
      </c>
      <c r="J107" s="67">
        <v>1242.6669999999999</v>
      </c>
      <c r="K107" s="67">
        <v>621.33349999999996</v>
      </c>
      <c r="L107" s="67">
        <v>0</v>
      </c>
      <c r="M107" s="67">
        <v>0</v>
      </c>
      <c r="N107" s="67">
        <v>0</v>
      </c>
      <c r="O107" s="67">
        <v>0</v>
      </c>
      <c r="P107" s="67">
        <v>0</v>
      </c>
      <c r="R107" s="211" t="s">
        <v>1298</v>
      </c>
      <c r="S107" s="211" t="s">
        <v>205</v>
      </c>
      <c r="AO107" s="211" t="s">
        <v>1298</v>
      </c>
      <c r="AP107" s="211">
        <v>10</v>
      </c>
      <c r="AQ107" s="155">
        <f t="shared" si="9"/>
        <v>10</v>
      </c>
      <c r="AR107" s="155">
        <f t="shared" si="8"/>
        <v>10</v>
      </c>
    </row>
    <row r="108" spans="2:44">
      <c r="B108" s="155" t="s">
        <v>1298</v>
      </c>
      <c r="C108" s="155" t="s">
        <v>347</v>
      </c>
      <c r="D108" s="155" t="s">
        <v>205</v>
      </c>
      <c r="E108" s="155">
        <v>10</v>
      </c>
      <c r="F108" s="189">
        <v>1016.76876</v>
      </c>
      <c r="G108" s="67">
        <v>894.39368999999999</v>
      </c>
      <c r="H108" s="67">
        <v>600.36332000000004</v>
      </c>
      <c r="I108" s="67">
        <v>2825.6140799999998</v>
      </c>
      <c r="J108" s="67">
        <v>5359.6127800000004</v>
      </c>
      <c r="K108" s="67">
        <v>3930.1870399999998</v>
      </c>
      <c r="L108" s="67">
        <v>1529.41058</v>
      </c>
      <c r="M108" s="67">
        <v>0</v>
      </c>
      <c r="N108" s="67">
        <v>0</v>
      </c>
      <c r="O108" s="67">
        <v>0</v>
      </c>
      <c r="P108" s="67">
        <v>0</v>
      </c>
      <c r="R108" s="210" t="s">
        <v>1298</v>
      </c>
      <c r="S108" s="210" t="s">
        <v>205</v>
      </c>
      <c r="AO108" s="210" t="s">
        <v>1298</v>
      </c>
      <c r="AP108" s="210">
        <v>10</v>
      </c>
      <c r="AQ108" s="155"/>
      <c r="AR108" s="155">
        <f t="shared" si="8"/>
        <v>0</v>
      </c>
    </row>
    <row r="109" spans="2:44">
      <c r="B109" s="99" t="s">
        <v>1301</v>
      </c>
      <c r="C109" s="155" t="s">
        <v>347</v>
      </c>
      <c r="D109" s="155" t="s">
        <v>205</v>
      </c>
      <c r="E109" s="155"/>
      <c r="F109" s="189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R109" s="214" t="s">
        <v>1301</v>
      </c>
      <c r="S109" s="211" t="s">
        <v>205</v>
      </c>
      <c r="AO109" s="214" t="s">
        <v>1301</v>
      </c>
      <c r="AP109" s="211"/>
      <c r="AQ109" s="155">
        <f t="shared" si="9"/>
        <v>0</v>
      </c>
      <c r="AR109" s="155">
        <f t="shared" si="8"/>
        <v>0</v>
      </c>
    </row>
    <row r="110" spans="2:44">
      <c r="B110" s="99" t="s">
        <v>1301</v>
      </c>
      <c r="C110" s="155" t="s">
        <v>347</v>
      </c>
      <c r="D110" s="155" t="s">
        <v>205</v>
      </c>
      <c r="E110" s="155"/>
      <c r="F110" s="189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R110" s="214" t="s">
        <v>1301</v>
      </c>
      <c r="S110" s="210" t="s">
        <v>205</v>
      </c>
      <c r="AO110" s="214" t="s">
        <v>1301</v>
      </c>
      <c r="AP110" s="210"/>
      <c r="AQ110" s="155">
        <f t="shared" si="9"/>
        <v>0</v>
      </c>
      <c r="AR110" s="155">
        <f t="shared" si="8"/>
        <v>0</v>
      </c>
    </row>
    <row r="111" spans="2:44">
      <c r="B111" s="155" t="s">
        <v>1304</v>
      </c>
      <c r="C111" s="155" t="s">
        <v>347</v>
      </c>
      <c r="D111" s="155" t="s">
        <v>205</v>
      </c>
      <c r="E111" s="155">
        <v>200</v>
      </c>
      <c r="F111" s="191">
        <v>0</v>
      </c>
      <c r="G111" s="67">
        <v>0</v>
      </c>
      <c r="H111" s="67">
        <v>98</v>
      </c>
      <c r="I111" s="67">
        <v>2450</v>
      </c>
      <c r="J111" s="67">
        <v>2450</v>
      </c>
      <c r="K111" s="67">
        <v>0</v>
      </c>
      <c r="L111" s="67">
        <v>0</v>
      </c>
      <c r="M111" s="67">
        <v>0</v>
      </c>
      <c r="N111" s="67">
        <v>0</v>
      </c>
      <c r="O111" s="67">
        <v>0</v>
      </c>
      <c r="P111" s="67">
        <v>0</v>
      </c>
      <c r="Q111" s="200"/>
      <c r="R111" s="211" t="s">
        <v>1304</v>
      </c>
      <c r="S111" s="211" t="s">
        <v>205</v>
      </c>
      <c r="AO111" s="211" t="s">
        <v>1304</v>
      </c>
      <c r="AP111" s="211">
        <v>200</v>
      </c>
      <c r="AQ111" s="155">
        <f t="shared" si="9"/>
        <v>200</v>
      </c>
      <c r="AR111" s="155"/>
    </row>
    <row r="112" spans="2:44">
      <c r="B112" s="155" t="s">
        <v>1304</v>
      </c>
      <c r="C112" s="155" t="s">
        <v>347</v>
      </c>
      <c r="D112" s="155" t="s">
        <v>205</v>
      </c>
      <c r="E112" s="155">
        <v>200</v>
      </c>
      <c r="F112" s="191">
        <v>0</v>
      </c>
      <c r="G112" s="67">
        <v>108</v>
      </c>
      <c r="H112" s="67">
        <v>225</v>
      </c>
      <c r="I112" s="67">
        <v>6000</v>
      </c>
      <c r="J112" s="67">
        <v>19800</v>
      </c>
      <c r="K112" s="67">
        <v>36500</v>
      </c>
      <c r="L112" s="67">
        <v>40500</v>
      </c>
      <c r="M112" s="67">
        <v>25600</v>
      </c>
      <c r="N112" s="67">
        <v>0</v>
      </c>
      <c r="O112" s="67">
        <v>0</v>
      </c>
      <c r="P112" s="67">
        <v>0</v>
      </c>
      <c r="Q112" s="200"/>
      <c r="R112" s="210" t="s">
        <v>1304</v>
      </c>
      <c r="S112" s="210" t="s">
        <v>205</v>
      </c>
      <c r="AO112" s="210" t="s">
        <v>1304</v>
      </c>
      <c r="AP112" s="210">
        <v>200</v>
      </c>
      <c r="AQ112" s="155"/>
      <c r="AR112" s="155"/>
    </row>
    <row r="113" spans="2:44">
      <c r="B113" s="155" t="s">
        <v>1345</v>
      </c>
      <c r="C113" s="155" t="s">
        <v>347</v>
      </c>
      <c r="D113" s="155" t="s">
        <v>205</v>
      </c>
      <c r="E113" s="155">
        <v>20</v>
      </c>
      <c r="F113" s="191">
        <v>0</v>
      </c>
      <c r="G113" s="67">
        <v>0</v>
      </c>
      <c r="H113" s="67">
        <v>0</v>
      </c>
      <c r="I113" s="67">
        <v>0</v>
      </c>
      <c r="J113" s="67">
        <v>0</v>
      </c>
      <c r="K113" s="67">
        <v>98</v>
      </c>
      <c r="L113" s="67">
        <v>1960</v>
      </c>
      <c r="M113" s="67">
        <v>6860</v>
      </c>
      <c r="N113" s="67">
        <v>882</v>
      </c>
      <c r="O113" s="67">
        <v>0</v>
      </c>
      <c r="P113" s="67">
        <v>0</v>
      </c>
      <c r="Q113" s="200"/>
      <c r="R113" s="211" t="s">
        <v>1345</v>
      </c>
      <c r="S113" s="211" t="s">
        <v>205</v>
      </c>
      <c r="AO113" s="211" t="s">
        <v>1345</v>
      </c>
      <c r="AP113" s="211">
        <v>20</v>
      </c>
      <c r="AQ113" s="155">
        <f t="shared" si="9"/>
        <v>20</v>
      </c>
      <c r="AR113" s="155">
        <f t="shared" si="8"/>
        <v>20</v>
      </c>
    </row>
    <row r="114" spans="2:44">
      <c r="B114" s="155" t="s">
        <v>1345</v>
      </c>
      <c r="C114" s="155" t="s">
        <v>347</v>
      </c>
      <c r="D114" s="155" t="s">
        <v>205</v>
      </c>
      <c r="E114" s="155">
        <v>16</v>
      </c>
      <c r="F114" s="191">
        <v>20101.922760000001</v>
      </c>
      <c r="G114" s="67">
        <v>1445.99126</v>
      </c>
      <c r="H114" s="67">
        <v>1037.7853399999999</v>
      </c>
      <c r="I114" s="67">
        <v>141.94909000000001</v>
      </c>
      <c r="J114" s="67">
        <v>0</v>
      </c>
      <c r="K114" s="67">
        <v>0</v>
      </c>
      <c r="L114" s="67">
        <v>0</v>
      </c>
      <c r="M114" s="67">
        <v>0</v>
      </c>
      <c r="N114" s="67">
        <v>0</v>
      </c>
      <c r="O114" s="67">
        <v>0</v>
      </c>
      <c r="P114" s="67">
        <v>0</v>
      </c>
      <c r="R114" s="210" t="s">
        <v>1345</v>
      </c>
      <c r="S114" s="210" t="s">
        <v>205</v>
      </c>
      <c r="AO114" s="210" t="s">
        <v>1345</v>
      </c>
      <c r="AP114" s="210">
        <v>16</v>
      </c>
      <c r="AQ114" s="155">
        <f t="shared" si="9"/>
        <v>16</v>
      </c>
      <c r="AR114" s="155">
        <f t="shared" si="8"/>
        <v>16</v>
      </c>
    </row>
    <row r="115" spans="2:44">
      <c r="B115" s="155" t="s">
        <v>1345</v>
      </c>
      <c r="C115" s="155" t="s">
        <v>347</v>
      </c>
      <c r="D115" s="155" t="s">
        <v>205</v>
      </c>
      <c r="E115" s="155">
        <v>200</v>
      </c>
      <c r="F115" s="191">
        <v>13419.42412</v>
      </c>
      <c r="G115" s="67">
        <v>4058.0192000000002</v>
      </c>
      <c r="H115" s="67">
        <v>532.84799999999996</v>
      </c>
      <c r="I115" s="67">
        <v>266.42399999999998</v>
      </c>
      <c r="J115" s="67">
        <v>0</v>
      </c>
      <c r="K115" s="67">
        <v>0</v>
      </c>
      <c r="L115" s="67">
        <v>0</v>
      </c>
      <c r="M115" s="67">
        <v>0</v>
      </c>
      <c r="N115" s="67">
        <v>0</v>
      </c>
      <c r="O115" s="67">
        <v>0</v>
      </c>
      <c r="P115" s="67">
        <v>0</v>
      </c>
      <c r="R115" s="211" t="s">
        <v>1345</v>
      </c>
      <c r="S115" s="211" t="s">
        <v>205</v>
      </c>
      <c r="AO115" s="211" t="s">
        <v>1345</v>
      </c>
      <c r="AP115" s="211">
        <v>200</v>
      </c>
      <c r="AQ115" s="155">
        <f t="shared" si="9"/>
        <v>200</v>
      </c>
      <c r="AR115" s="155">
        <f t="shared" si="8"/>
        <v>200</v>
      </c>
    </row>
    <row r="116" spans="2:44">
      <c r="B116" s="155" t="s">
        <v>1345</v>
      </c>
      <c r="C116" s="155" t="s">
        <v>347</v>
      </c>
      <c r="D116" s="155" t="s">
        <v>205</v>
      </c>
      <c r="E116" s="155">
        <v>10</v>
      </c>
      <c r="F116" s="191">
        <v>2124.5144799999998</v>
      </c>
      <c r="G116" s="67">
        <v>794.77223000000004</v>
      </c>
      <c r="H116" s="67">
        <v>0</v>
      </c>
      <c r="I116" s="67">
        <v>288</v>
      </c>
      <c r="J116" s="67">
        <v>376</v>
      </c>
      <c r="K116" s="67">
        <v>0</v>
      </c>
      <c r="L116" s="67">
        <v>0</v>
      </c>
      <c r="M116" s="67">
        <v>0</v>
      </c>
      <c r="N116" s="67">
        <v>0</v>
      </c>
      <c r="O116" s="67">
        <v>0</v>
      </c>
      <c r="P116" s="67">
        <v>0</v>
      </c>
      <c r="R116" s="210" t="s">
        <v>1345</v>
      </c>
      <c r="S116" s="210" t="s">
        <v>205</v>
      </c>
      <c r="AO116" s="210" t="s">
        <v>1345</v>
      </c>
      <c r="AP116" s="210">
        <v>10</v>
      </c>
      <c r="AQ116" s="155">
        <f t="shared" si="9"/>
        <v>10</v>
      </c>
      <c r="AR116" s="155">
        <f t="shared" si="8"/>
        <v>10</v>
      </c>
    </row>
    <row r="117" spans="2:44">
      <c r="B117" s="155" t="s">
        <v>1345</v>
      </c>
      <c r="C117" s="155" t="s">
        <v>347</v>
      </c>
      <c r="D117" s="155" t="s">
        <v>205</v>
      </c>
      <c r="E117" s="155">
        <v>10</v>
      </c>
      <c r="F117" s="191">
        <v>0</v>
      </c>
      <c r="G117" s="67">
        <v>0</v>
      </c>
      <c r="H117" s="67">
        <v>125</v>
      </c>
      <c r="I117" s="67">
        <v>1300</v>
      </c>
      <c r="J117" s="67">
        <v>1800</v>
      </c>
      <c r="K117" s="67">
        <v>15000</v>
      </c>
      <c r="L117" s="67">
        <v>17000</v>
      </c>
      <c r="M117" s="67">
        <v>15000</v>
      </c>
      <c r="N117" s="67">
        <v>500</v>
      </c>
      <c r="O117" s="67">
        <v>0</v>
      </c>
      <c r="P117" s="67">
        <v>0</v>
      </c>
      <c r="R117" s="209" t="s">
        <v>1345</v>
      </c>
      <c r="S117" s="209" t="s">
        <v>205</v>
      </c>
      <c r="AO117" s="209" t="s">
        <v>1345</v>
      </c>
      <c r="AP117" s="209">
        <v>10</v>
      </c>
      <c r="AQ117" s="155">
        <f t="shared" si="9"/>
        <v>10</v>
      </c>
      <c r="AR117" s="155">
        <f t="shared" si="8"/>
        <v>10</v>
      </c>
    </row>
    <row r="118" spans="2:44">
      <c r="AO118" s="206"/>
      <c r="AP118" s="164"/>
      <c r="AQ118" s="219"/>
    </row>
    <row r="119" spans="2:44">
      <c r="AO119" s="206"/>
      <c r="AP119" s="164"/>
      <c r="AQ119" s="219"/>
    </row>
    <row r="120" spans="2:44">
      <c r="AO120" s="206"/>
      <c r="AP120" s="164"/>
      <c r="AQ120" s="219"/>
    </row>
    <row r="121" spans="2:44">
      <c r="AO121" s="206"/>
      <c r="AP121" s="164"/>
      <c r="AQ121" s="219"/>
    </row>
    <row r="122" spans="2:44">
      <c r="AO122" s="206"/>
      <c r="AP122" s="164"/>
      <c r="AQ122" s="219"/>
    </row>
    <row r="123" spans="2:44">
      <c r="AO123" s="206"/>
      <c r="AP123" s="164"/>
      <c r="AQ123" s="219"/>
    </row>
    <row r="124" spans="2:44">
      <c r="AO124" s="206"/>
      <c r="AP124" s="164"/>
      <c r="AQ124" s="219"/>
    </row>
    <row r="125" spans="2:44">
      <c r="AO125" s="206"/>
      <c r="AP125" s="164"/>
      <c r="AQ125" s="219"/>
    </row>
    <row r="126" spans="2:44">
      <c r="AO126" s="220"/>
      <c r="AP126" s="164"/>
      <c r="AQ126" s="219"/>
    </row>
  </sheetData>
  <mergeCells count="2">
    <mergeCell ref="AE3:AN3"/>
    <mergeCell ref="AV3:BE3"/>
  </mergeCells>
  <pageMargins left="0.7" right="0.7" top="0.75" bottom="0.75" header="0.3" footer="0.3"/>
  <pageSetup scale="14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D07DA-AB1C-4973-8BC8-5080AF983805}">
  <sheetPr>
    <pageSetUpPr fitToPage="1"/>
  </sheetPr>
  <dimension ref="A1:AM900"/>
  <sheetViews>
    <sheetView tabSelected="1" workbookViewId="0">
      <selection activeCell="Q4" sqref="Q4"/>
    </sheetView>
  </sheetViews>
  <sheetFormatPr defaultRowHeight="15"/>
  <cols>
    <col min="1" max="1" width="13.140625" customWidth="1"/>
    <col min="2" max="2" width="17.85546875" bestFit="1" customWidth="1"/>
    <col min="3" max="3" width="4.85546875" bestFit="1" customWidth="1"/>
    <col min="5" max="5" width="8.5703125" bestFit="1" customWidth="1"/>
    <col min="11" max="11" width="9.85546875" customWidth="1"/>
    <col min="20" max="20" width="43.140625" bestFit="1" customWidth="1"/>
  </cols>
  <sheetData>
    <row r="1" spans="1:39" ht="18.75">
      <c r="A1" s="15" t="s">
        <v>366</v>
      </c>
      <c r="B1" s="16"/>
      <c r="C1" s="16"/>
      <c r="D1" s="17"/>
      <c r="E1" s="17"/>
      <c r="F1" s="18"/>
      <c r="G1" s="18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</row>
    <row r="2" spans="1:39" ht="18.75">
      <c r="A2" s="15" t="s">
        <v>367</v>
      </c>
      <c r="B2" s="16"/>
      <c r="C2" s="16"/>
      <c r="D2" s="17"/>
      <c r="E2" s="17"/>
      <c r="F2" s="18"/>
      <c r="G2" s="18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</row>
    <row r="3" spans="1:39">
      <c r="A3" s="19"/>
      <c r="B3" s="19"/>
      <c r="C3" s="19"/>
      <c r="D3" s="19"/>
      <c r="E3" s="19"/>
      <c r="F3" s="19"/>
      <c r="G3" s="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55" t="s">
        <v>2280</v>
      </c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368</v>
      </c>
      <c r="AI3" s="119"/>
      <c r="AJ3" s="119"/>
    </row>
    <row r="4" spans="1:39">
      <c r="A4" s="19"/>
      <c r="B4" s="19"/>
      <c r="C4" s="19"/>
      <c r="D4" s="19"/>
      <c r="E4" s="19"/>
      <c r="F4" s="19"/>
      <c r="G4" s="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</row>
    <row r="5" spans="1:39">
      <c r="A5" s="19"/>
      <c r="B5" s="19"/>
      <c r="C5" s="19"/>
      <c r="D5" s="19"/>
      <c r="E5" s="19"/>
      <c r="F5" s="19"/>
      <c r="G5" s="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</row>
    <row r="6" spans="1:39" ht="15.75">
      <c r="A6" s="20" t="s">
        <v>369</v>
      </c>
      <c r="B6" s="21"/>
      <c r="C6" s="19"/>
      <c r="D6" s="22" t="s">
        <v>370</v>
      </c>
      <c r="E6" s="23"/>
      <c r="F6" s="23"/>
      <c r="G6" s="24"/>
      <c r="H6" s="119"/>
      <c r="I6" s="119"/>
      <c r="J6" s="119"/>
      <c r="K6" s="119"/>
      <c r="L6" s="119"/>
      <c r="M6" s="119"/>
      <c r="N6" s="119"/>
      <c r="O6" s="119"/>
      <c r="P6" s="119"/>
      <c r="Q6" s="20"/>
      <c r="R6" s="21"/>
      <c r="S6" s="19"/>
      <c r="T6" s="22" t="s">
        <v>371</v>
      </c>
      <c r="U6" s="23"/>
      <c r="V6" s="23"/>
      <c r="W6" s="24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</row>
    <row r="7" spans="1:39" ht="90">
      <c r="A7" s="25" t="s">
        <v>372</v>
      </c>
      <c r="B7" s="26" t="s">
        <v>373</v>
      </c>
      <c r="C7" s="25" t="s">
        <v>26</v>
      </c>
      <c r="D7" s="27" t="s">
        <v>374</v>
      </c>
      <c r="E7" s="28" t="s">
        <v>375</v>
      </c>
      <c r="F7" s="28" t="s">
        <v>376</v>
      </c>
      <c r="G7" s="29" t="s">
        <v>377</v>
      </c>
      <c r="H7" s="119"/>
      <c r="I7" s="53" t="s">
        <v>378</v>
      </c>
      <c r="J7" s="54">
        <v>7.9600000000000004E-2</v>
      </c>
      <c r="K7" s="53" t="s">
        <v>379</v>
      </c>
      <c r="L7" s="54">
        <v>6.9750000000000006E-2</v>
      </c>
      <c r="M7" s="119"/>
      <c r="N7" s="119"/>
      <c r="O7" s="119"/>
      <c r="P7" s="119"/>
      <c r="Q7" s="25" t="s">
        <v>372</v>
      </c>
      <c r="R7" s="26" t="s">
        <v>373</v>
      </c>
      <c r="S7" s="25" t="s">
        <v>26</v>
      </c>
      <c r="T7" s="27" t="s">
        <v>380</v>
      </c>
      <c r="U7" s="28" t="s">
        <v>375</v>
      </c>
      <c r="V7" s="28" t="s">
        <v>376</v>
      </c>
      <c r="W7" s="29" t="s">
        <v>377</v>
      </c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</row>
    <row r="8" spans="1:39" ht="30">
      <c r="A8" s="30"/>
      <c r="B8" s="31"/>
      <c r="C8" s="32"/>
      <c r="D8" s="33" t="s">
        <v>381</v>
      </c>
      <c r="E8" s="34" t="s">
        <v>381</v>
      </c>
      <c r="F8" s="34" t="s">
        <v>382</v>
      </c>
      <c r="G8" s="35" t="s">
        <v>382</v>
      </c>
      <c r="H8" s="119"/>
      <c r="I8" s="3"/>
      <c r="J8" s="56"/>
      <c r="K8" s="119"/>
      <c r="L8" s="119"/>
      <c r="M8" s="119"/>
      <c r="N8" s="119"/>
      <c r="O8" s="119"/>
      <c r="P8" s="119"/>
      <c r="Q8" s="30"/>
      <c r="R8" s="31"/>
      <c r="S8" s="32"/>
      <c r="T8" s="33" t="s">
        <v>381</v>
      </c>
      <c r="U8" s="34" t="s">
        <v>381</v>
      </c>
      <c r="V8" s="34" t="s">
        <v>382</v>
      </c>
      <c r="W8" s="35" t="s">
        <v>382</v>
      </c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</row>
    <row r="9" spans="1:39" ht="45">
      <c r="A9" s="30"/>
      <c r="B9" s="36"/>
      <c r="C9" s="37"/>
      <c r="D9" s="38" t="s">
        <v>8</v>
      </c>
      <c r="E9" s="39" t="s">
        <v>116</v>
      </c>
      <c r="F9" s="39" t="s">
        <v>8</v>
      </c>
      <c r="G9" s="40" t="s">
        <v>116</v>
      </c>
      <c r="H9" s="52" t="s">
        <v>12</v>
      </c>
      <c r="I9" s="3">
        <f>COUNTA(_xlfn.UNIQUE(B11:B900))</f>
        <v>82</v>
      </c>
      <c r="J9" s="56"/>
      <c r="K9" s="52" t="s">
        <v>8</v>
      </c>
      <c r="L9" s="52" t="s">
        <v>14</v>
      </c>
      <c r="M9" s="119"/>
      <c r="N9" s="52" t="s">
        <v>383</v>
      </c>
      <c r="O9" s="119"/>
      <c r="P9" s="119"/>
      <c r="Q9" s="30"/>
      <c r="R9" s="36"/>
      <c r="S9" s="37"/>
      <c r="T9" s="38" t="s">
        <v>8</v>
      </c>
      <c r="U9" s="39" t="s">
        <v>116</v>
      </c>
      <c r="V9" s="39" t="s">
        <v>8</v>
      </c>
      <c r="W9" s="40" t="s">
        <v>116</v>
      </c>
      <c r="X9" s="119"/>
      <c r="Y9" s="52" t="s">
        <v>384</v>
      </c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</row>
    <row r="10" spans="1:39">
      <c r="A10" s="41"/>
      <c r="B10" s="42"/>
      <c r="C10" s="41"/>
      <c r="D10" s="42"/>
      <c r="E10" s="19"/>
      <c r="F10" s="19"/>
      <c r="G10" s="43"/>
      <c r="H10" s="119"/>
      <c r="I10" s="3"/>
      <c r="J10" s="56"/>
      <c r="K10" s="119"/>
      <c r="L10" s="119"/>
      <c r="M10" s="119"/>
      <c r="N10" s="119"/>
      <c r="O10" s="119"/>
      <c r="P10" s="119"/>
      <c r="Q10" s="41"/>
      <c r="R10" s="42"/>
      <c r="S10" s="41"/>
      <c r="T10" s="42"/>
      <c r="U10" s="19"/>
      <c r="V10" s="19"/>
      <c r="W10" s="43"/>
      <c r="X10" s="119" t="s">
        <v>385</v>
      </c>
      <c r="Y10" s="119">
        <v>6.9750000000000006E-2</v>
      </c>
      <c r="Z10" s="119"/>
      <c r="AA10" s="119"/>
      <c r="AB10" s="119" t="s">
        <v>386</v>
      </c>
      <c r="AC10" s="119" t="s">
        <v>387</v>
      </c>
      <c r="AD10" s="119"/>
      <c r="AE10" s="119"/>
      <c r="AF10" s="119"/>
      <c r="AG10" s="119"/>
      <c r="AH10" s="119"/>
      <c r="AI10" s="119" t="s">
        <v>388</v>
      </c>
      <c r="AJ10" s="119" t="s">
        <v>389</v>
      </c>
    </row>
    <row r="11" spans="1:39">
      <c r="A11" s="44" t="s">
        <v>390</v>
      </c>
      <c r="B11" s="42" t="s">
        <v>391</v>
      </c>
      <c r="C11" s="45">
        <v>2026</v>
      </c>
      <c r="D11" s="46">
        <v>0</v>
      </c>
      <c r="E11" s="47">
        <v>0</v>
      </c>
      <c r="F11" s="47">
        <v>30.818145838143518</v>
      </c>
      <c r="G11" s="48">
        <v>0</v>
      </c>
      <c r="H11" s="57">
        <f>SUM(D11:G11)/((1+$L$7)^(C11-C$11))</f>
        <v>30.818145838143518</v>
      </c>
      <c r="I11" s="3"/>
      <c r="J11" s="119"/>
      <c r="K11" s="42" t="s">
        <v>391</v>
      </c>
      <c r="L11" s="119">
        <f>SUMIFS(H$11:H$900,B$11:B$900,K11)</f>
        <v>198.46838293285714</v>
      </c>
      <c r="M11" s="119">
        <f>L11/10</f>
        <v>19.846838293285714</v>
      </c>
      <c r="N11" s="119">
        <f>AVERAGE(L11:L91)</f>
        <v>131.74409659299278</v>
      </c>
      <c r="O11" s="119">
        <f>AVERAGE(M11:M91)</f>
        <v>13.174409659299281</v>
      </c>
      <c r="P11" s="119"/>
      <c r="Q11" s="44" t="s">
        <v>390</v>
      </c>
      <c r="R11" s="42" t="s">
        <v>391</v>
      </c>
      <c r="S11" s="45">
        <v>2026</v>
      </c>
      <c r="T11" s="46">
        <v>0</v>
      </c>
      <c r="U11" s="47">
        <v>0</v>
      </c>
      <c r="V11" s="47">
        <v>30.818145838143518</v>
      </c>
      <c r="W11" s="48">
        <v>0</v>
      </c>
      <c r="X11" s="57">
        <f>SUM(T11:W11)</f>
        <v>30.818145838143518</v>
      </c>
      <c r="Y11" s="57"/>
      <c r="Z11" s="42" t="s">
        <v>391</v>
      </c>
      <c r="AA11" s="119">
        <f t="shared" ref="AA11:AA42" si="0">SUMIFS(Y$11:Y$900,R$11:R$900,Z11)</f>
        <v>190.09401504826278</v>
      </c>
      <c r="AB11" s="119">
        <f t="shared" ref="AB11:AB42" si="1">AA11</f>
        <v>190.09401504826278</v>
      </c>
      <c r="AC11" s="119">
        <f>AVERAGE(AB11:AB91)</f>
        <v>62.894790109603932</v>
      </c>
      <c r="AD11" s="119">
        <f>_xlfn.STDEV.S(AB11:AB91)</f>
        <v>73.215986450110762</v>
      </c>
      <c r="AE11" s="119">
        <f>AD11/SQRT(8)</f>
        <v>25.885760255067847</v>
      </c>
      <c r="AF11" s="119">
        <f>AE11*1.28</f>
        <v>33.133773126486844</v>
      </c>
      <c r="AG11" s="119"/>
      <c r="AH11" s="119" t="s">
        <v>391</v>
      </c>
      <c r="AI11" s="119">
        <v>22.4</v>
      </c>
      <c r="AJ11" s="119">
        <f>SUMPRODUCT(AI11:AI89,AB11:AB89)/SUM(AI11:AI89)</f>
        <v>85.232157602079369</v>
      </c>
      <c r="AL11" s="42"/>
      <c r="AM11" s="155"/>
    </row>
    <row r="12" spans="1:39">
      <c r="A12" s="44" t="s">
        <v>390</v>
      </c>
      <c r="B12" s="42" t="s">
        <v>391</v>
      </c>
      <c r="C12" s="45">
        <v>2027</v>
      </c>
      <c r="D12" s="46">
        <v>0</v>
      </c>
      <c r="E12" s="47">
        <v>0</v>
      </c>
      <c r="F12" s="47">
        <v>57.606596927445537</v>
      </c>
      <c r="G12" s="48">
        <v>0</v>
      </c>
      <c r="H12" s="57">
        <f>SUM(D12:G12)/((1+$L$7)^(C12-C$11))</f>
        <v>53.850522951573303</v>
      </c>
      <c r="I12" s="3"/>
      <c r="J12" s="119"/>
      <c r="K12" s="19" t="s">
        <v>392</v>
      </c>
      <c r="L12" s="119">
        <f t="shared" ref="L12:L45" si="2">SUMIFS(H$11:H$900,B$11:B$900,K12)</f>
        <v>63.293829936592132</v>
      </c>
      <c r="M12" s="119">
        <f t="shared" ref="M12:M75" si="3">L12/10</f>
        <v>6.3293829936592134</v>
      </c>
      <c r="N12" s="119"/>
      <c r="O12" s="119"/>
      <c r="P12" s="119"/>
      <c r="Q12" s="44" t="s">
        <v>390</v>
      </c>
      <c r="R12" s="42" t="s">
        <v>391</v>
      </c>
      <c r="S12" s="45">
        <v>2027</v>
      </c>
      <c r="T12" s="46">
        <v>0</v>
      </c>
      <c r="U12" s="47">
        <v>0</v>
      </c>
      <c r="V12" s="47">
        <v>89.041105682351926</v>
      </c>
      <c r="W12" s="48">
        <v>0</v>
      </c>
      <c r="X12" s="57">
        <f t="shared" ref="X12:X75" si="4">SUM(T12:W12)</f>
        <v>89.041105682351926</v>
      </c>
      <c r="Y12" s="119"/>
      <c r="Z12" s="19" t="s">
        <v>392</v>
      </c>
      <c r="AA12" s="119">
        <f t="shared" si="0"/>
        <v>44.967600446103212</v>
      </c>
      <c r="AB12" s="119">
        <f t="shared" si="1"/>
        <v>44.967600446103212</v>
      </c>
      <c r="AC12" s="119"/>
      <c r="AD12" s="119"/>
      <c r="AE12" s="119"/>
      <c r="AF12" s="119"/>
      <c r="AG12" s="119"/>
      <c r="AH12" s="119" t="s">
        <v>392</v>
      </c>
      <c r="AI12" s="119">
        <v>10.1</v>
      </c>
      <c r="AJ12" s="119"/>
      <c r="AL12" s="19"/>
      <c r="AM12" s="155"/>
    </row>
    <row r="13" spans="1:39">
      <c r="A13" s="44" t="s">
        <v>390</v>
      </c>
      <c r="B13" s="42" t="s">
        <v>391</v>
      </c>
      <c r="C13" s="49">
        <v>2028</v>
      </c>
      <c r="D13" s="46">
        <v>0</v>
      </c>
      <c r="E13" s="47">
        <v>0</v>
      </c>
      <c r="F13" s="47">
        <v>130.22841698789688</v>
      </c>
      <c r="G13" s="48">
        <v>0</v>
      </c>
      <c r="H13" s="57">
        <f t="shared" ref="H13:H76" si="5">SUM(D13:G13)/((1+$L$7)^(C13-C$11))</f>
        <v>113.79971414314031</v>
      </c>
      <c r="I13" s="3"/>
      <c r="J13" s="119"/>
      <c r="K13" s="19" t="s">
        <v>393</v>
      </c>
      <c r="L13" s="119">
        <f t="shared" si="2"/>
        <v>61.208099257651973</v>
      </c>
      <c r="M13" s="119">
        <f t="shared" si="3"/>
        <v>6.1208099257651973</v>
      </c>
      <c r="N13" s="119"/>
      <c r="O13" s="119"/>
      <c r="P13" s="119"/>
      <c r="Q13" s="44" t="s">
        <v>390</v>
      </c>
      <c r="R13" s="42" t="s">
        <v>391</v>
      </c>
      <c r="S13" s="49">
        <v>2028</v>
      </c>
      <c r="T13" s="46">
        <v>0</v>
      </c>
      <c r="U13" s="47">
        <v>0</v>
      </c>
      <c r="V13" s="47">
        <v>221.05034478389584</v>
      </c>
      <c r="W13" s="48">
        <v>0</v>
      </c>
      <c r="X13" s="57">
        <f t="shared" si="4"/>
        <v>221.05034478389584</v>
      </c>
      <c r="Y13" s="119"/>
      <c r="Z13" s="19" t="s">
        <v>393</v>
      </c>
      <c r="AA13" s="119">
        <f t="shared" si="0"/>
        <v>43.485776642697409</v>
      </c>
      <c r="AB13" s="119">
        <f t="shared" si="1"/>
        <v>43.485776642697409</v>
      </c>
      <c r="AC13" s="119"/>
      <c r="AD13" s="119"/>
      <c r="AE13" s="119"/>
      <c r="AF13" s="119"/>
      <c r="AG13" s="119"/>
      <c r="AH13" s="119" t="s">
        <v>393</v>
      </c>
      <c r="AI13" s="119">
        <v>8.8000000000000007</v>
      </c>
      <c r="AJ13" s="119"/>
      <c r="AL13" s="19"/>
      <c r="AM13" s="155"/>
    </row>
    <row r="14" spans="1:39">
      <c r="A14" s="50" t="s">
        <v>390</v>
      </c>
      <c r="B14" s="42" t="s">
        <v>391</v>
      </c>
      <c r="C14" s="49">
        <v>2029</v>
      </c>
      <c r="D14" s="46">
        <v>0</v>
      </c>
      <c r="E14" s="47">
        <v>0</v>
      </c>
      <c r="F14" s="47">
        <v>0</v>
      </c>
      <c r="G14" s="48">
        <v>0</v>
      </c>
      <c r="H14" s="57">
        <f t="shared" si="5"/>
        <v>0</v>
      </c>
      <c r="I14" s="3"/>
      <c r="J14" s="119"/>
      <c r="K14" s="19" t="s">
        <v>394</v>
      </c>
      <c r="L14" s="119">
        <f t="shared" si="2"/>
        <v>35.574850071108791</v>
      </c>
      <c r="M14" s="119">
        <f t="shared" si="3"/>
        <v>3.5574850071108792</v>
      </c>
      <c r="N14" s="119"/>
      <c r="O14" s="119"/>
      <c r="P14" s="119"/>
      <c r="Q14" s="50" t="s">
        <v>390</v>
      </c>
      <c r="R14" s="42" t="s">
        <v>391</v>
      </c>
      <c r="S14" s="49">
        <v>2029</v>
      </c>
      <c r="T14" s="46">
        <v>0</v>
      </c>
      <c r="U14" s="47">
        <v>0</v>
      </c>
      <c r="V14" s="47">
        <v>225.47135167957376</v>
      </c>
      <c r="W14" s="48">
        <v>0</v>
      </c>
      <c r="X14" s="57">
        <f t="shared" si="4"/>
        <v>225.47135167957376</v>
      </c>
      <c r="Y14" s="119"/>
      <c r="Z14" s="19" t="s">
        <v>394</v>
      </c>
      <c r="AA14" s="119">
        <f t="shared" si="0"/>
        <v>21.547174282389015</v>
      </c>
      <c r="AB14" s="119">
        <f t="shared" si="1"/>
        <v>21.547174282389015</v>
      </c>
      <c r="AC14" s="119"/>
      <c r="AD14" s="119"/>
      <c r="AE14" s="119"/>
      <c r="AF14" s="119"/>
      <c r="AG14" s="119"/>
      <c r="AH14" s="119" t="s">
        <v>394</v>
      </c>
      <c r="AI14" s="119">
        <v>23.200000000000003</v>
      </c>
      <c r="AJ14" s="119"/>
      <c r="AL14" s="19"/>
      <c r="AM14" s="155"/>
    </row>
    <row r="15" spans="1:39">
      <c r="A15" s="50" t="s">
        <v>390</v>
      </c>
      <c r="B15" s="42" t="s">
        <v>391</v>
      </c>
      <c r="C15" s="49">
        <v>2030</v>
      </c>
      <c r="D15" s="46">
        <v>0</v>
      </c>
      <c r="E15" s="47">
        <v>0</v>
      </c>
      <c r="F15" s="47">
        <v>0</v>
      </c>
      <c r="G15" s="48">
        <v>0</v>
      </c>
      <c r="H15" s="57">
        <f t="shared" si="5"/>
        <v>0</v>
      </c>
      <c r="I15" s="3"/>
      <c r="J15" s="119"/>
      <c r="K15" s="19" t="s">
        <v>395</v>
      </c>
      <c r="L15" s="119">
        <f t="shared" si="2"/>
        <v>106.04256987666321</v>
      </c>
      <c r="M15" s="119">
        <f t="shared" si="3"/>
        <v>10.604256987666322</v>
      </c>
      <c r="N15" s="119"/>
      <c r="O15" s="119"/>
      <c r="P15" s="119"/>
      <c r="Q15" s="50" t="s">
        <v>390</v>
      </c>
      <c r="R15" s="42" t="s">
        <v>391</v>
      </c>
      <c r="S15" s="49">
        <v>2030</v>
      </c>
      <c r="T15" s="46">
        <v>0</v>
      </c>
      <c r="U15" s="47">
        <v>0</v>
      </c>
      <c r="V15" s="47">
        <v>229.98077871316525</v>
      </c>
      <c r="W15" s="48">
        <v>0</v>
      </c>
      <c r="X15" s="57">
        <f t="shared" si="4"/>
        <v>229.98077871316525</v>
      </c>
      <c r="Y15" s="119"/>
      <c r="Z15" s="19" t="s">
        <v>395</v>
      </c>
      <c r="AA15" s="119">
        <f t="shared" si="0"/>
        <v>45.719428937923745</v>
      </c>
      <c r="AB15" s="119">
        <f t="shared" si="1"/>
        <v>45.719428937923745</v>
      </c>
      <c r="AC15" s="119"/>
      <c r="AD15" s="119"/>
      <c r="AE15" s="119"/>
      <c r="AF15" s="119"/>
      <c r="AG15" s="119"/>
      <c r="AH15" s="119" t="s">
        <v>395</v>
      </c>
      <c r="AI15" s="119">
        <v>100</v>
      </c>
      <c r="AJ15" s="119"/>
      <c r="AL15" s="19"/>
      <c r="AM15" s="155"/>
    </row>
    <row r="16" spans="1:39">
      <c r="A16" s="44" t="s">
        <v>390</v>
      </c>
      <c r="B16" s="19" t="s">
        <v>391</v>
      </c>
      <c r="C16" s="49">
        <v>2031</v>
      </c>
      <c r="D16" s="46">
        <v>0</v>
      </c>
      <c r="E16" s="47">
        <v>0</v>
      </c>
      <c r="F16" s="47">
        <v>0</v>
      </c>
      <c r="G16" s="48">
        <v>0</v>
      </c>
      <c r="H16" s="57">
        <f t="shared" si="5"/>
        <v>0</v>
      </c>
      <c r="I16" s="3"/>
      <c r="J16" s="119"/>
      <c r="K16" s="19" t="s">
        <v>396</v>
      </c>
      <c r="L16" s="119">
        <f t="shared" si="2"/>
        <v>251.79613709176709</v>
      </c>
      <c r="M16" s="119">
        <f t="shared" si="3"/>
        <v>25.17961370917671</v>
      </c>
      <c r="N16" s="119"/>
      <c r="O16" s="119"/>
      <c r="P16" s="119"/>
      <c r="Q16" s="44" t="s">
        <v>390</v>
      </c>
      <c r="R16" s="19" t="s">
        <v>391</v>
      </c>
      <c r="S16" s="49">
        <v>2031</v>
      </c>
      <c r="T16" s="46">
        <v>0</v>
      </c>
      <c r="U16" s="47">
        <v>0</v>
      </c>
      <c r="V16" s="47">
        <v>234.58039428742856</v>
      </c>
      <c r="W16" s="48">
        <v>0</v>
      </c>
      <c r="X16" s="57">
        <f t="shared" si="4"/>
        <v>234.58039428742856</v>
      </c>
      <c r="Y16" s="119"/>
      <c r="Z16" s="19" t="s">
        <v>396</v>
      </c>
      <c r="AA16" s="119">
        <f t="shared" si="0"/>
        <v>112.47456618302658</v>
      </c>
      <c r="AB16" s="119">
        <f t="shared" si="1"/>
        <v>112.47456618302658</v>
      </c>
      <c r="AC16" s="119"/>
      <c r="AD16" s="119"/>
      <c r="AE16" s="119"/>
      <c r="AF16" s="119"/>
      <c r="AG16" s="119"/>
      <c r="AH16" s="119" t="s">
        <v>396</v>
      </c>
      <c r="AI16" s="119">
        <v>10.55</v>
      </c>
      <c r="AJ16" s="119"/>
      <c r="AL16" s="19"/>
      <c r="AM16" s="155"/>
    </row>
    <row r="17" spans="1:39">
      <c r="A17" s="44" t="s">
        <v>390</v>
      </c>
      <c r="B17" s="19" t="s">
        <v>391</v>
      </c>
      <c r="C17" s="49">
        <v>2032</v>
      </c>
      <c r="D17" s="46">
        <v>0</v>
      </c>
      <c r="E17" s="47">
        <v>0</v>
      </c>
      <c r="F17" s="47">
        <v>0</v>
      </c>
      <c r="G17" s="48">
        <v>0</v>
      </c>
      <c r="H17" s="57">
        <f t="shared" si="5"/>
        <v>0</v>
      </c>
      <c r="I17" s="3"/>
      <c r="J17" s="119"/>
      <c r="K17" s="19" t="s">
        <v>397</v>
      </c>
      <c r="L17" s="119">
        <f t="shared" si="2"/>
        <v>485.87042001351409</v>
      </c>
      <c r="M17" s="119">
        <f t="shared" si="3"/>
        <v>48.587042001351406</v>
      </c>
      <c r="N17" s="119"/>
      <c r="O17" s="119"/>
      <c r="P17" s="119"/>
      <c r="Q17" s="44" t="s">
        <v>390</v>
      </c>
      <c r="R17" s="19" t="s">
        <v>391</v>
      </c>
      <c r="S17" s="49">
        <v>2032</v>
      </c>
      <c r="T17" s="46">
        <v>0</v>
      </c>
      <c r="U17" s="47">
        <v>0</v>
      </c>
      <c r="V17" s="47">
        <v>239.27200217317713</v>
      </c>
      <c r="W17" s="48">
        <v>0</v>
      </c>
      <c r="X17" s="57">
        <f t="shared" si="4"/>
        <v>239.27200217317713</v>
      </c>
      <c r="Y17" s="119"/>
      <c r="Z17" s="19" t="s">
        <v>397</v>
      </c>
      <c r="AA17" s="119">
        <f t="shared" si="0"/>
        <v>213.59406194671172</v>
      </c>
      <c r="AB17" s="119">
        <f t="shared" si="1"/>
        <v>213.59406194671172</v>
      </c>
      <c r="AC17" s="119"/>
      <c r="AD17" s="119"/>
      <c r="AE17" s="119"/>
      <c r="AF17" s="119"/>
      <c r="AG17" s="119"/>
      <c r="AH17" s="119" t="s">
        <v>397</v>
      </c>
      <c r="AI17" s="119">
        <v>53.970999999999989</v>
      </c>
      <c r="AL17" s="19"/>
      <c r="AM17" s="155"/>
    </row>
    <row r="18" spans="1:39">
      <c r="A18" s="44" t="s">
        <v>390</v>
      </c>
      <c r="B18" s="19" t="s">
        <v>391</v>
      </c>
      <c r="C18" s="49">
        <v>2033</v>
      </c>
      <c r="D18" s="46">
        <v>0</v>
      </c>
      <c r="E18" s="47">
        <v>0</v>
      </c>
      <c r="F18" s="47">
        <v>0</v>
      </c>
      <c r="G18" s="48">
        <v>0</v>
      </c>
      <c r="H18" s="57">
        <f t="shared" si="5"/>
        <v>0</v>
      </c>
      <c r="I18" s="119"/>
      <c r="J18" s="119"/>
      <c r="K18" s="19" t="s">
        <v>398</v>
      </c>
      <c r="L18" s="119">
        <f t="shared" si="2"/>
        <v>358.26087316524359</v>
      </c>
      <c r="M18" s="119">
        <f t="shared" si="3"/>
        <v>35.826087316524358</v>
      </c>
      <c r="N18" s="119"/>
      <c r="O18" s="119"/>
      <c r="P18" s="119"/>
      <c r="Q18" s="44" t="s">
        <v>390</v>
      </c>
      <c r="R18" s="19" t="s">
        <v>391</v>
      </c>
      <c r="S18" s="49">
        <v>2033</v>
      </c>
      <c r="T18" s="46">
        <v>0</v>
      </c>
      <c r="U18" s="47">
        <v>0</v>
      </c>
      <c r="V18" s="47">
        <v>244.05744221664068</v>
      </c>
      <c r="W18" s="48">
        <v>0</v>
      </c>
      <c r="X18" s="57">
        <f t="shared" si="4"/>
        <v>244.05744221664068</v>
      </c>
      <c r="Y18" s="119"/>
      <c r="Z18" s="19" t="s">
        <v>398</v>
      </c>
      <c r="AA18" s="119">
        <f t="shared" si="0"/>
        <v>94.65098019166328</v>
      </c>
      <c r="AB18" s="119">
        <f t="shared" si="1"/>
        <v>94.65098019166328</v>
      </c>
      <c r="AC18" s="119"/>
      <c r="AD18" s="119"/>
      <c r="AE18" s="119"/>
      <c r="AF18" s="119"/>
      <c r="AG18" s="119"/>
      <c r="AH18" s="119" t="s">
        <v>398</v>
      </c>
      <c r="AI18" s="119">
        <v>28.207000000000001</v>
      </c>
      <c r="AL18" s="19"/>
      <c r="AM18" s="155"/>
    </row>
    <row r="19" spans="1:39">
      <c r="A19" s="44" t="s">
        <v>390</v>
      </c>
      <c r="B19" s="19" t="s">
        <v>391</v>
      </c>
      <c r="C19" s="49">
        <v>2034</v>
      </c>
      <c r="D19" s="46">
        <v>0</v>
      </c>
      <c r="E19" s="47">
        <v>0</v>
      </c>
      <c r="F19" s="47">
        <v>0</v>
      </c>
      <c r="G19" s="48">
        <v>0</v>
      </c>
      <c r="H19" s="57">
        <f t="shared" si="5"/>
        <v>0</v>
      </c>
      <c r="I19" s="119"/>
      <c r="J19" s="119"/>
      <c r="K19" s="19" t="s">
        <v>399</v>
      </c>
      <c r="L19" s="119">
        <f t="shared" si="2"/>
        <v>316.30036857023271</v>
      </c>
      <c r="M19" s="119">
        <f t="shared" si="3"/>
        <v>31.630036857023271</v>
      </c>
      <c r="N19" s="119"/>
      <c r="O19" s="119"/>
      <c r="P19" s="119"/>
      <c r="Q19" s="44" t="s">
        <v>390</v>
      </c>
      <c r="R19" s="19" t="s">
        <v>391</v>
      </c>
      <c r="S19" s="49">
        <v>2034</v>
      </c>
      <c r="T19" s="46">
        <v>0</v>
      </c>
      <c r="U19" s="47">
        <v>0</v>
      </c>
      <c r="V19" s="47">
        <v>248.93859106097349</v>
      </c>
      <c r="W19" s="48">
        <v>0</v>
      </c>
      <c r="X19" s="57">
        <f t="shared" si="4"/>
        <v>248.93859106097349</v>
      </c>
      <c r="Y19" s="119"/>
      <c r="Z19" s="19" t="s">
        <v>399</v>
      </c>
      <c r="AA19" s="119">
        <f t="shared" si="0"/>
        <v>116.87403376589741</v>
      </c>
      <c r="AB19" s="119">
        <f t="shared" si="1"/>
        <v>116.87403376589741</v>
      </c>
      <c r="AC19" s="119"/>
      <c r="AD19" s="119"/>
      <c r="AE19" s="119"/>
      <c r="AF19" s="119"/>
      <c r="AG19" s="119"/>
      <c r="AH19" s="119" t="s">
        <v>399</v>
      </c>
      <c r="AI19" s="119">
        <v>21.094000000000001</v>
      </c>
      <c r="AL19" s="19"/>
      <c r="AM19" s="155"/>
    </row>
    <row r="20" spans="1:39">
      <c r="A20" s="44" t="s">
        <v>390</v>
      </c>
      <c r="B20" s="19" t="s">
        <v>391</v>
      </c>
      <c r="C20" s="49">
        <v>2035</v>
      </c>
      <c r="D20" s="46">
        <v>0</v>
      </c>
      <c r="E20" s="47">
        <v>0</v>
      </c>
      <c r="F20" s="47">
        <v>0</v>
      </c>
      <c r="G20" s="48">
        <v>0</v>
      </c>
      <c r="H20" s="57">
        <f t="shared" si="5"/>
        <v>0</v>
      </c>
      <c r="I20" s="119"/>
      <c r="J20" s="119"/>
      <c r="K20" s="19" t="s">
        <v>400</v>
      </c>
      <c r="L20" s="119">
        <f t="shared" si="2"/>
        <v>241.52632194627614</v>
      </c>
      <c r="M20" s="119">
        <f t="shared" si="3"/>
        <v>24.152632194627614</v>
      </c>
      <c r="N20" s="119"/>
      <c r="O20" s="119"/>
      <c r="P20" s="119"/>
      <c r="Q20" s="44" t="s">
        <v>390</v>
      </c>
      <c r="R20" s="19" t="s">
        <v>391</v>
      </c>
      <c r="S20" s="49">
        <v>2035</v>
      </c>
      <c r="T20" s="46">
        <v>0</v>
      </c>
      <c r="U20" s="47">
        <v>0</v>
      </c>
      <c r="V20" s="47">
        <v>253.91736288219298</v>
      </c>
      <c r="W20" s="48">
        <v>0</v>
      </c>
      <c r="X20" s="57">
        <f t="shared" si="4"/>
        <v>253.91736288219298</v>
      </c>
      <c r="Y20" s="119">
        <f>NPV($Y$10,X11:X20)/((1-(1+$Y$10)^-10)/$Y$10)</f>
        <v>190.09401504826278</v>
      </c>
      <c r="Z20" s="19" t="s">
        <v>400</v>
      </c>
      <c r="AA20" s="119">
        <f t="shared" si="0"/>
        <v>103.4472089396177</v>
      </c>
      <c r="AB20" s="119">
        <f t="shared" si="1"/>
        <v>103.4472089396177</v>
      </c>
      <c r="AC20" s="119"/>
      <c r="AD20" s="119"/>
      <c r="AE20" s="119"/>
      <c r="AF20" s="119"/>
      <c r="AG20" s="119"/>
      <c r="AH20" s="119" t="s">
        <v>400</v>
      </c>
      <c r="AI20" s="119">
        <v>29.206999999999997</v>
      </c>
      <c r="AL20" s="19"/>
      <c r="AM20" s="155"/>
    </row>
    <row r="21" spans="1:39">
      <c r="A21" s="44"/>
      <c r="B21" s="19" t="s">
        <v>401</v>
      </c>
      <c r="C21" s="49"/>
      <c r="D21" s="46" t="s">
        <v>401</v>
      </c>
      <c r="E21" s="47" t="s">
        <v>401</v>
      </c>
      <c r="F21" s="47" t="s">
        <v>401</v>
      </c>
      <c r="G21" s="48" t="s">
        <v>401</v>
      </c>
      <c r="H21" s="57"/>
      <c r="I21" s="119"/>
      <c r="J21" s="119"/>
      <c r="K21" s="19" t="s">
        <v>402</v>
      </c>
      <c r="L21" s="119">
        <f t="shared" si="2"/>
        <v>40.976772834114463</v>
      </c>
      <c r="M21" s="119">
        <f t="shared" si="3"/>
        <v>4.0976772834114463</v>
      </c>
      <c r="N21" s="119"/>
      <c r="O21" s="119"/>
      <c r="P21" s="119"/>
      <c r="Q21" s="44"/>
      <c r="R21" s="19" t="s">
        <v>401</v>
      </c>
      <c r="S21" s="49"/>
      <c r="T21" s="46"/>
      <c r="U21" s="47"/>
      <c r="V21" s="47"/>
      <c r="W21" s="48"/>
      <c r="X21" s="57">
        <f t="shared" si="4"/>
        <v>0</v>
      </c>
      <c r="Y21" s="119"/>
      <c r="Z21" s="19" t="s">
        <v>402</v>
      </c>
      <c r="AA21" s="119">
        <f t="shared" si="0"/>
        <v>10.64159757551381</v>
      </c>
      <c r="AB21" s="119">
        <f t="shared" si="1"/>
        <v>10.64159757551381</v>
      </c>
      <c r="AC21" s="119"/>
      <c r="AD21" s="119"/>
      <c r="AE21" s="119"/>
      <c r="AF21" s="119"/>
      <c r="AG21" s="119"/>
      <c r="AH21" s="119" t="s">
        <v>402</v>
      </c>
      <c r="AI21" s="119">
        <v>10</v>
      </c>
      <c r="AL21" s="19"/>
      <c r="AM21" s="155"/>
    </row>
    <row r="22" spans="1:39">
      <c r="A22" s="44" t="s">
        <v>390</v>
      </c>
      <c r="B22" s="19" t="s">
        <v>392</v>
      </c>
      <c r="C22" s="49">
        <v>2026</v>
      </c>
      <c r="D22" s="46">
        <v>0</v>
      </c>
      <c r="E22" s="47">
        <v>0</v>
      </c>
      <c r="F22" s="47">
        <v>0</v>
      </c>
      <c r="G22" s="48">
        <v>0</v>
      </c>
      <c r="H22" s="57">
        <f t="shared" si="5"/>
        <v>0</v>
      </c>
      <c r="I22" s="119"/>
      <c r="J22" s="119"/>
      <c r="K22" s="19" t="s">
        <v>403</v>
      </c>
      <c r="L22" s="119">
        <f t="shared" si="2"/>
        <v>43.745219778463195</v>
      </c>
      <c r="M22" s="119">
        <f t="shared" si="3"/>
        <v>4.3745219778463191</v>
      </c>
      <c r="N22" s="119"/>
      <c r="O22" s="119"/>
      <c r="P22" s="119"/>
      <c r="Q22" s="44" t="s">
        <v>390</v>
      </c>
      <c r="R22" s="19" t="s">
        <v>392</v>
      </c>
      <c r="S22" s="49">
        <v>2026</v>
      </c>
      <c r="T22" s="46">
        <v>0</v>
      </c>
      <c r="U22" s="47">
        <v>0</v>
      </c>
      <c r="V22" s="47">
        <v>0</v>
      </c>
      <c r="W22" s="48">
        <v>0</v>
      </c>
      <c r="X22" s="57">
        <f t="shared" si="4"/>
        <v>0</v>
      </c>
      <c r="Y22" s="119"/>
      <c r="Z22" s="19" t="s">
        <v>403</v>
      </c>
      <c r="AA22" s="119">
        <f t="shared" si="0"/>
        <v>11.360558495403357</v>
      </c>
      <c r="AB22" s="119">
        <f t="shared" si="1"/>
        <v>11.360558495403357</v>
      </c>
      <c r="AC22" s="119"/>
      <c r="AD22" s="119"/>
      <c r="AE22" s="119"/>
      <c r="AF22" s="119"/>
      <c r="AG22" s="119"/>
      <c r="AH22" s="119" t="s">
        <v>403</v>
      </c>
      <c r="AI22" s="119">
        <v>10</v>
      </c>
      <c r="AL22" s="19"/>
      <c r="AM22" s="155"/>
    </row>
    <row r="23" spans="1:39">
      <c r="A23" s="44" t="s">
        <v>390</v>
      </c>
      <c r="B23" s="19" t="s">
        <v>392</v>
      </c>
      <c r="C23" s="49">
        <v>2027</v>
      </c>
      <c r="D23" s="46">
        <v>0</v>
      </c>
      <c r="E23" s="47">
        <v>0</v>
      </c>
      <c r="F23" s="47">
        <v>0</v>
      </c>
      <c r="G23" s="48">
        <v>0</v>
      </c>
      <c r="H23" s="57">
        <f t="shared" si="5"/>
        <v>0</v>
      </c>
      <c r="I23" s="119"/>
      <c r="J23" s="119"/>
      <c r="K23" s="19" t="s">
        <v>404</v>
      </c>
      <c r="L23" s="119">
        <f t="shared" si="2"/>
        <v>52.748864010557568</v>
      </c>
      <c r="M23" s="119">
        <f t="shared" si="3"/>
        <v>5.274886401055757</v>
      </c>
      <c r="N23" s="119"/>
      <c r="O23" s="119"/>
      <c r="P23" s="119"/>
      <c r="Q23" s="44" t="s">
        <v>390</v>
      </c>
      <c r="R23" s="19" t="s">
        <v>392</v>
      </c>
      <c r="S23" s="49">
        <v>2027</v>
      </c>
      <c r="T23" s="46">
        <v>0</v>
      </c>
      <c r="U23" s="47">
        <v>0</v>
      </c>
      <c r="V23" s="47">
        <v>0</v>
      </c>
      <c r="W23" s="48">
        <v>0</v>
      </c>
      <c r="X23" s="57">
        <f t="shared" si="4"/>
        <v>0</v>
      </c>
      <c r="Y23" s="119"/>
      <c r="Z23" s="19" t="s">
        <v>404</v>
      </c>
      <c r="AA23" s="119">
        <f t="shared" si="0"/>
        <v>20.298574845255118</v>
      </c>
      <c r="AB23" s="119">
        <f t="shared" si="1"/>
        <v>20.298574845255118</v>
      </c>
      <c r="AC23" s="119"/>
      <c r="AD23" s="119"/>
      <c r="AE23" s="119"/>
      <c r="AF23" s="119"/>
      <c r="AG23" s="119"/>
      <c r="AH23" s="119" t="s">
        <v>404</v>
      </c>
      <c r="AI23" s="119">
        <v>90</v>
      </c>
      <c r="AL23" s="19"/>
      <c r="AM23" s="155"/>
    </row>
    <row r="24" spans="1:39">
      <c r="A24" s="44" t="s">
        <v>390</v>
      </c>
      <c r="B24" s="19" t="s">
        <v>392</v>
      </c>
      <c r="C24" s="49">
        <v>2028</v>
      </c>
      <c r="D24" s="46">
        <v>0</v>
      </c>
      <c r="E24" s="47">
        <v>0</v>
      </c>
      <c r="F24" s="47">
        <v>0</v>
      </c>
      <c r="G24" s="48">
        <v>0</v>
      </c>
      <c r="H24" s="57">
        <f t="shared" si="5"/>
        <v>0</v>
      </c>
      <c r="I24" s="119"/>
      <c r="J24" s="119"/>
      <c r="K24" s="19" t="s">
        <v>405</v>
      </c>
      <c r="L24" s="119">
        <f t="shared" si="2"/>
        <v>89.55593000764992</v>
      </c>
      <c r="M24" s="119">
        <f t="shared" si="3"/>
        <v>8.955593000764992</v>
      </c>
      <c r="N24" s="119"/>
      <c r="O24" s="119"/>
      <c r="P24" s="119"/>
      <c r="Q24" s="44" t="s">
        <v>390</v>
      </c>
      <c r="R24" s="19" t="s">
        <v>392</v>
      </c>
      <c r="S24" s="49">
        <v>2028</v>
      </c>
      <c r="T24" s="46">
        <v>0</v>
      </c>
      <c r="U24" s="47">
        <v>0</v>
      </c>
      <c r="V24" s="47">
        <v>0</v>
      </c>
      <c r="W24" s="48">
        <v>0</v>
      </c>
      <c r="X24" s="57">
        <f t="shared" si="4"/>
        <v>0</v>
      </c>
      <c r="Y24" s="119"/>
      <c r="Z24" s="19" t="s">
        <v>405</v>
      </c>
      <c r="AA24" s="119">
        <f t="shared" si="0"/>
        <v>16.982428978851278</v>
      </c>
      <c r="AB24" s="119">
        <f t="shared" si="1"/>
        <v>16.982428978851278</v>
      </c>
      <c r="AC24" s="119"/>
      <c r="AD24" s="119"/>
      <c r="AE24" s="119"/>
      <c r="AF24" s="119"/>
      <c r="AG24" s="119"/>
      <c r="AH24" s="119" t="s">
        <v>405</v>
      </c>
      <c r="AI24" s="119">
        <v>22.4</v>
      </c>
      <c r="AL24" s="19"/>
      <c r="AM24" s="155"/>
    </row>
    <row r="25" spans="1:39">
      <c r="A25" s="44" t="s">
        <v>390</v>
      </c>
      <c r="B25" s="19" t="s">
        <v>392</v>
      </c>
      <c r="C25" s="49">
        <v>2029</v>
      </c>
      <c r="D25" s="46">
        <v>0</v>
      </c>
      <c r="E25" s="47">
        <v>0</v>
      </c>
      <c r="F25" s="47">
        <v>0</v>
      </c>
      <c r="G25" s="48">
        <v>0</v>
      </c>
      <c r="H25" s="57">
        <f t="shared" si="5"/>
        <v>0</v>
      </c>
      <c r="I25" s="119"/>
      <c r="J25" s="119"/>
      <c r="K25" s="19" t="s">
        <v>406</v>
      </c>
      <c r="L25" s="119">
        <f t="shared" si="2"/>
        <v>249.4341505296035</v>
      </c>
      <c r="M25" s="119">
        <f t="shared" si="3"/>
        <v>24.943415052960351</v>
      </c>
      <c r="N25" s="119"/>
      <c r="O25" s="119"/>
      <c r="P25" s="119"/>
      <c r="Q25" s="44" t="s">
        <v>390</v>
      </c>
      <c r="R25" s="19" t="s">
        <v>392</v>
      </c>
      <c r="S25" s="49">
        <v>2029</v>
      </c>
      <c r="T25" s="46">
        <v>0</v>
      </c>
      <c r="U25" s="47">
        <v>0</v>
      </c>
      <c r="V25" s="47">
        <v>0</v>
      </c>
      <c r="W25" s="48">
        <v>0</v>
      </c>
      <c r="X25" s="57">
        <f t="shared" si="4"/>
        <v>0</v>
      </c>
      <c r="Y25" s="119"/>
      <c r="Z25" s="19" t="s">
        <v>406</v>
      </c>
      <c r="AA25" s="119">
        <f t="shared" si="0"/>
        <v>47.300025201092204</v>
      </c>
      <c r="AB25" s="119">
        <f t="shared" si="1"/>
        <v>47.300025201092204</v>
      </c>
      <c r="AC25" s="119"/>
      <c r="AD25" s="119"/>
      <c r="AE25" s="119"/>
      <c r="AF25" s="119"/>
      <c r="AG25" s="119"/>
      <c r="AH25" s="119" t="s">
        <v>406</v>
      </c>
      <c r="AI25" s="119">
        <v>54.4</v>
      </c>
      <c r="AL25" s="19"/>
      <c r="AM25" s="155"/>
    </row>
    <row r="26" spans="1:39">
      <c r="A26" s="44" t="s">
        <v>390</v>
      </c>
      <c r="B26" s="19" t="s">
        <v>392</v>
      </c>
      <c r="C26" s="49">
        <v>2030</v>
      </c>
      <c r="D26" s="46">
        <v>0</v>
      </c>
      <c r="E26" s="47">
        <v>0</v>
      </c>
      <c r="F26" s="47">
        <v>82.887789245378684</v>
      </c>
      <c r="G26" s="48">
        <v>0</v>
      </c>
      <c r="H26" s="57">
        <f t="shared" si="5"/>
        <v>63.293829936592132</v>
      </c>
      <c r="I26" s="119"/>
      <c r="J26" s="119"/>
      <c r="K26" s="19" t="s">
        <v>407</v>
      </c>
      <c r="L26" s="119">
        <f t="shared" si="2"/>
        <v>48.038748583278178</v>
      </c>
      <c r="M26" s="119">
        <f t="shared" si="3"/>
        <v>4.8038748583278181</v>
      </c>
      <c r="N26" s="119"/>
      <c r="O26" s="119"/>
      <c r="P26" s="119"/>
      <c r="Q26" s="44" t="s">
        <v>390</v>
      </c>
      <c r="R26" s="19" t="s">
        <v>392</v>
      </c>
      <c r="S26" s="49">
        <v>2030</v>
      </c>
      <c r="T26" s="46">
        <v>0</v>
      </c>
      <c r="U26" s="47">
        <v>0</v>
      </c>
      <c r="V26" s="47">
        <v>82.887789245378684</v>
      </c>
      <c r="W26" s="48">
        <v>0</v>
      </c>
      <c r="X26" s="57">
        <f t="shared" si="4"/>
        <v>82.887789245378684</v>
      </c>
      <c r="Y26" s="119"/>
      <c r="Z26" s="19" t="s">
        <v>407</v>
      </c>
      <c r="AA26" s="119">
        <f t="shared" si="0"/>
        <v>34.129507637438572</v>
      </c>
      <c r="AB26" s="119">
        <f t="shared" si="1"/>
        <v>34.129507637438572</v>
      </c>
      <c r="AC26" s="119"/>
      <c r="AD26" s="119"/>
      <c r="AE26" s="119"/>
      <c r="AF26" s="119"/>
      <c r="AG26" s="119"/>
      <c r="AH26" s="119" t="s">
        <v>407</v>
      </c>
      <c r="AI26" s="119">
        <v>11.7</v>
      </c>
      <c r="AL26" s="19"/>
      <c r="AM26" s="155"/>
    </row>
    <row r="27" spans="1:39">
      <c r="A27" s="44" t="s">
        <v>390</v>
      </c>
      <c r="B27" s="19" t="s">
        <v>392</v>
      </c>
      <c r="C27" s="49">
        <v>2031</v>
      </c>
      <c r="D27" s="46">
        <v>0</v>
      </c>
      <c r="E27" s="47">
        <v>0</v>
      </c>
      <c r="F27" s="47">
        <v>0</v>
      </c>
      <c r="G27" s="48">
        <v>0</v>
      </c>
      <c r="H27" s="57">
        <f t="shared" si="5"/>
        <v>0</v>
      </c>
      <c r="I27" s="119"/>
      <c r="J27" s="119"/>
      <c r="K27" s="19" t="s">
        <v>408</v>
      </c>
      <c r="L27" s="119">
        <f t="shared" si="2"/>
        <v>118.38028378098504</v>
      </c>
      <c r="M27" s="119">
        <f t="shared" si="3"/>
        <v>11.838028378098503</v>
      </c>
      <c r="N27" s="119"/>
      <c r="O27" s="119"/>
      <c r="P27" s="119"/>
      <c r="Q27" s="44" t="s">
        <v>390</v>
      </c>
      <c r="R27" s="19" t="s">
        <v>392</v>
      </c>
      <c r="S27" s="49">
        <v>2031</v>
      </c>
      <c r="T27" s="46">
        <v>0</v>
      </c>
      <c r="U27" s="47">
        <v>0</v>
      </c>
      <c r="V27" s="47">
        <v>84.545545030286263</v>
      </c>
      <c r="W27" s="48">
        <v>0</v>
      </c>
      <c r="X27" s="57">
        <f t="shared" si="4"/>
        <v>84.545545030286263</v>
      </c>
      <c r="Y27" s="119"/>
      <c r="Z27" s="19" t="s">
        <v>408</v>
      </c>
      <c r="AA27" s="119">
        <f t="shared" si="0"/>
        <v>84.104205845854423</v>
      </c>
      <c r="AB27" s="119">
        <f t="shared" si="1"/>
        <v>84.104205845854423</v>
      </c>
      <c r="AC27" s="119"/>
      <c r="AD27" s="119"/>
      <c r="AE27" s="119"/>
      <c r="AF27" s="119"/>
      <c r="AG27" s="119"/>
      <c r="AH27" s="119" t="s">
        <v>408</v>
      </c>
      <c r="AI27" s="119">
        <v>22.4</v>
      </c>
      <c r="AL27" s="19"/>
      <c r="AM27" s="155"/>
    </row>
    <row r="28" spans="1:39">
      <c r="A28" s="44" t="s">
        <v>390</v>
      </c>
      <c r="B28" s="19" t="s">
        <v>392</v>
      </c>
      <c r="C28" s="49">
        <v>2032</v>
      </c>
      <c r="D28" s="46">
        <v>0</v>
      </c>
      <c r="E28" s="47">
        <v>0</v>
      </c>
      <c r="F28" s="47">
        <v>0</v>
      </c>
      <c r="G28" s="48">
        <v>0</v>
      </c>
      <c r="H28" s="57">
        <f t="shared" si="5"/>
        <v>0</v>
      </c>
      <c r="I28" s="119"/>
      <c r="J28" s="119"/>
      <c r="K28" s="19" t="s">
        <v>409</v>
      </c>
      <c r="L28" s="119">
        <f t="shared" si="2"/>
        <v>40.121056643427167</v>
      </c>
      <c r="M28" s="119">
        <f t="shared" si="3"/>
        <v>4.0121056643427169</v>
      </c>
      <c r="N28" s="119"/>
      <c r="O28" s="119"/>
      <c r="P28" s="119"/>
      <c r="Q28" s="44" t="s">
        <v>390</v>
      </c>
      <c r="R28" s="19" t="s">
        <v>392</v>
      </c>
      <c r="S28" s="49">
        <v>2032</v>
      </c>
      <c r="T28" s="46">
        <v>0</v>
      </c>
      <c r="U28" s="47">
        <v>0</v>
      </c>
      <c r="V28" s="47">
        <v>86.236455930891992</v>
      </c>
      <c r="W28" s="48">
        <v>0</v>
      </c>
      <c r="X28" s="57">
        <f t="shared" si="4"/>
        <v>86.236455930891992</v>
      </c>
      <c r="Y28" s="119"/>
      <c r="Z28" s="19" t="s">
        <v>409</v>
      </c>
      <c r="AA28" s="119">
        <f t="shared" si="0"/>
        <v>7.6081281825253733</v>
      </c>
      <c r="AB28" s="119">
        <f t="shared" si="1"/>
        <v>7.6081281825253733</v>
      </c>
      <c r="AC28" s="119"/>
      <c r="AD28" s="119"/>
      <c r="AE28" s="119"/>
      <c r="AF28" s="119"/>
      <c r="AG28" s="119"/>
      <c r="AH28" s="119" t="s">
        <v>409</v>
      </c>
      <c r="AI28" s="119">
        <v>50</v>
      </c>
      <c r="AL28" s="19"/>
      <c r="AM28" s="155"/>
    </row>
    <row r="29" spans="1:39">
      <c r="A29" s="44" t="s">
        <v>390</v>
      </c>
      <c r="B29" s="19" t="s">
        <v>392</v>
      </c>
      <c r="C29" s="49">
        <v>2033</v>
      </c>
      <c r="D29" s="46">
        <v>0</v>
      </c>
      <c r="E29" s="47">
        <v>0</v>
      </c>
      <c r="F29" s="47">
        <v>0</v>
      </c>
      <c r="G29" s="48">
        <v>0</v>
      </c>
      <c r="H29" s="57">
        <f t="shared" si="5"/>
        <v>0</v>
      </c>
      <c r="I29" s="119"/>
      <c r="J29" s="119"/>
      <c r="K29" s="19" t="s">
        <v>410</v>
      </c>
      <c r="L29" s="119">
        <f t="shared" si="2"/>
        <v>169.49504026862672</v>
      </c>
      <c r="M29" s="119">
        <f t="shared" si="3"/>
        <v>16.949504026862673</v>
      </c>
      <c r="N29" s="119"/>
      <c r="O29" s="119"/>
      <c r="P29" s="119"/>
      <c r="Q29" s="44" t="s">
        <v>390</v>
      </c>
      <c r="R29" s="19" t="s">
        <v>392</v>
      </c>
      <c r="S29" s="49">
        <v>2033</v>
      </c>
      <c r="T29" s="46">
        <v>0</v>
      </c>
      <c r="U29" s="47">
        <v>0</v>
      </c>
      <c r="V29" s="47">
        <v>87.961185049509837</v>
      </c>
      <c r="W29" s="48">
        <v>0</v>
      </c>
      <c r="X29" s="57">
        <f t="shared" si="4"/>
        <v>87.961185049509837</v>
      </c>
      <c r="Y29" s="119"/>
      <c r="Z29" s="19" t="s">
        <v>410</v>
      </c>
      <c r="AA29" s="119">
        <f t="shared" si="0"/>
        <v>32.141227089971736</v>
      </c>
      <c r="AB29" s="119">
        <f t="shared" si="1"/>
        <v>32.141227089971736</v>
      </c>
      <c r="AC29" s="119"/>
      <c r="AD29" s="119"/>
      <c r="AE29" s="119"/>
      <c r="AF29" s="119"/>
      <c r="AG29" s="119"/>
      <c r="AH29" s="119" t="s">
        <v>410</v>
      </c>
      <c r="AI29" s="119">
        <v>38.4</v>
      </c>
      <c r="AL29" s="19"/>
      <c r="AM29" s="155"/>
    </row>
    <row r="30" spans="1:39">
      <c r="A30" s="44" t="s">
        <v>390</v>
      </c>
      <c r="B30" s="19" t="s">
        <v>392</v>
      </c>
      <c r="C30" s="49">
        <v>2034</v>
      </c>
      <c r="D30" s="46">
        <v>0</v>
      </c>
      <c r="E30" s="47">
        <v>0</v>
      </c>
      <c r="F30" s="47">
        <v>0</v>
      </c>
      <c r="G30" s="48">
        <v>0</v>
      </c>
      <c r="H30" s="57">
        <f t="shared" si="5"/>
        <v>0</v>
      </c>
      <c r="I30" s="119"/>
      <c r="J30" s="119"/>
      <c r="K30" s="19" t="s">
        <v>411</v>
      </c>
      <c r="L30" s="119">
        <f t="shared" si="2"/>
        <v>89.55593000764992</v>
      </c>
      <c r="M30" s="119">
        <f t="shared" si="3"/>
        <v>8.955593000764992</v>
      </c>
      <c r="N30" s="119"/>
      <c r="O30" s="119"/>
      <c r="P30" s="119"/>
      <c r="Q30" s="44" t="s">
        <v>390</v>
      </c>
      <c r="R30" s="19" t="s">
        <v>392</v>
      </c>
      <c r="S30" s="49">
        <v>2034</v>
      </c>
      <c r="T30" s="46">
        <v>0</v>
      </c>
      <c r="U30" s="47">
        <v>0</v>
      </c>
      <c r="V30" s="47">
        <v>89.720408750500042</v>
      </c>
      <c r="W30" s="48">
        <v>0</v>
      </c>
      <c r="X30" s="57">
        <f t="shared" si="4"/>
        <v>89.720408750500042</v>
      </c>
      <c r="Y30" s="119"/>
      <c r="Z30" s="19" t="s">
        <v>411</v>
      </c>
      <c r="AA30" s="119">
        <f t="shared" si="0"/>
        <v>16.982428978851278</v>
      </c>
      <c r="AB30" s="119">
        <f t="shared" si="1"/>
        <v>16.982428978851278</v>
      </c>
      <c r="AC30" s="119"/>
      <c r="AD30" s="119"/>
      <c r="AE30" s="119"/>
      <c r="AF30" s="119"/>
      <c r="AG30" s="119"/>
      <c r="AH30" s="119" t="s">
        <v>411</v>
      </c>
      <c r="AI30" s="119">
        <v>22.4</v>
      </c>
      <c r="AL30" s="19"/>
      <c r="AM30" s="155"/>
    </row>
    <row r="31" spans="1:39">
      <c r="A31" s="44" t="s">
        <v>390</v>
      </c>
      <c r="B31" s="19" t="s">
        <v>392</v>
      </c>
      <c r="C31" s="49">
        <v>2035</v>
      </c>
      <c r="D31" s="46">
        <v>0</v>
      </c>
      <c r="E31" s="47">
        <v>0</v>
      </c>
      <c r="F31" s="47">
        <v>0</v>
      </c>
      <c r="G31" s="48">
        <v>0</v>
      </c>
      <c r="H31" s="57">
        <f t="shared" si="5"/>
        <v>0</v>
      </c>
      <c r="I31" s="119"/>
      <c r="J31" s="119"/>
      <c r="K31" s="19" t="s">
        <v>412</v>
      </c>
      <c r="L31" s="119">
        <f t="shared" si="2"/>
        <v>89.55593000764992</v>
      </c>
      <c r="M31" s="119">
        <f t="shared" si="3"/>
        <v>8.955593000764992</v>
      </c>
      <c r="N31" s="119"/>
      <c r="O31" s="119"/>
      <c r="P31" s="119"/>
      <c r="Q31" s="44" t="s">
        <v>390</v>
      </c>
      <c r="R31" s="19" t="s">
        <v>392</v>
      </c>
      <c r="S31" s="49">
        <v>2035</v>
      </c>
      <c r="T31" s="46">
        <v>0</v>
      </c>
      <c r="U31" s="47">
        <v>0</v>
      </c>
      <c r="V31" s="47">
        <v>91.514816925510047</v>
      </c>
      <c r="W31" s="48">
        <v>0</v>
      </c>
      <c r="X31" s="57">
        <f t="shared" si="4"/>
        <v>91.514816925510047</v>
      </c>
      <c r="Y31" s="119">
        <f>NPV($Y$10,X22:X31)/((1-(1+$Y$10)^-10)/$Y$10)</f>
        <v>44.967600446103212</v>
      </c>
      <c r="Z31" s="19" t="s">
        <v>412</v>
      </c>
      <c r="AA31" s="119">
        <f t="shared" si="0"/>
        <v>16.982428978851278</v>
      </c>
      <c r="AB31" s="119">
        <f t="shared" si="1"/>
        <v>16.982428978851278</v>
      </c>
      <c r="AC31" s="119"/>
      <c r="AD31" s="119"/>
      <c r="AE31" s="119"/>
      <c r="AF31" s="119"/>
      <c r="AG31" s="119"/>
      <c r="AH31" s="119" t="s">
        <v>412</v>
      </c>
      <c r="AI31" s="119">
        <v>22.4</v>
      </c>
      <c r="AL31" s="19"/>
      <c r="AM31" s="155"/>
    </row>
    <row r="32" spans="1:39">
      <c r="A32" s="44"/>
      <c r="B32" s="19" t="s">
        <v>401</v>
      </c>
      <c r="C32" s="49"/>
      <c r="D32" s="42" t="s">
        <v>401</v>
      </c>
      <c r="E32" s="19" t="s">
        <v>401</v>
      </c>
      <c r="F32" s="19" t="s">
        <v>401</v>
      </c>
      <c r="G32" s="43" t="s">
        <v>401</v>
      </c>
      <c r="H32" s="57"/>
      <c r="I32" s="119"/>
      <c r="J32" s="119"/>
      <c r="K32" s="19" t="s">
        <v>413</v>
      </c>
      <c r="L32" s="119">
        <f t="shared" si="2"/>
        <v>30.389275736799238</v>
      </c>
      <c r="M32" s="119">
        <f t="shared" si="3"/>
        <v>3.0389275736799237</v>
      </c>
      <c r="N32" s="119"/>
      <c r="O32" s="119"/>
      <c r="P32" s="119"/>
      <c r="Q32" s="44"/>
      <c r="R32" s="19" t="s">
        <v>401</v>
      </c>
      <c r="S32" s="49"/>
      <c r="T32" s="42"/>
      <c r="U32" s="19"/>
      <c r="V32" s="19"/>
      <c r="W32" s="43"/>
      <c r="X32" s="57">
        <f t="shared" si="4"/>
        <v>0</v>
      </c>
      <c r="Y32" s="119"/>
      <c r="Z32" s="19" t="s">
        <v>413</v>
      </c>
      <c r="AA32" s="119">
        <f t="shared" si="0"/>
        <v>27.520873963610754</v>
      </c>
      <c r="AB32" s="119">
        <f t="shared" si="1"/>
        <v>27.520873963610754</v>
      </c>
      <c r="AC32" s="119"/>
      <c r="AD32" s="119"/>
      <c r="AE32" s="119"/>
      <c r="AF32" s="119"/>
      <c r="AG32" s="119"/>
      <c r="AH32" s="119" t="s">
        <v>413</v>
      </c>
      <c r="AI32" s="119">
        <v>3</v>
      </c>
      <c r="AL32" s="19"/>
      <c r="AM32" s="155"/>
    </row>
    <row r="33" spans="1:39">
      <c r="A33" s="44" t="s">
        <v>390</v>
      </c>
      <c r="B33" s="19" t="s">
        <v>393</v>
      </c>
      <c r="C33" s="49">
        <v>2026</v>
      </c>
      <c r="D33" s="46">
        <v>0</v>
      </c>
      <c r="E33" s="47">
        <v>0</v>
      </c>
      <c r="F33" s="47">
        <v>0</v>
      </c>
      <c r="G33" s="48">
        <v>0</v>
      </c>
      <c r="H33" s="57">
        <f t="shared" si="5"/>
        <v>0</v>
      </c>
      <c r="I33" s="119"/>
      <c r="J33" s="119"/>
      <c r="K33" s="19" t="s">
        <v>414</v>
      </c>
      <c r="L33" s="119">
        <f t="shared" si="2"/>
        <v>28.671195536272393</v>
      </c>
      <c r="M33" s="119">
        <f t="shared" si="3"/>
        <v>2.8671195536272394</v>
      </c>
      <c r="N33" s="119"/>
      <c r="O33" s="119"/>
      <c r="P33" s="119"/>
      <c r="Q33" s="44" t="s">
        <v>390</v>
      </c>
      <c r="R33" s="19" t="s">
        <v>393</v>
      </c>
      <c r="S33" s="49">
        <v>2026</v>
      </c>
      <c r="T33" s="46">
        <v>0</v>
      </c>
      <c r="U33" s="47">
        <v>0</v>
      </c>
      <c r="V33" s="47">
        <v>0</v>
      </c>
      <c r="W33" s="48">
        <v>0</v>
      </c>
      <c r="X33" s="57">
        <f t="shared" si="4"/>
        <v>0</v>
      </c>
      <c r="Y33" s="119"/>
      <c r="Z33" s="19" t="s">
        <v>414</v>
      </c>
      <c r="AA33" s="119">
        <f t="shared" si="0"/>
        <v>20.369676893921451</v>
      </c>
      <c r="AB33" s="119">
        <f t="shared" si="1"/>
        <v>20.369676893921451</v>
      </c>
      <c r="AC33" s="119"/>
      <c r="AD33" s="119"/>
      <c r="AE33" s="119"/>
      <c r="AF33" s="119"/>
      <c r="AG33" s="119"/>
      <c r="AH33" s="119" t="s">
        <v>414</v>
      </c>
      <c r="AI33" s="119">
        <v>30</v>
      </c>
      <c r="AL33" s="19"/>
      <c r="AM33" s="155"/>
    </row>
    <row r="34" spans="1:39">
      <c r="A34" s="44" t="s">
        <v>390</v>
      </c>
      <c r="B34" s="19" t="s">
        <v>393</v>
      </c>
      <c r="C34" s="49">
        <v>2027</v>
      </c>
      <c r="D34" s="46">
        <v>0</v>
      </c>
      <c r="E34" s="47">
        <v>0</v>
      </c>
      <c r="F34" s="47">
        <v>0</v>
      </c>
      <c r="G34" s="48">
        <v>0</v>
      </c>
      <c r="H34" s="57">
        <f t="shared" si="5"/>
        <v>0</v>
      </c>
      <c r="I34" s="119"/>
      <c r="J34" s="119"/>
      <c r="K34" s="19" t="s">
        <v>415</v>
      </c>
      <c r="L34" s="119">
        <f t="shared" si="2"/>
        <v>163.83375512513072</v>
      </c>
      <c r="M34" s="119">
        <f t="shared" si="3"/>
        <v>16.383375512513073</v>
      </c>
      <c r="N34" s="119"/>
      <c r="O34" s="119"/>
      <c r="P34" s="119"/>
      <c r="Q34" s="44" t="s">
        <v>390</v>
      </c>
      <c r="R34" s="19" t="s">
        <v>393</v>
      </c>
      <c r="S34" s="49">
        <v>2027</v>
      </c>
      <c r="T34" s="46">
        <v>0</v>
      </c>
      <c r="U34" s="47">
        <v>0</v>
      </c>
      <c r="V34" s="47">
        <v>0</v>
      </c>
      <c r="W34" s="48">
        <v>0</v>
      </c>
      <c r="X34" s="57">
        <f t="shared" si="4"/>
        <v>0</v>
      </c>
      <c r="Y34" s="119"/>
      <c r="Z34" s="19" t="s">
        <v>415</v>
      </c>
      <c r="AA34" s="119">
        <f t="shared" si="0"/>
        <v>69.753695391936404</v>
      </c>
      <c r="AB34" s="119">
        <f t="shared" si="1"/>
        <v>69.753695391936404</v>
      </c>
      <c r="AC34" s="119"/>
      <c r="AD34" s="119"/>
      <c r="AE34" s="119"/>
      <c r="AF34" s="119"/>
      <c r="AG34" s="119"/>
      <c r="AH34" s="119" t="s">
        <v>415</v>
      </c>
      <c r="AI34" s="119">
        <v>34.299999999999997</v>
      </c>
      <c r="AL34" s="19"/>
      <c r="AM34" s="155"/>
    </row>
    <row r="35" spans="1:39">
      <c r="A35" s="44" t="s">
        <v>390</v>
      </c>
      <c r="B35" s="19" t="s">
        <v>393</v>
      </c>
      <c r="C35" s="49">
        <v>2028</v>
      </c>
      <c r="D35" s="46">
        <v>0</v>
      </c>
      <c r="E35" s="47">
        <v>0</v>
      </c>
      <c r="F35" s="47">
        <v>0</v>
      </c>
      <c r="G35" s="48">
        <v>0</v>
      </c>
      <c r="H35" s="57">
        <f t="shared" si="5"/>
        <v>0</v>
      </c>
      <c r="I35" s="119"/>
      <c r="J35" s="119"/>
      <c r="K35" s="19" t="s">
        <v>416</v>
      </c>
      <c r="L35" s="119">
        <f t="shared" si="2"/>
        <v>116.27506947051171</v>
      </c>
      <c r="M35" s="119">
        <f t="shared" si="3"/>
        <v>11.62750694705117</v>
      </c>
      <c r="N35" s="119"/>
      <c r="O35" s="119"/>
      <c r="P35" s="119"/>
      <c r="Q35" s="44" t="s">
        <v>390</v>
      </c>
      <c r="R35" s="19" t="s">
        <v>393</v>
      </c>
      <c r="S35" s="49">
        <v>2028</v>
      </c>
      <c r="T35" s="46">
        <v>0</v>
      </c>
      <c r="U35" s="47">
        <v>0</v>
      </c>
      <c r="V35" s="47">
        <v>0</v>
      </c>
      <c r="W35" s="48">
        <v>0</v>
      </c>
      <c r="X35" s="57">
        <f t="shared" si="4"/>
        <v>0</v>
      </c>
      <c r="Y35" s="119"/>
      <c r="Z35" s="19" t="s">
        <v>416</v>
      </c>
      <c r="AA35" s="119">
        <f t="shared" si="0"/>
        <v>22.049160888902495</v>
      </c>
      <c r="AB35" s="119">
        <f t="shared" si="1"/>
        <v>22.049160888902495</v>
      </c>
      <c r="AC35" s="119"/>
      <c r="AD35" s="119"/>
      <c r="AE35" s="119"/>
      <c r="AF35" s="119"/>
      <c r="AG35" s="119"/>
      <c r="AH35" s="119" t="s">
        <v>416</v>
      </c>
      <c r="AI35" s="119">
        <v>11</v>
      </c>
      <c r="AL35" s="19"/>
      <c r="AM35" s="155"/>
    </row>
    <row r="36" spans="1:39">
      <c r="A36" s="44" t="s">
        <v>390</v>
      </c>
      <c r="B36" s="19" t="s">
        <v>393</v>
      </c>
      <c r="C36" s="49">
        <v>2029</v>
      </c>
      <c r="D36" s="46">
        <v>0</v>
      </c>
      <c r="E36" s="47">
        <v>0</v>
      </c>
      <c r="F36" s="47">
        <v>0</v>
      </c>
      <c r="G36" s="48">
        <v>0</v>
      </c>
      <c r="H36" s="57">
        <f t="shared" si="5"/>
        <v>0</v>
      </c>
      <c r="I36" s="119"/>
      <c r="J36" s="119"/>
      <c r="K36" s="19" t="s">
        <v>417</v>
      </c>
      <c r="L36" s="119">
        <f t="shared" si="2"/>
        <v>79.939110260976804</v>
      </c>
      <c r="M36" s="119">
        <f t="shared" si="3"/>
        <v>7.9939110260976802</v>
      </c>
      <c r="N36" s="119"/>
      <c r="O36" s="119"/>
      <c r="P36" s="119"/>
      <c r="Q36" s="44" t="s">
        <v>390</v>
      </c>
      <c r="R36" s="19" t="s">
        <v>393</v>
      </c>
      <c r="S36" s="49">
        <v>2029</v>
      </c>
      <c r="T36" s="46">
        <v>0</v>
      </c>
      <c r="U36" s="47">
        <v>0</v>
      </c>
      <c r="V36" s="47">
        <v>0</v>
      </c>
      <c r="W36" s="48">
        <v>0</v>
      </c>
      <c r="X36" s="57">
        <f t="shared" si="4"/>
        <v>0</v>
      </c>
      <c r="Y36" s="119"/>
      <c r="Z36" s="19" t="s">
        <v>417</v>
      </c>
      <c r="AA36" s="119">
        <f t="shared" si="0"/>
        <v>15.158798111120463</v>
      </c>
      <c r="AB36" s="119">
        <f t="shared" si="1"/>
        <v>15.158798111120463</v>
      </c>
      <c r="AC36" s="119"/>
      <c r="AD36" s="119"/>
      <c r="AE36" s="119"/>
      <c r="AF36" s="119"/>
      <c r="AG36" s="119"/>
      <c r="AH36" s="119" t="s">
        <v>417</v>
      </c>
      <c r="AI36" s="119">
        <v>16</v>
      </c>
      <c r="AL36" s="19"/>
      <c r="AM36" s="155"/>
    </row>
    <row r="37" spans="1:39">
      <c r="A37" s="44" t="s">
        <v>390</v>
      </c>
      <c r="B37" s="19" t="s">
        <v>393</v>
      </c>
      <c r="C37" s="49">
        <v>2030</v>
      </c>
      <c r="D37" s="46">
        <v>0</v>
      </c>
      <c r="E37" s="47">
        <v>0</v>
      </c>
      <c r="F37" s="47">
        <v>80.156376007914531</v>
      </c>
      <c r="G37" s="48">
        <v>0</v>
      </c>
      <c r="H37" s="57">
        <f t="shared" si="5"/>
        <v>61.208099257651973</v>
      </c>
      <c r="I37" s="119"/>
      <c r="J37" s="119"/>
      <c r="K37" s="19" t="s">
        <v>418</v>
      </c>
      <c r="L37" s="119">
        <f t="shared" si="2"/>
        <v>43.784215700208975</v>
      </c>
      <c r="M37" s="119">
        <f t="shared" si="3"/>
        <v>4.3784215700208975</v>
      </c>
      <c r="N37" s="119"/>
      <c r="O37" s="119"/>
      <c r="P37" s="119"/>
      <c r="Q37" s="44" t="s">
        <v>390</v>
      </c>
      <c r="R37" s="19" t="s">
        <v>393</v>
      </c>
      <c r="S37" s="49">
        <v>2030</v>
      </c>
      <c r="T37" s="46">
        <v>0</v>
      </c>
      <c r="U37" s="47">
        <v>0</v>
      </c>
      <c r="V37" s="47">
        <v>80.156376007914531</v>
      </c>
      <c r="W37" s="48">
        <v>0</v>
      </c>
      <c r="X37" s="57">
        <f t="shared" si="4"/>
        <v>80.156376007914531</v>
      </c>
      <c r="Y37" s="119"/>
      <c r="Z37" s="19" t="s">
        <v>418</v>
      </c>
      <c r="AA37" s="119">
        <f t="shared" si="0"/>
        <v>31.106841210674322</v>
      </c>
      <c r="AB37" s="119">
        <f t="shared" si="1"/>
        <v>31.106841210674322</v>
      </c>
      <c r="AC37" s="119"/>
      <c r="AD37" s="119"/>
      <c r="AE37" s="119"/>
      <c r="AF37" s="119"/>
      <c r="AG37" s="119"/>
      <c r="AH37" s="119" t="s">
        <v>418</v>
      </c>
      <c r="AI37" s="119">
        <v>3.3</v>
      </c>
      <c r="AL37" s="19"/>
      <c r="AM37" s="155"/>
    </row>
    <row r="38" spans="1:39">
      <c r="A38" s="44" t="s">
        <v>390</v>
      </c>
      <c r="B38" s="19" t="s">
        <v>393</v>
      </c>
      <c r="C38" s="49">
        <v>2031</v>
      </c>
      <c r="D38" s="46">
        <v>0</v>
      </c>
      <c r="E38" s="47">
        <v>0</v>
      </c>
      <c r="F38" s="47">
        <v>0</v>
      </c>
      <c r="G38" s="48">
        <v>0</v>
      </c>
      <c r="H38" s="57">
        <f t="shared" si="5"/>
        <v>0</v>
      </c>
      <c r="I38" s="119"/>
      <c r="J38" s="119"/>
      <c r="K38" s="19" t="s">
        <v>419</v>
      </c>
      <c r="L38" s="119">
        <f t="shared" si="2"/>
        <v>675.75327462305609</v>
      </c>
      <c r="M38" s="119">
        <f t="shared" si="3"/>
        <v>67.575327462305609</v>
      </c>
      <c r="N38" s="119"/>
      <c r="O38" s="119"/>
      <c r="P38" s="119"/>
      <c r="Q38" s="44" t="s">
        <v>390</v>
      </c>
      <c r="R38" s="19" t="s">
        <v>393</v>
      </c>
      <c r="S38" s="49">
        <v>2031</v>
      </c>
      <c r="T38" s="46">
        <v>0</v>
      </c>
      <c r="U38" s="47">
        <v>0</v>
      </c>
      <c r="V38" s="47">
        <v>81.759503528072827</v>
      </c>
      <c r="W38" s="48">
        <v>0</v>
      </c>
      <c r="X38" s="57">
        <f t="shared" si="4"/>
        <v>81.759503528072827</v>
      </c>
      <c r="Y38" s="119"/>
      <c r="Z38" s="19" t="s">
        <v>419</v>
      </c>
      <c r="AA38" s="119">
        <f>SUMIFS(Y$11:Y$900,R$11:R$900,Z38)</f>
        <v>448.63851493461596</v>
      </c>
      <c r="AB38" s="119">
        <f t="shared" si="1"/>
        <v>448.63851493461596</v>
      </c>
      <c r="AC38" s="119"/>
      <c r="AD38" s="119"/>
      <c r="AE38" s="119"/>
      <c r="AF38" s="119"/>
      <c r="AG38" s="119"/>
      <c r="AH38" s="119" t="s">
        <v>419</v>
      </c>
      <c r="AI38" s="119">
        <v>71.950999999999993</v>
      </c>
      <c r="AL38" s="19"/>
      <c r="AM38" s="155"/>
    </row>
    <row r="39" spans="1:39">
      <c r="A39" s="44" t="s">
        <v>390</v>
      </c>
      <c r="B39" s="19" t="s">
        <v>393</v>
      </c>
      <c r="C39" s="49">
        <v>2032</v>
      </c>
      <c r="D39" s="46">
        <v>0</v>
      </c>
      <c r="E39" s="47">
        <v>0</v>
      </c>
      <c r="F39" s="47">
        <v>0</v>
      </c>
      <c r="G39" s="48">
        <v>0</v>
      </c>
      <c r="H39" s="57">
        <f t="shared" si="5"/>
        <v>0</v>
      </c>
      <c r="I39" s="119"/>
      <c r="J39" s="119"/>
      <c r="K39" s="19" t="s">
        <v>420</v>
      </c>
      <c r="L39" s="119">
        <f t="shared" si="2"/>
        <v>23.232014976885779</v>
      </c>
      <c r="M39" s="119">
        <f t="shared" si="3"/>
        <v>2.323201497688578</v>
      </c>
      <c r="N39" s="119"/>
      <c r="O39" s="119"/>
      <c r="P39" s="119"/>
      <c r="Q39" s="44" t="s">
        <v>390</v>
      </c>
      <c r="R39" s="19" t="s">
        <v>393</v>
      </c>
      <c r="S39" s="49">
        <v>2032</v>
      </c>
      <c r="T39" s="46">
        <v>0</v>
      </c>
      <c r="U39" s="47">
        <v>0</v>
      </c>
      <c r="V39" s="47">
        <v>83.394693598634291</v>
      </c>
      <c r="W39" s="48">
        <v>0</v>
      </c>
      <c r="X39" s="57">
        <f t="shared" si="4"/>
        <v>83.394693598634291</v>
      </c>
      <c r="Y39" s="119"/>
      <c r="Z39" s="19" t="s">
        <v>420</v>
      </c>
      <c r="AA39" s="119">
        <f t="shared" si="0"/>
        <v>16.505368186520794</v>
      </c>
      <c r="AB39" s="119">
        <f t="shared" si="1"/>
        <v>16.505368186520794</v>
      </c>
      <c r="AC39" s="119"/>
      <c r="AD39" s="119"/>
      <c r="AE39" s="119"/>
      <c r="AF39" s="119"/>
      <c r="AG39" s="119"/>
      <c r="AH39" s="119" t="s">
        <v>420</v>
      </c>
      <c r="AI39" s="119">
        <v>14</v>
      </c>
      <c r="AL39" s="19"/>
      <c r="AM39" s="155"/>
    </row>
    <row r="40" spans="1:39">
      <c r="A40" s="44" t="s">
        <v>390</v>
      </c>
      <c r="B40" s="19" t="s">
        <v>393</v>
      </c>
      <c r="C40" s="49">
        <v>2033</v>
      </c>
      <c r="D40" s="46">
        <v>0</v>
      </c>
      <c r="E40" s="47">
        <v>0</v>
      </c>
      <c r="F40" s="47">
        <v>0</v>
      </c>
      <c r="G40" s="48">
        <v>0</v>
      </c>
      <c r="H40" s="57">
        <f t="shared" si="5"/>
        <v>0</v>
      </c>
      <c r="I40" s="119"/>
      <c r="J40" s="119"/>
      <c r="K40" s="19" t="s">
        <v>421</v>
      </c>
      <c r="L40" s="119">
        <f t="shared" si="2"/>
        <v>58.331005884429644</v>
      </c>
      <c r="M40" s="119">
        <f t="shared" si="3"/>
        <v>5.8331005884429645</v>
      </c>
      <c r="N40" s="119"/>
      <c r="O40" s="119"/>
      <c r="P40" s="119"/>
      <c r="Q40" s="44" t="s">
        <v>390</v>
      </c>
      <c r="R40" s="19" t="s">
        <v>393</v>
      </c>
      <c r="S40" s="49">
        <v>2033</v>
      </c>
      <c r="T40" s="46">
        <v>0</v>
      </c>
      <c r="U40" s="47">
        <v>0</v>
      </c>
      <c r="V40" s="47">
        <v>85.062587470606985</v>
      </c>
      <c r="W40" s="48">
        <v>0</v>
      </c>
      <c r="X40" s="57">
        <f t="shared" si="4"/>
        <v>85.062587470606985</v>
      </c>
      <c r="Y40" s="119"/>
      <c r="Z40" s="19" t="s">
        <v>421</v>
      </c>
      <c r="AA40" s="119">
        <f t="shared" si="0"/>
        <v>29.404644560698369</v>
      </c>
      <c r="AB40" s="119">
        <f t="shared" si="1"/>
        <v>29.404644560698369</v>
      </c>
      <c r="AC40" s="119"/>
      <c r="AD40" s="119"/>
      <c r="AE40" s="119"/>
      <c r="AF40" s="119"/>
      <c r="AG40" s="119"/>
      <c r="AH40" s="119" t="s">
        <v>421</v>
      </c>
      <c r="AI40" s="119">
        <v>100</v>
      </c>
      <c r="AL40" s="19"/>
      <c r="AM40" s="155"/>
    </row>
    <row r="41" spans="1:39">
      <c r="A41" s="44" t="s">
        <v>390</v>
      </c>
      <c r="B41" s="19" t="s">
        <v>393</v>
      </c>
      <c r="C41" s="49">
        <v>2034</v>
      </c>
      <c r="D41" s="46">
        <v>0</v>
      </c>
      <c r="E41" s="47">
        <v>0</v>
      </c>
      <c r="F41" s="47">
        <v>0</v>
      </c>
      <c r="G41" s="48">
        <v>0</v>
      </c>
      <c r="H41" s="57">
        <f t="shared" si="5"/>
        <v>0</v>
      </c>
      <c r="I41" s="119"/>
      <c r="J41" s="119"/>
      <c r="K41" s="19" t="s">
        <v>422</v>
      </c>
      <c r="L41" s="119">
        <f t="shared" si="2"/>
        <v>89.55593000764992</v>
      </c>
      <c r="M41" s="119">
        <f t="shared" si="3"/>
        <v>8.955593000764992</v>
      </c>
      <c r="N41" s="119"/>
      <c r="O41" s="119"/>
      <c r="P41" s="119"/>
      <c r="Q41" s="44" t="s">
        <v>390</v>
      </c>
      <c r="R41" s="19" t="s">
        <v>393</v>
      </c>
      <c r="S41" s="49">
        <v>2034</v>
      </c>
      <c r="T41" s="46">
        <v>0</v>
      </c>
      <c r="U41" s="47">
        <v>0</v>
      </c>
      <c r="V41" s="47">
        <v>86.763839220019122</v>
      </c>
      <c r="W41" s="48">
        <v>0</v>
      </c>
      <c r="X41" s="57">
        <f t="shared" si="4"/>
        <v>86.763839220019122</v>
      </c>
      <c r="Y41" s="119"/>
      <c r="Z41" s="19" t="s">
        <v>422</v>
      </c>
      <c r="AA41" s="119">
        <f t="shared" si="0"/>
        <v>16.982428978851278</v>
      </c>
      <c r="AB41" s="119">
        <f t="shared" si="1"/>
        <v>16.982428978851278</v>
      </c>
      <c r="AC41" s="119"/>
      <c r="AD41" s="119"/>
      <c r="AE41" s="119"/>
      <c r="AF41" s="119"/>
      <c r="AG41" s="119"/>
      <c r="AH41" s="119" t="s">
        <v>422</v>
      </c>
      <c r="AI41" s="119">
        <v>22.4</v>
      </c>
      <c r="AL41" s="19"/>
      <c r="AM41" s="155"/>
    </row>
    <row r="42" spans="1:39">
      <c r="A42" s="44" t="s">
        <v>390</v>
      </c>
      <c r="B42" s="19" t="s">
        <v>393</v>
      </c>
      <c r="C42" s="49">
        <v>2035</v>
      </c>
      <c r="D42" s="46">
        <v>0</v>
      </c>
      <c r="E42" s="47">
        <v>0</v>
      </c>
      <c r="F42" s="47">
        <v>0</v>
      </c>
      <c r="G42" s="48">
        <v>0</v>
      </c>
      <c r="H42" s="57">
        <f t="shared" si="5"/>
        <v>0</v>
      </c>
      <c r="I42" s="119"/>
      <c r="J42" s="119"/>
      <c r="K42" s="19" t="s">
        <v>423</v>
      </c>
      <c r="L42" s="119">
        <f t="shared" si="2"/>
        <v>580.28469405965336</v>
      </c>
      <c r="M42" s="119">
        <f t="shared" si="3"/>
        <v>58.028469405965339</v>
      </c>
      <c r="N42" s="119"/>
      <c r="O42" s="119"/>
      <c r="P42" s="119"/>
      <c r="Q42" s="44" t="s">
        <v>390</v>
      </c>
      <c r="R42" s="19" t="s">
        <v>393</v>
      </c>
      <c r="S42" s="49">
        <v>2035</v>
      </c>
      <c r="T42" s="46">
        <v>0</v>
      </c>
      <c r="U42" s="47">
        <v>0</v>
      </c>
      <c r="V42" s="47">
        <v>88.499116004419506</v>
      </c>
      <c r="W42" s="48">
        <v>0</v>
      </c>
      <c r="X42" s="57">
        <f t="shared" si="4"/>
        <v>88.499116004419506</v>
      </c>
      <c r="Y42" s="119">
        <f>NPV($Y$10,X33:X42)/((1-(1+$Y$10)^-10)/$Y$10)</f>
        <v>43.485776642697409</v>
      </c>
      <c r="Z42" s="19" t="s">
        <v>423</v>
      </c>
      <c r="AA42" s="119">
        <f t="shared" si="0"/>
        <v>335.84171731833891</v>
      </c>
      <c r="AB42" s="119">
        <f t="shared" si="1"/>
        <v>335.84171731833891</v>
      </c>
      <c r="AC42" s="119"/>
      <c r="AD42" s="119"/>
      <c r="AE42" s="119"/>
      <c r="AF42" s="119"/>
      <c r="AG42" s="119"/>
      <c r="AH42" s="119" t="s">
        <v>423</v>
      </c>
      <c r="AI42" s="119">
        <v>54.72199999999998</v>
      </c>
      <c r="AL42" s="19"/>
      <c r="AM42" s="155"/>
    </row>
    <row r="43" spans="1:39">
      <c r="A43" s="44"/>
      <c r="B43" s="19" t="s">
        <v>401</v>
      </c>
      <c r="C43" s="49"/>
      <c r="D43" s="46" t="s">
        <v>401</v>
      </c>
      <c r="E43" s="47" t="s">
        <v>401</v>
      </c>
      <c r="F43" s="47" t="s">
        <v>401</v>
      </c>
      <c r="G43" s="48" t="s">
        <v>401</v>
      </c>
      <c r="H43" s="57"/>
      <c r="I43" s="119"/>
      <c r="J43" s="119"/>
      <c r="K43" s="19" t="s">
        <v>424</v>
      </c>
      <c r="L43" s="119">
        <f t="shared" si="2"/>
        <v>52.506792541671828</v>
      </c>
      <c r="M43" s="119">
        <f t="shared" si="3"/>
        <v>5.2506792541671832</v>
      </c>
      <c r="N43" s="119"/>
      <c r="O43" s="119"/>
      <c r="P43" s="119"/>
      <c r="Q43" s="44"/>
      <c r="R43" s="19" t="s">
        <v>401</v>
      </c>
      <c r="S43" s="49"/>
      <c r="T43" s="46"/>
      <c r="U43" s="47"/>
      <c r="V43" s="47"/>
      <c r="W43" s="48"/>
      <c r="X43" s="57">
        <f t="shared" si="4"/>
        <v>0</v>
      </c>
      <c r="Y43" s="119"/>
      <c r="Z43" s="19" t="s">
        <v>424</v>
      </c>
      <c r="AA43" s="119">
        <f t="shared" ref="AA43:AA74" si="6">SUMIFS(Y$11:Y$900,R$11:R$900,Z43)</f>
        <v>24.717158860190743</v>
      </c>
      <c r="AB43" s="119">
        <f t="shared" ref="AB43:AB74" si="7">AA43</f>
        <v>24.717158860190743</v>
      </c>
      <c r="AC43" s="119"/>
      <c r="AD43" s="119"/>
      <c r="AE43" s="119"/>
      <c r="AF43" s="119"/>
      <c r="AG43" s="119"/>
      <c r="AH43" s="119" t="s">
        <v>424</v>
      </c>
      <c r="AI43" s="119">
        <v>18</v>
      </c>
      <c r="AL43" s="19"/>
      <c r="AM43" s="155"/>
    </row>
    <row r="44" spans="1:39">
      <c r="A44" s="44" t="s">
        <v>390</v>
      </c>
      <c r="B44" s="19" t="s">
        <v>394</v>
      </c>
      <c r="C44" s="49">
        <v>2026</v>
      </c>
      <c r="D44" s="46">
        <v>0</v>
      </c>
      <c r="E44" s="47">
        <v>0</v>
      </c>
      <c r="F44" s="47">
        <v>0</v>
      </c>
      <c r="G44" s="48">
        <v>0</v>
      </c>
      <c r="H44" s="57">
        <f t="shared" si="5"/>
        <v>0</v>
      </c>
      <c r="I44" s="119"/>
      <c r="J44" s="119"/>
      <c r="K44" s="19" t="s">
        <v>425</v>
      </c>
      <c r="L44" s="119">
        <f t="shared" si="2"/>
        <v>220.24411281575908</v>
      </c>
      <c r="M44" s="119">
        <f t="shared" si="3"/>
        <v>22.024411281575908</v>
      </c>
      <c r="N44" s="119"/>
      <c r="O44" s="119"/>
      <c r="P44" s="119"/>
      <c r="Q44" s="44" t="s">
        <v>390</v>
      </c>
      <c r="R44" s="19" t="s">
        <v>394</v>
      </c>
      <c r="S44" s="49">
        <v>2026</v>
      </c>
      <c r="T44" s="46">
        <v>0</v>
      </c>
      <c r="U44" s="47">
        <v>0</v>
      </c>
      <c r="V44" s="47">
        <v>0</v>
      </c>
      <c r="W44" s="48">
        <v>0</v>
      </c>
      <c r="X44" s="57">
        <f t="shared" si="4"/>
        <v>0</v>
      </c>
      <c r="Y44" s="119"/>
      <c r="Z44" s="19" t="s">
        <v>425</v>
      </c>
      <c r="AA44" s="119">
        <f t="shared" si="6"/>
        <v>150.81835924319182</v>
      </c>
      <c r="AB44" s="119">
        <f t="shared" si="7"/>
        <v>150.81835924319182</v>
      </c>
      <c r="AC44" s="119"/>
      <c r="AD44" s="119"/>
      <c r="AE44" s="119"/>
      <c r="AF44" s="119"/>
      <c r="AG44" s="119"/>
      <c r="AH44" s="119" t="s">
        <v>425</v>
      </c>
      <c r="AI44" s="119">
        <v>80</v>
      </c>
      <c r="AL44" s="19"/>
      <c r="AM44" s="155"/>
    </row>
    <row r="45" spans="1:39">
      <c r="A45" s="44" t="s">
        <v>390</v>
      </c>
      <c r="B45" s="19" t="s">
        <v>394</v>
      </c>
      <c r="C45" s="49">
        <v>2027</v>
      </c>
      <c r="D45" s="46">
        <v>0</v>
      </c>
      <c r="E45" s="47">
        <v>0</v>
      </c>
      <c r="F45" s="47">
        <v>0</v>
      </c>
      <c r="G45" s="48">
        <v>0</v>
      </c>
      <c r="H45" s="57">
        <f t="shared" si="5"/>
        <v>0</v>
      </c>
      <c r="I45" s="119"/>
      <c r="J45" s="119"/>
      <c r="K45" s="19" t="s">
        <v>426</v>
      </c>
      <c r="L45" s="119">
        <f t="shared" si="2"/>
        <v>80.215612069331058</v>
      </c>
      <c r="M45" s="119">
        <f t="shared" si="3"/>
        <v>8.0215612069331055</v>
      </c>
      <c r="N45" s="119"/>
      <c r="O45" s="119"/>
      <c r="P45" s="119"/>
      <c r="Q45" s="44" t="s">
        <v>390</v>
      </c>
      <c r="R45" s="19" t="s">
        <v>394</v>
      </c>
      <c r="S45" s="49">
        <v>2027</v>
      </c>
      <c r="T45" s="46">
        <v>0</v>
      </c>
      <c r="U45" s="47">
        <v>0</v>
      </c>
      <c r="V45" s="47">
        <v>0</v>
      </c>
      <c r="W45" s="48">
        <v>0</v>
      </c>
      <c r="X45" s="57">
        <f t="shared" si="4"/>
        <v>0</v>
      </c>
      <c r="Y45" s="119"/>
      <c r="Z45" s="19" t="s">
        <v>426</v>
      </c>
      <c r="AA45" s="119">
        <f t="shared" si="6"/>
        <v>35.460219739266748</v>
      </c>
      <c r="AB45" s="119">
        <f t="shared" si="7"/>
        <v>35.460219739266748</v>
      </c>
      <c r="AC45" s="119"/>
      <c r="AD45" s="119"/>
      <c r="AE45" s="119"/>
      <c r="AF45" s="119"/>
      <c r="AG45" s="119"/>
      <c r="AH45" s="119" t="s">
        <v>426</v>
      </c>
      <c r="AI45" s="119">
        <v>14</v>
      </c>
      <c r="AL45" s="19"/>
      <c r="AM45" s="155"/>
    </row>
    <row r="46" spans="1:39">
      <c r="A46" s="44" t="s">
        <v>390</v>
      </c>
      <c r="B46" s="19" t="s">
        <v>394</v>
      </c>
      <c r="C46" s="49">
        <v>2028</v>
      </c>
      <c r="D46" s="46">
        <v>0</v>
      </c>
      <c r="E46" s="47">
        <v>0</v>
      </c>
      <c r="F46" s="47">
        <v>0</v>
      </c>
      <c r="G46" s="48">
        <v>0</v>
      </c>
      <c r="H46" s="57">
        <f t="shared" si="5"/>
        <v>0</v>
      </c>
      <c r="I46" s="119"/>
      <c r="J46" s="119"/>
      <c r="K46" s="19" t="s">
        <v>427</v>
      </c>
      <c r="L46" s="119">
        <f t="shared" ref="L46:L91" si="8">SUMIFS(H$11:H$900,B$11:B$900,K46)</f>
        <v>42.280112355090345</v>
      </c>
      <c r="M46" s="119">
        <f t="shared" si="3"/>
        <v>4.2280112355090349</v>
      </c>
      <c r="N46" s="119"/>
      <c r="O46" s="119"/>
      <c r="P46" s="119"/>
      <c r="Q46" s="44" t="s">
        <v>390</v>
      </c>
      <c r="R46" s="19" t="s">
        <v>394</v>
      </c>
      <c r="S46" s="49">
        <v>2028</v>
      </c>
      <c r="T46" s="46">
        <v>0</v>
      </c>
      <c r="U46" s="47">
        <v>0</v>
      </c>
      <c r="V46" s="47">
        <v>0</v>
      </c>
      <c r="W46" s="48">
        <v>0</v>
      </c>
      <c r="X46" s="57">
        <f t="shared" si="4"/>
        <v>0</v>
      </c>
      <c r="Y46" s="119"/>
      <c r="Z46" s="19" t="s">
        <v>427</v>
      </c>
      <c r="AA46" s="119">
        <f t="shared" si="6"/>
        <v>42.010876633030897</v>
      </c>
      <c r="AB46" s="119">
        <f t="shared" si="7"/>
        <v>42.010876633030897</v>
      </c>
      <c r="AC46" s="119"/>
      <c r="AD46" s="119"/>
      <c r="AE46" s="119"/>
      <c r="AF46" s="119"/>
      <c r="AG46" s="119"/>
      <c r="AH46" s="119" t="s">
        <v>427</v>
      </c>
      <c r="AI46" s="119">
        <v>74.599999999999994</v>
      </c>
      <c r="AL46" s="19"/>
      <c r="AM46" s="155"/>
    </row>
    <row r="47" spans="1:39">
      <c r="A47" s="44" t="s">
        <v>390</v>
      </c>
      <c r="B47" s="19" t="s">
        <v>394</v>
      </c>
      <c r="C47" s="49">
        <v>2029</v>
      </c>
      <c r="D47" s="46">
        <v>0</v>
      </c>
      <c r="E47" s="47">
        <v>0</v>
      </c>
      <c r="F47" s="47">
        <v>0</v>
      </c>
      <c r="G47" s="48">
        <v>0</v>
      </c>
      <c r="H47" s="57">
        <f t="shared" si="5"/>
        <v>0</v>
      </c>
      <c r="I47" s="119"/>
      <c r="J47" s="119"/>
      <c r="K47" s="19" t="s">
        <v>428</v>
      </c>
      <c r="L47" s="119">
        <f t="shared" si="8"/>
        <v>47.500322651639308</v>
      </c>
      <c r="M47" s="119">
        <f t="shared" si="3"/>
        <v>4.7500322651639308</v>
      </c>
      <c r="N47" s="119"/>
      <c r="O47" s="119"/>
      <c r="P47" s="119"/>
      <c r="Q47" s="44" t="s">
        <v>390</v>
      </c>
      <c r="R47" s="19" t="s">
        <v>394</v>
      </c>
      <c r="S47" s="49">
        <v>2029</v>
      </c>
      <c r="T47" s="46">
        <v>0</v>
      </c>
      <c r="U47" s="47">
        <v>0</v>
      </c>
      <c r="V47" s="47">
        <v>0</v>
      </c>
      <c r="W47" s="48">
        <v>0</v>
      </c>
      <c r="X47" s="57">
        <f t="shared" si="4"/>
        <v>0</v>
      </c>
      <c r="Y47" s="119"/>
      <c r="Z47" s="19" t="s">
        <v>428</v>
      </c>
      <c r="AA47" s="119">
        <f t="shared" si="6"/>
        <v>34.027485647887453</v>
      </c>
      <c r="AB47" s="119">
        <f t="shared" si="7"/>
        <v>34.027485647887453</v>
      </c>
      <c r="AC47" s="119"/>
      <c r="AD47" s="119"/>
      <c r="AE47" s="119"/>
      <c r="AF47" s="119"/>
      <c r="AG47" s="119"/>
      <c r="AH47" s="119" t="s">
        <v>428</v>
      </c>
      <c r="AI47" s="119">
        <v>100</v>
      </c>
      <c r="AL47" s="19"/>
      <c r="AM47" s="155"/>
    </row>
    <row r="48" spans="1:39">
      <c r="A48" s="44" t="s">
        <v>390</v>
      </c>
      <c r="B48" s="19" t="s">
        <v>394</v>
      </c>
      <c r="C48" s="49">
        <v>2030</v>
      </c>
      <c r="D48" s="46">
        <v>0</v>
      </c>
      <c r="E48" s="47">
        <v>0</v>
      </c>
      <c r="F48" s="47">
        <v>0</v>
      </c>
      <c r="G48" s="48">
        <v>0</v>
      </c>
      <c r="H48" s="57">
        <f t="shared" si="5"/>
        <v>0</v>
      </c>
      <c r="I48" s="119"/>
      <c r="J48" s="119"/>
      <c r="K48" s="19" t="s">
        <v>429</v>
      </c>
      <c r="L48" s="119">
        <f t="shared" si="8"/>
        <v>97.414557397087606</v>
      </c>
      <c r="M48" s="119">
        <f t="shared" si="3"/>
        <v>9.7414557397087602</v>
      </c>
      <c r="N48" s="119"/>
      <c r="O48" s="119"/>
      <c r="P48" s="119"/>
      <c r="Q48" s="44" t="s">
        <v>390</v>
      </c>
      <c r="R48" s="19" t="s">
        <v>394</v>
      </c>
      <c r="S48" s="49">
        <v>2030</v>
      </c>
      <c r="T48" s="46">
        <v>0</v>
      </c>
      <c r="U48" s="47">
        <v>0</v>
      </c>
      <c r="V48" s="47">
        <v>0</v>
      </c>
      <c r="W48" s="48">
        <v>0</v>
      </c>
      <c r="X48" s="57">
        <f t="shared" si="4"/>
        <v>0</v>
      </c>
      <c r="Y48" s="119"/>
      <c r="Z48" s="19" t="s">
        <v>429</v>
      </c>
      <c r="AA48" s="119">
        <f t="shared" si="6"/>
        <v>70.174209883785394</v>
      </c>
      <c r="AB48" s="119">
        <f t="shared" si="7"/>
        <v>70.174209883785394</v>
      </c>
      <c r="AC48" s="119"/>
      <c r="AD48" s="119"/>
      <c r="AE48" s="119"/>
      <c r="AF48" s="119"/>
      <c r="AG48" s="119"/>
      <c r="AH48" s="119" t="s">
        <v>429</v>
      </c>
      <c r="AI48" s="119">
        <v>26.8</v>
      </c>
      <c r="AL48" s="19"/>
      <c r="AM48" s="155"/>
    </row>
    <row r="49" spans="1:39">
      <c r="A49" s="44" t="s">
        <v>390</v>
      </c>
      <c r="B49" s="19" t="s">
        <v>394</v>
      </c>
      <c r="C49" s="49">
        <v>2031</v>
      </c>
      <c r="D49" s="46">
        <v>49.837305553802096</v>
      </c>
      <c r="E49" s="47">
        <v>0</v>
      </c>
      <c r="F49" s="47">
        <v>0</v>
      </c>
      <c r="G49" s="48">
        <v>0</v>
      </c>
      <c r="H49" s="57">
        <f t="shared" si="5"/>
        <v>35.574850071108791</v>
      </c>
      <c r="I49" s="119"/>
      <c r="J49" s="119"/>
      <c r="K49" s="19" t="s">
        <v>430</v>
      </c>
      <c r="L49" s="119">
        <f t="shared" si="8"/>
        <v>90.834336328207172</v>
      </c>
      <c r="M49" s="119">
        <f t="shared" si="3"/>
        <v>9.0834336328207179</v>
      </c>
      <c r="N49" s="119"/>
      <c r="O49" s="119"/>
      <c r="P49" s="119"/>
      <c r="Q49" s="44" t="s">
        <v>390</v>
      </c>
      <c r="R49" s="19" t="s">
        <v>394</v>
      </c>
      <c r="S49" s="49">
        <v>2031</v>
      </c>
      <c r="T49" s="46">
        <v>49.837305553802096</v>
      </c>
      <c r="U49" s="47">
        <v>0</v>
      </c>
      <c r="V49" s="47">
        <v>0</v>
      </c>
      <c r="W49" s="48">
        <v>0</v>
      </c>
      <c r="X49" s="57">
        <f t="shared" si="4"/>
        <v>49.837305553802096</v>
      </c>
      <c r="Y49" s="119"/>
      <c r="Z49" s="19" t="s">
        <v>430</v>
      </c>
      <c r="AA49" s="119">
        <f t="shared" si="6"/>
        <v>23.589521243090953</v>
      </c>
      <c r="AB49" s="119">
        <f t="shared" si="7"/>
        <v>23.589521243090953</v>
      </c>
      <c r="AC49" s="119"/>
      <c r="AD49" s="119"/>
      <c r="AE49" s="119"/>
      <c r="AF49" s="119"/>
      <c r="AG49" s="119"/>
      <c r="AH49" s="119" t="s">
        <v>430</v>
      </c>
      <c r="AI49" s="119">
        <v>7.5</v>
      </c>
      <c r="AL49" s="19"/>
      <c r="AM49" s="155"/>
    </row>
    <row r="50" spans="1:39">
      <c r="A50" s="44" t="s">
        <v>390</v>
      </c>
      <c r="B50" s="19" t="s">
        <v>394</v>
      </c>
      <c r="C50" s="49">
        <v>2032</v>
      </c>
      <c r="D50" s="46">
        <v>0</v>
      </c>
      <c r="E50" s="47">
        <v>0</v>
      </c>
      <c r="F50" s="47">
        <v>0</v>
      </c>
      <c r="G50" s="48">
        <v>0</v>
      </c>
      <c r="H50" s="57">
        <f t="shared" si="5"/>
        <v>0</v>
      </c>
      <c r="I50" s="119"/>
      <c r="J50" s="119"/>
      <c r="K50" s="19" t="s">
        <v>431</v>
      </c>
      <c r="L50" s="119">
        <f t="shared" si="8"/>
        <v>105.1250733950974</v>
      </c>
      <c r="M50" s="119">
        <f t="shared" si="3"/>
        <v>10.512507339509741</v>
      </c>
      <c r="N50" s="119"/>
      <c r="O50" s="119"/>
      <c r="P50" s="119"/>
      <c r="Q50" s="44" t="s">
        <v>390</v>
      </c>
      <c r="R50" s="19" t="s">
        <v>394</v>
      </c>
      <c r="S50" s="49">
        <v>2032</v>
      </c>
      <c r="T50" s="46">
        <v>50.834051664878139</v>
      </c>
      <c r="U50" s="47">
        <v>0</v>
      </c>
      <c r="V50" s="47">
        <v>0</v>
      </c>
      <c r="W50" s="48">
        <v>0</v>
      </c>
      <c r="X50" s="57">
        <f t="shared" si="4"/>
        <v>50.834051664878139</v>
      </c>
      <c r="Y50" s="119"/>
      <c r="Z50" s="19" t="s">
        <v>431</v>
      </c>
      <c r="AA50" s="119">
        <f t="shared" si="6"/>
        <v>27.300801131796977</v>
      </c>
      <c r="AB50" s="119">
        <f t="shared" si="7"/>
        <v>27.300801131796977</v>
      </c>
      <c r="AC50" s="119"/>
      <c r="AD50" s="119"/>
      <c r="AE50" s="119"/>
      <c r="AF50" s="119"/>
      <c r="AG50" s="119"/>
      <c r="AH50" s="119" t="s">
        <v>431</v>
      </c>
      <c r="AI50" s="119">
        <v>7</v>
      </c>
      <c r="AL50" s="19"/>
      <c r="AM50" s="155"/>
    </row>
    <row r="51" spans="1:39">
      <c r="A51" s="44" t="s">
        <v>390</v>
      </c>
      <c r="B51" s="19" t="s">
        <v>394</v>
      </c>
      <c r="C51" s="49">
        <v>2033</v>
      </c>
      <c r="D51" s="46">
        <v>0</v>
      </c>
      <c r="E51" s="47">
        <v>0</v>
      </c>
      <c r="F51" s="47">
        <v>0</v>
      </c>
      <c r="G51" s="48">
        <v>0</v>
      </c>
      <c r="H51" s="57">
        <f t="shared" si="5"/>
        <v>0</v>
      </c>
      <c r="I51" s="119"/>
      <c r="J51" s="119"/>
      <c r="K51" s="19" t="s">
        <v>432</v>
      </c>
      <c r="L51" s="119">
        <f t="shared" si="8"/>
        <v>171.06011512716003</v>
      </c>
      <c r="M51" s="119">
        <f t="shared" si="3"/>
        <v>17.106011512716002</v>
      </c>
      <c r="N51" s="119"/>
      <c r="O51" s="119"/>
      <c r="P51" s="119"/>
      <c r="Q51" s="44" t="s">
        <v>390</v>
      </c>
      <c r="R51" s="19" t="s">
        <v>394</v>
      </c>
      <c r="S51" s="49">
        <v>2033</v>
      </c>
      <c r="T51" s="46">
        <v>51.850732698175705</v>
      </c>
      <c r="U51" s="47">
        <v>0</v>
      </c>
      <c r="V51" s="47">
        <v>0</v>
      </c>
      <c r="W51" s="48">
        <v>0</v>
      </c>
      <c r="X51" s="57">
        <f t="shared" si="4"/>
        <v>51.850732698175705</v>
      </c>
      <c r="Y51" s="119"/>
      <c r="Z51" s="19" t="s">
        <v>432</v>
      </c>
      <c r="AA51" s="119">
        <f t="shared" si="6"/>
        <v>35.088693184764004</v>
      </c>
      <c r="AB51" s="119">
        <f t="shared" si="7"/>
        <v>35.088693184764004</v>
      </c>
      <c r="AC51" s="119"/>
      <c r="AD51" s="119"/>
      <c r="AE51" s="119"/>
      <c r="AF51" s="119"/>
      <c r="AG51" s="119"/>
      <c r="AH51" s="119" t="s">
        <v>432</v>
      </c>
      <c r="AI51" s="119">
        <v>27.107999999999997</v>
      </c>
      <c r="AL51" s="19"/>
      <c r="AM51" s="155"/>
    </row>
    <row r="52" spans="1:39">
      <c r="A52" s="44" t="s">
        <v>390</v>
      </c>
      <c r="B52" s="19" t="s">
        <v>394</v>
      </c>
      <c r="C52" s="49">
        <v>2034</v>
      </c>
      <c r="D52" s="46">
        <v>0</v>
      </c>
      <c r="E52" s="47">
        <v>0</v>
      </c>
      <c r="F52" s="47">
        <v>0</v>
      </c>
      <c r="G52" s="48">
        <v>0</v>
      </c>
      <c r="H52" s="57">
        <f t="shared" si="5"/>
        <v>0</v>
      </c>
      <c r="I52" s="119"/>
      <c r="J52" s="119"/>
      <c r="K52" s="19" t="s">
        <v>433</v>
      </c>
      <c r="L52" s="119">
        <f t="shared" si="8"/>
        <v>243.98386429219175</v>
      </c>
      <c r="M52" s="119">
        <f t="shared" si="3"/>
        <v>24.398386429219176</v>
      </c>
      <c r="N52" s="119"/>
      <c r="O52" s="119"/>
      <c r="P52" s="119"/>
      <c r="Q52" s="44" t="s">
        <v>390</v>
      </c>
      <c r="R52" s="19" t="s">
        <v>394</v>
      </c>
      <c r="S52" s="49">
        <v>2034</v>
      </c>
      <c r="T52" s="46">
        <v>52.887747352139222</v>
      </c>
      <c r="U52" s="47">
        <v>0</v>
      </c>
      <c r="V52" s="47">
        <v>0</v>
      </c>
      <c r="W52" s="48">
        <v>0</v>
      </c>
      <c r="X52" s="57">
        <f t="shared" si="4"/>
        <v>52.887747352139222</v>
      </c>
      <c r="Y52" s="119"/>
      <c r="Z52" s="19" t="s">
        <v>433</v>
      </c>
      <c r="AA52" s="119">
        <f t="shared" si="6"/>
        <v>112.70650087275148</v>
      </c>
      <c r="AB52" s="119">
        <f t="shared" si="7"/>
        <v>112.70650087275148</v>
      </c>
      <c r="AC52" s="119"/>
      <c r="AD52" s="119"/>
      <c r="AE52" s="119"/>
      <c r="AF52" s="119"/>
      <c r="AG52" s="119"/>
      <c r="AH52" s="119" t="s">
        <v>433</v>
      </c>
      <c r="AI52" s="119">
        <v>33</v>
      </c>
      <c r="AL52" s="19"/>
      <c r="AM52" s="155"/>
    </row>
    <row r="53" spans="1:39">
      <c r="A53" s="44" t="s">
        <v>390</v>
      </c>
      <c r="B53" s="19" t="s">
        <v>394</v>
      </c>
      <c r="C53" s="49">
        <v>2035</v>
      </c>
      <c r="D53" s="46">
        <v>0</v>
      </c>
      <c r="E53" s="47">
        <v>0</v>
      </c>
      <c r="F53" s="47">
        <v>0</v>
      </c>
      <c r="G53" s="48">
        <v>0</v>
      </c>
      <c r="H53" s="57">
        <f t="shared" si="5"/>
        <v>0</v>
      </c>
      <c r="I53" s="119"/>
      <c r="J53" s="119"/>
      <c r="K53" s="19" t="s">
        <v>434</v>
      </c>
      <c r="L53" s="119">
        <f t="shared" si="8"/>
        <v>363.58200180425172</v>
      </c>
      <c r="M53" s="119">
        <f t="shared" si="3"/>
        <v>36.358200180425172</v>
      </c>
      <c r="N53" s="119"/>
      <c r="O53" s="119"/>
      <c r="P53" s="119"/>
      <c r="Q53" s="44" t="s">
        <v>390</v>
      </c>
      <c r="R53" s="19" t="s">
        <v>394</v>
      </c>
      <c r="S53" s="49">
        <v>2035</v>
      </c>
      <c r="T53" s="46">
        <v>53.94550229918201</v>
      </c>
      <c r="U53" s="47">
        <v>0</v>
      </c>
      <c r="V53" s="47">
        <v>0</v>
      </c>
      <c r="W53" s="48">
        <v>0</v>
      </c>
      <c r="X53" s="57">
        <f t="shared" si="4"/>
        <v>53.94550229918201</v>
      </c>
      <c r="Y53" s="119">
        <f>NPV($Y$10,X44:X53)/((1-(1+$Y$10)^-10)/$Y$10)</f>
        <v>21.547174282389015</v>
      </c>
      <c r="Z53" s="19" t="s">
        <v>434</v>
      </c>
      <c r="AA53" s="119">
        <f t="shared" si="6"/>
        <v>199.95139307555164</v>
      </c>
      <c r="AB53" s="119">
        <f t="shared" si="7"/>
        <v>199.95139307555164</v>
      </c>
      <c r="AC53" s="119"/>
      <c r="AD53" s="119"/>
      <c r="AE53" s="119"/>
      <c r="AF53" s="119"/>
      <c r="AG53" s="119"/>
      <c r="AH53" s="119" t="s">
        <v>434</v>
      </c>
      <c r="AI53" s="119">
        <v>100.1</v>
      </c>
      <c r="AL53" s="19"/>
      <c r="AM53" s="155"/>
    </row>
    <row r="54" spans="1:39">
      <c r="A54" s="44"/>
      <c r="B54" s="19" t="s">
        <v>401</v>
      </c>
      <c r="C54" s="49"/>
      <c r="D54" s="42" t="s">
        <v>401</v>
      </c>
      <c r="E54" s="19" t="s">
        <v>401</v>
      </c>
      <c r="F54" s="19" t="s">
        <v>401</v>
      </c>
      <c r="G54" s="43" t="s">
        <v>401</v>
      </c>
      <c r="H54" s="57"/>
      <c r="I54" s="119"/>
      <c r="J54" s="119"/>
      <c r="K54" s="19" t="s">
        <v>435</v>
      </c>
      <c r="L54" s="119">
        <f t="shared" si="8"/>
        <v>295.57822140536928</v>
      </c>
      <c r="M54" s="119">
        <f t="shared" si="3"/>
        <v>29.557822140536928</v>
      </c>
      <c r="N54" s="119"/>
      <c r="O54" s="119"/>
      <c r="P54" s="119"/>
      <c r="Q54" s="44"/>
      <c r="R54" s="19" t="s">
        <v>401</v>
      </c>
      <c r="S54" s="49"/>
      <c r="T54" s="42"/>
      <c r="U54" s="19"/>
      <c r="V54" s="19"/>
      <c r="W54" s="43"/>
      <c r="X54" s="57">
        <f t="shared" si="4"/>
        <v>0</v>
      </c>
      <c r="Y54" s="119"/>
      <c r="Z54" s="19" t="s">
        <v>435</v>
      </c>
      <c r="AA54" s="119">
        <f t="shared" si="6"/>
        <v>164.20400355098516</v>
      </c>
      <c r="AB54" s="119">
        <f t="shared" si="7"/>
        <v>164.20400355098516</v>
      </c>
      <c r="AC54" s="119"/>
      <c r="AD54" s="119"/>
      <c r="AE54" s="119"/>
      <c r="AF54" s="119"/>
      <c r="AG54" s="119"/>
      <c r="AH54" s="119" t="s">
        <v>435</v>
      </c>
      <c r="AI54" s="119">
        <v>200</v>
      </c>
      <c r="AL54" s="19"/>
      <c r="AM54" s="155"/>
    </row>
    <row r="55" spans="1:39">
      <c r="A55" s="44" t="s">
        <v>390</v>
      </c>
      <c r="B55" s="19" t="s">
        <v>395</v>
      </c>
      <c r="C55" s="49">
        <v>2026</v>
      </c>
      <c r="D55" s="46">
        <v>0</v>
      </c>
      <c r="E55" s="47">
        <v>0</v>
      </c>
      <c r="F55" s="47">
        <v>0</v>
      </c>
      <c r="G55" s="48">
        <v>0</v>
      </c>
      <c r="H55" s="57">
        <f t="shared" si="5"/>
        <v>0</v>
      </c>
      <c r="I55" s="119"/>
      <c r="J55" s="119"/>
      <c r="K55" s="19" t="s">
        <v>436</v>
      </c>
      <c r="L55" s="119">
        <f t="shared" si="8"/>
        <v>133.61439746616352</v>
      </c>
      <c r="M55" s="119">
        <f t="shared" si="3"/>
        <v>13.361439746616352</v>
      </c>
      <c r="N55" s="119"/>
      <c r="O55" s="119"/>
      <c r="P55" s="119"/>
      <c r="Q55" s="44" t="s">
        <v>390</v>
      </c>
      <c r="R55" s="19" t="s">
        <v>395</v>
      </c>
      <c r="S55" s="49">
        <v>2026</v>
      </c>
      <c r="T55" s="46">
        <v>0</v>
      </c>
      <c r="U55" s="47">
        <v>0</v>
      </c>
      <c r="V55" s="47">
        <v>0</v>
      </c>
      <c r="W55" s="48">
        <v>0</v>
      </c>
      <c r="X55" s="57">
        <f t="shared" si="4"/>
        <v>0</v>
      </c>
      <c r="Y55" s="119"/>
      <c r="Z55" s="19" t="s">
        <v>436</v>
      </c>
      <c r="AA55" s="119">
        <f t="shared" si="6"/>
        <v>38.82675339657245</v>
      </c>
      <c r="AB55" s="119">
        <f t="shared" si="7"/>
        <v>38.82675339657245</v>
      </c>
      <c r="AC55" s="119"/>
      <c r="AD55" s="119"/>
      <c r="AE55" s="119"/>
      <c r="AF55" s="119"/>
      <c r="AG55" s="119"/>
      <c r="AH55" s="119" t="s">
        <v>436</v>
      </c>
      <c r="AI55" s="119">
        <v>36.4</v>
      </c>
      <c r="AL55" s="19"/>
      <c r="AM55" s="155"/>
    </row>
    <row r="56" spans="1:39">
      <c r="A56" s="44" t="s">
        <v>390</v>
      </c>
      <c r="B56" s="19" t="s">
        <v>395</v>
      </c>
      <c r="C56" s="49">
        <v>2027</v>
      </c>
      <c r="D56" s="46">
        <v>0</v>
      </c>
      <c r="E56" s="47">
        <v>0</v>
      </c>
      <c r="F56" s="47">
        <v>0</v>
      </c>
      <c r="G56" s="48">
        <v>0</v>
      </c>
      <c r="H56" s="57">
        <f t="shared" si="5"/>
        <v>0</v>
      </c>
      <c r="I56" s="119"/>
      <c r="J56" s="119"/>
      <c r="K56" s="19" t="s">
        <v>437</v>
      </c>
      <c r="L56" s="119">
        <f t="shared" si="8"/>
        <v>44.058467458513626</v>
      </c>
      <c r="M56" s="119">
        <f t="shared" si="3"/>
        <v>4.4058467458513624</v>
      </c>
      <c r="N56" s="119"/>
      <c r="O56" s="119"/>
      <c r="P56" s="119"/>
      <c r="Q56" s="44" t="s">
        <v>390</v>
      </c>
      <c r="R56" s="19" t="s">
        <v>395</v>
      </c>
      <c r="S56" s="49">
        <v>2027</v>
      </c>
      <c r="T56" s="46">
        <v>0</v>
      </c>
      <c r="U56" s="47">
        <v>0</v>
      </c>
      <c r="V56" s="47">
        <v>0</v>
      </c>
      <c r="W56" s="48">
        <v>0</v>
      </c>
      <c r="X56" s="57">
        <f t="shared" si="4"/>
        <v>0</v>
      </c>
      <c r="Y56" s="119"/>
      <c r="Z56" s="19" t="s">
        <v>437</v>
      </c>
      <c r="AA56" s="119">
        <f t="shared" si="6"/>
        <v>21.844324417721172</v>
      </c>
      <c r="AB56" s="119">
        <f t="shared" si="7"/>
        <v>21.844324417721172</v>
      </c>
      <c r="AC56" s="119"/>
      <c r="AD56" s="119"/>
      <c r="AE56" s="119"/>
      <c r="AF56" s="119"/>
      <c r="AG56" s="119"/>
      <c r="AH56" s="119" t="s">
        <v>437</v>
      </c>
      <c r="AI56" s="119">
        <v>14</v>
      </c>
      <c r="AL56" s="19"/>
      <c r="AM56" s="155"/>
    </row>
    <row r="57" spans="1:39">
      <c r="A57" s="44" t="s">
        <v>390</v>
      </c>
      <c r="B57" s="19" t="s">
        <v>395</v>
      </c>
      <c r="C57" s="49">
        <v>2028</v>
      </c>
      <c r="D57" s="46">
        <v>0</v>
      </c>
      <c r="E57" s="47">
        <v>0</v>
      </c>
      <c r="F57" s="47">
        <v>0</v>
      </c>
      <c r="G57" s="48">
        <v>0</v>
      </c>
      <c r="H57" s="57">
        <f t="shared" si="5"/>
        <v>0</v>
      </c>
      <c r="I57" s="119"/>
      <c r="J57" s="119"/>
      <c r="K57" s="19" t="s">
        <v>438</v>
      </c>
      <c r="L57" s="119">
        <f t="shared" si="8"/>
        <v>44.058467458513626</v>
      </c>
      <c r="M57" s="119">
        <f t="shared" si="3"/>
        <v>4.4058467458513624</v>
      </c>
      <c r="N57" s="119"/>
      <c r="O57" s="119"/>
      <c r="P57" s="119"/>
      <c r="Q57" s="44" t="s">
        <v>390</v>
      </c>
      <c r="R57" s="19" t="s">
        <v>395</v>
      </c>
      <c r="S57" s="49">
        <v>2028</v>
      </c>
      <c r="T57" s="46">
        <v>0</v>
      </c>
      <c r="U57" s="47">
        <v>0</v>
      </c>
      <c r="V57" s="47">
        <v>0</v>
      </c>
      <c r="W57" s="48">
        <v>0</v>
      </c>
      <c r="X57" s="57">
        <f t="shared" si="4"/>
        <v>0</v>
      </c>
      <c r="Y57" s="119"/>
      <c r="Z57" s="19" t="s">
        <v>438</v>
      </c>
      <c r="AA57" s="119">
        <f t="shared" si="6"/>
        <v>21.844324417721172</v>
      </c>
      <c r="AB57" s="119">
        <f t="shared" si="7"/>
        <v>21.844324417721172</v>
      </c>
      <c r="AC57" s="119"/>
      <c r="AD57" s="119"/>
      <c r="AE57" s="119"/>
      <c r="AF57" s="119"/>
      <c r="AG57" s="119"/>
      <c r="AH57" s="119" t="s">
        <v>438</v>
      </c>
      <c r="AI57" s="119">
        <v>14</v>
      </c>
      <c r="AL57" s="19"/>
      <c r="AM57" s="155"/>
    </row>
    <row r="58" spans="1:39">
      <c r="A58" s="44" t="s">
        <v>390</v>
      </c>
      <c r="B58" s="19" t="s">
        <v>395</v>
      </c>
      <c r="C58" s="49">
        <v>2029</v>
      </c>
      <c r="D58" s="46">
        <v>0</v>
      </c>
      <c r="E58" s="47">
        <v>0</v>
      </c>
      <c r="F58" s="47">
        <v>0</v>
      </c>
      <c r="G58" s="48">
        <v>0</v>
      </c>
      <c r="H58" s="57">
        <f t="shared" si="5"/>
        <v>0</v>
      </c>
      <c r="I58" s="119"/>
      <c r="J58" s="119"/>
      <c r="K58" s="19" t="s">
        <v>439</v>
      </c>
      <c r="L58" s="119">
        <f t="shared" si="8"/>
        <v>46.771975232911672</v>
      </c>
      <c r="M58" s="119">
        <f t="shared" si="3"/>
        <v>4.6771975232911673</v>
      </c>
      <c r="N58" s="119"/>
      <c r="O58" s="119"/>
      <c r="P58" s="119"/>
      <c r="Q58" s="44" t="s">
        <v>390</v>
      </c>
      <c r="R58" s="19" t="s">
        <v>395</v>
      </c>
      <c r="S58" s="49">
        <v>2029</v>
      </c>
      <c r="T58" s="46">
        <v>0</v>
      </c>
      <c r="U58" s="47">
        <v>0</v>
      </c>
      <c r="V58" s="47">
        <v>0</v>
      </c>
      <c r="W58" s="48">
        <v>0</v>
      </c>
      <c r="X58" s="57">
        <f t="shared" si="4"/>
        <v>0</v>
      </c>
      <c r="Y58" s="119"/>
      <c r="Z58" s="19" t="s">
        <v>439</v>
      </c>
      <c r="AA58" s="119">
        <f t="shared" si="6"/>
        <v>37.902026069374756</v>
      </c>
      <c r="AB58" s="119">
        <f t="shared" si="7"/>
        <v>37.902026069374756</v>
      </c>
      <c r="AC58" s="119"/>
      <c r="AD58" s="119"/>
      <c r="AE58" s="119"/>
      <c r="AF58" s="119"/>
      <c r="AG58" s="119"/>
      <c r="AH58" s="119" t="s">
        <v>439</v>
      </c>
      <c r="AI58" s="119">
        <v>13.042</v>
      </c>
      <c r="AL58" s="19"/>
      <c r="AM58" s="155"/>
    </row>
    <row r="59" spans="1:39">
      <c r="A59" s="44" t="s">
        <v>390</v>
      </c>
      <c r="B59" s="19" t="s">
        <v>395</v>
      </c>
      <c r="C59" s="49">
        <v>2030</v>
      </c>
      <c r="D59" s="46">
        <v>5.0687916421052623</v>
      </c>
      <c r="E59" s="47">
        <v>0</v>
      </c>
      <c r="F59" s="47">
        <v>0</v>
      </c>
      <c r="G59" s="48">
        <v>0</v>
      </c>
      <c r="H59" s="57">
        <f t="shared" si="5"/>
        <v>3.8705729649716432</v>
      </c>
      <c r="I59" s="119"/>
      <c r="J59" s="119"/>
      <c r="K59" s="19" t="s">
        <v>440</v>
      </c>
      <c r="L59" s="119">
        <f t="shared" si="8"/>
        <v>211.39720376955736</v>
      </c>
      <c r="M59" s="119">
        <f t="shared" si="3"/>
        <v>21.139720376955736</v>
      </c>
      <c r="N59" s="119"/>
      <c r="O59" s="119"/>
      <c r="P59" s="119"/>
      <c r="Q59" s="44" t="s">
        <v>390</v>
      </c>
      <c r="R59" s="19" t="s">
        <v>395</v>
      </c>
      <c r="S59" s="49">
        <v>2030</v>
      </c>
      <c r="T59" s="46">
        <v>5.0687916421052623</v>
      </c>
      <c r="U59" s="47">
        <v>0</v>
      </c>
      <c r="V59" s="47">
        <v>0</v>
      </c>
      <c r="W59" s="48">
        <v>0</v>
      </c>
      <c r="X59" s="57">
        <f t="shared" si="4"/>
        <v>5.0687916421052623</v>
      </c>
      <c r="Y59" s="119"/>
      <c r="Z59" s="19" t="s">
        <v>440</v>
      </c>
      <c r="AA59" s="119">
        <f t="shared" si="6"/>
        <v>128.75512004381056</v>
      </c>
      <c r="AB59" s="119">
        <f t="shared" si="7"/>
        <v>128.75512004381056</v>
      </c>
      <c r="AC59" s="119"/>
      <c r="AD59" s="119"/>
      <c r="AE59" s="119"/>
      <c r="AF59" s="119"/>
      <c r="AG59" s="119"/>
      <c r="AH59" s="119" t="s">
        <v>440</v>
      </c>
      <c r="AI59" s="119">
        <v>13.019999999999998</v>
      </c>
      <c r="AL59" s="19"/>
      <c r="AM59" s="155"/>
    </row>
    <row r="60" spans="1:39">
      <c r="A60" s="44" t="s">
        <v>390</v>
      </c>
      <c r="B60" s="19" t="s">
        <v>395</v>
      </c>
      <c r="C60" s="49">
        <v>2031</v>
      </c>
      <c r="D60" s="46">
        <v>18.163510047506385</v>
      </c>
      <c r="E60" s="47">
        <v>0</v>
      </c>
      <c r="F60" s="47">
        <v>0</v>
      </c>
      <c r="G60" s="48">
        <v>0</v>
      </c>
      <c r="H60" s="57">
        <f t="shared" si="5"/>
        <v>12.965471137029033</v>
      </c>
      <c r="I60" s="119"/>
      <c r="J60" s="119"/>
      <c r="K60" s="19" t="s">
        <v>441</v>
      </c>
      <c r="L60" s="119">
        <f t="shared" si="8"/>
        <v>82.457728665253825</v>
      </c>
      <c r="M60" s="119">
        <f t="shared" si="3"/>
        <v>8.2457728665253818</v>
      </c>
      <c r="N60" s="119"/>
      <c r="O60" s="119"/>
      <c r="P60" s="119"/>
      <c r="Q60" s="44" t="s">
        <v>390</v>
      </c>
      <c r="R60" s="19" t="s">
        <v>395</v>
      </c>
      <c r="S60" s="49">
        <v>2031</v>
      </c>
      <c r="T60" s="46">
        <v>23.333677522453755</v>
      </c>
      <c r="U60" s="47">
        <v>0</v>
      </c>
      <c r="V60" s="47">
        <v>0</v>
      </c>
      <c r="W60" s="48">
        <v>0</v>
      </c>
      <c r="X60" s="57">
        <f t="shared" si="4"/>
        <v>23.333677522453755</v>
      </c>
      <c r="Y60" s="119"/>
      <c r="Z60" s="19" t="s">
        <v>441</v>
      </c>
      <c r="AA60" s="119">
        <f t="shared" si="6"/>
        <v>66.820247935407153</v>
      </c>
      <c r="AB60" s="119">
        <f t="shared" si="7"/>
        <v>66.820247935407153</v>
      </c>
      <c r="AC60" s="119"/>
      <c r="AD60" s="119"/>
      <c r="AE60" s="119"/>
      <c r="AF60" s="119"/>
      <c r="AG60" s="119"/>
      <c r="AH60" s="119" t="s">
        <v>441</v>
      </c>
      <c r="AI60" s="119">
        <v>1</v>
      </c>
      <c r="AL60" s="19"/>
      <c r="AM60" s="155"/>
    </row>
    <row r="61" spans="1:39">
      <c r="A61" s="44" t="s">
        <v>390</v>
      </c>
      <c r="B61" s="19" t="s">
        <v>395</v>
      </c>
      <c r="C61" s="49">
        <v>2032</v>
      </c>
      <c r="D61" s="46">
        <v>45.290074774285728</v>
      </c>
      <c r="E61" s="47">
        <v>0</v>
      </c>
      <c r="F61" s="47">
        <v>0</v>
      </c>
      <c r="G61" s="48">
        <v>0</v>
      </c>
      <c r="H61" s="57">
        <f t="shared" si="5"/>
        <v>30.221030333540988</v>
      </c>
      <c r="I61" s="119"/>
      <c r="J61" s="119"/>
      <c r="K61" s="19" t="s">
        <v>442</v>
      </c>
      <c r="L61" s="119">
        <f t="shared" si="8"/>
        <v>106.26546075794073</v>
      </c>
      <c r="M61" s="119">
        <f t="shared" si="3"/>
        <v>10.626546075794073</v>
      </c>
      <c r="N61" s="119"/>
      <c r="O61" s="119"/>
      <c r="P61" s="119"/>
      <c r="Q61" s="44" t="s">
        <v>390</v>
      </c>
      <c r="R61" s="19" t="s">
        <v>395</v>
      </c>
      <c r="S61" s="49">
        <v>2032</v>
      </c>
      <c r="T61" s="46">
        <v>69.090425847188556</v>
      </c>
      <c r="U61" s="47">
        <v>0</v>
      </c>
      <c r="V61" s="47">
        <v>0</v>
      </c>
      <c r="W61" s="48">
        <v>0</v>
      </c>
      <c r="X61" s="57">
        <f t="shared" si="4"/>
        <v>69.090425847188556</v>
      </c>
      <c r="Y61" s="119"/>
      <c r="Z61" s="19" t="s">
        <v>442</v>
      </c>
      <c r="AA61" s="119">
        <f t="shared" si="6"/>
        <v>79.041777039355594</v>
      </c>
      <c r="AB61" s="119">
        <f t="shared" si="7"/>
        <v>79.041777039355594</v>
      </c>
      <c r="AC61" s="119"/>
      <c r="AD61" s="119"/>
      <c r="AE61" s="119"/>
      <c r="AF61" s="119"/>
      <c r="AG61" s="119"/>
      <c r="AH61" s="119" t="s">
        <v>442</v>
      </c>
      <c r="AI61" s="119">
        <v>22.4</v>
      </c>
      <c r="AL61" s="19"/>
      <c r="AM61" s="155"/>
    </row>
    <row r="62" spans="1:39">
      <c r="A62" s="44" t="s">
        <v>390</v>
      </c>
      <c r="B62" s="19" t="s">
        <v>395</v>
      </c>
      <c r="C62" s="49">
        <v>2033</v>
      </c>
      <c r="D62" s="46">
        <v>63.860000430382222</v>
      </c>
      <c r="E62" s="47">
        <v>0</v>
      </c>
      <c r="F62" s="47">
        <v>0</v>
      </c>
      <c r="G62" s="48">
        <v>0</v>
      </c>
      <c r="H62" s="57">
        <f t="shared" si="5"/>
        <v>39.83390204263808</v>
      </c>
      <c r="I62" s="119"/>
      <c r="J62" s="119"/>
      <c r="K62" s="19" t="s">
        <v>443</v>
      </c>
      <c r="L62" s="119">
        <f t="shared" si="8"/>
        <v>78.258182587298194</v>
      </c>
      <c r="M62" s="119">
        <f t="shared" si="3"/>
        <v>7.8258182587298197</v>
      </c>
      <c r="N62" s="119"/>
      <c r="O62" s="119"/>
      <c r="P62" s="119"/>
      <c r="Q62" s="44" t="s">
        <v>390</v>
      </c>
      <c r="R62" s="19" t="s">
        <v>395</v>
      </c>
      <c r="S62" s="49">
        <v>2033</v>
      </c>
      <c r="T62" s="46">
        <v>134.33223479451456</v>
      </c>
      <c r="U62" s="47">
        <v>0</v>
      </c>
      <c r="V62" s="47">
        <v>0</v>
      </c>
      <c r="W62" s="48">
        <v>0</v>
      </c>
      <c r="X62" s="57">
        <f t="shared" si="4"/>
        <v>134.33223479451456</v>
      </c>
      <c r="Y62" s="119"/>
      <c r="Z62" s="19" t="s">
        <v>443</v>
      </c>
      <c r="AA62" s="119">
        <f t="shared" si="6"/>
        <v>14.840044960610006</v>
      </c>
      <c r="AB62" s="119">
        <f t="shared" si="7"/>
        <v>14.840044960610006</v>
      </c>
      <c r="AC62" s="119"/>
      <c r="AD62" s="119"/>
      <c r="AE62" s="119"/>
      <c r="AF62" s="119"/>
      <c r="AG62" s="119"/>
      <c r="AH62" s="119" t="s">
        <v>443</v>
      </c>
      <c r="AI62" s="119">
        <v>22.4</v>
      </c>
      <c r="AL62" s="19"/>
      <c r="AM62" s="155"/>
    </row>
    <row r="63" spans="1:39">
      <c r="A63" s="44" t="s">
        <v>390</v>
      </c>
      <c r="B63" s="19" t="s">
        <v>395</v>
      </c>
      <c r="C63" s="49">
        <v>2034</v>
      </c>
      <c r="D63" s="46">
        <v>32.844546825099883</v>
      </c>
      <c r="E63" s="47">
        <v>0</v>
      </c>
      <c r="F63" s="47">
        <v>0</v>
      </c>
      <c r="G63" s="48">
        <v>0</v>
      </c>
      <c r="H63" s="57">
        <f t="shared" si="5"/>
        <v>19.151593398483467</v>
      </c>
      <c r="I63" s="119"/>
      <c r="J63" s="119"/>
      <c r="K63" s="19" t="s">
        <v>444</v>
      </c>
      <c r="L63" s="119">
        <f t="shared" si="8"/>
        <v>102.44003700769449</v>
      </c>
      <c r="M63" s="119">
        <f t="shared" si="3"/>
        <v>10.244003700769449</v>
      </c>
      <c r="N63" s="119"/>
      <c r="O63" s="119"/>
      <c r="P63" s="119"/>
      <c r="Q63" s="44" t="s">
        <v>390</v>
      </c>
      <c r="R63" s="19" t="s">
        <v>395</v>
      </c>
      <c r="S63" s="49">
        <v>2034</v>
      </c>
      <c r="T63" s="46">
        <v>169.86342631550474</v>
      </c>
      <c r="U63" s="47">
        <v>0</v>
      </c>
      <c r="V63" s="47">
        <v>0</v>
      </c>
      <c r="W63" s="48">
        <v>0</v>
      </c>
      <c r="X63" s="57">
        <f t="shared" si="4"/>
        <v>169.86342631550474</v>
      </c>
      <c r="Y63" s="119"/>
      <c r="Z63" s="19" t="s">
        <v>444</v>
      </c>
      <c r="AA63" s="119">
        <f t="shared" si="6"/>
        <v>51.657640517535143</v>
      </c>
      <c r="AB63" s="119">
        <f t="shared" si="7"/>
        <v>51.657640517535143</v>
      </c>
      <c r="AC63" s="119"/>
      <c r="AD63" s="119"/>
      <c r="AE63" s="119"/>
      <c r="AF63" s="119"/>
      <c r="AG63" s="119"/>
      <c r="AH63" s="119" t="s">
        <v>444</v>
      </c>
      <c r="AI63" s="119">
        <v>50</v>
      </c>
      <c r="AL63" s="19"/>
      <c r="AM63" s="155"/>
    </row>
    <row r="64" spans="1:39">
      <c r="A64" s="44" t="s">
        <v>390</v>
      </c>
      <c r="B64" s="19" t="s">
        <v>395</v>
      </c>
      <c r="C64" s="49">
        <v>2035</v>
      </c>
      <c r="D64" s="46">
        <v>0</v>
      </c>
      <c r="E64" s="47">
        <v>0</v>
      </c>
      <c r="F64" s="47">
        <v>0</v>
      </c>
      <c r="G64" s="48">
        <v>0</v>
      </c>
      <c r="H64" s="57">
        <f t="shared" si="5"/>
        <v>0</v>
      </c>
      <c r="I64" s="119"/>
      <c r="J64" s="119"/>
      <c r="K64" s="19" t="s">
        <v>445</v>
      </c>
      <c r="L64" s="119">
        <f t="shared" si="8"/>
        <v>49.359645116652004</v>
      </c>
      <c r="M64" s="119">
        <f t="shared" si="3"/>
        <v>4.9359645116652002</v>
      </c>
      <c r="N64" s="119"/>
      <c r="O64" s="119"/>
      <c r="P64" s="119"/>
      <c r="Q64" s="44" t="s">
        <v>390</v>
      </c>
      <c r="R64" s="19" t="s">
        <v>395</v>
      </c>
      <c r="S64" s="49">
        <v>2035</v>
      </c>
      <c r="T64" s="46">
        <v>173.26069484181482</v>
      </c>
      <c r="U64" s="47">
        <v>0</v>
      </c>
      <c r="V64" s="47">
        <v>0</v>
      </c>
      <c r="W64" s="48">
        <v>0</v>
      </c>
      <c r="X64" s="57">
        <f t="shared" si="4"/>
        <v>173.26069484181482</v>
      </c>
      <c r="Y64" s="119">
        <f>NPV($Y$10,X55:X64)/((1-(1+$Y$10)^-10)/$Y$10)</f>
        <v>45.719428937923745</v>
      </c>
      <c r="Z64" s="19" t="s">
        <v>445</v>
      </c>
      <c r="AA64" s="119">
        <f t="shared" si="6"/>
        <v>21.81999011085151</v>
      </c>
      <c r="AB64" s="119">
        <f t="shared" si="7"/>
        <v>21.81999011085151</v>
      </c>
      <c r="AC64" s="119"/>
      <c r="AD64" s="119"/>
      <c r="AE64" s="119"/>
      <c r="AF64" s="119"/>
      <c r="AG64" s="119"/>
      <c r="AH64" s="119" t="s">
        <v>445</v>
      </c>
      <c r="AI64" s="119">
        <v>30</v>
      </c>
      <c r="AL64" s="19"/>
      <c r="AM64" s="155"/>
    </row>
    <row r="65" spans="1:39">
      <c r="A65" s="44"/>
      <c r="B65" s="19" t="s">
        <v>401</v>
      </c>
      <c r="C65" s="49"/>
      <c r="D65" s="46" t="s">
        <v>401</v>
      </c>
      <c r="E65" s="47" t="s">
        <v>401</v>
      </c>
      <c r="F65" s="47" t="s">
        <v>401</v>
      </c>
      <c r="G65" s="48" t="s">
        <v>401</v>
      </c>
      <c r="H65" s="57"/>
      <c r="I65" s="119"/>
      <c r="J65" s="119"/>
      <c r="K65" s="19" t="s">
        <v>446</v>
      </c>
      <c r="L65" s="119">
        <f t="shared" si="8"/>
        <v>89.55593000764992</v>
      </c>
      <c r="M65" s="119">
        <f t="shared" si="3"/>
        <v>8.955593000764992</v>
      </c>
      <c r="N65" s="119"/>
      <c r="O65" s="119"/>
      <c r="P65" s="119"/>
      <c r="Q65" s="44"/>
      <c r="R65" s="19" t="s">
        <v>401</v>
      </c>
      <c r="S65" s="49"/>
      <c r="T65" s="46"/>
      <c r="U65" s="47"/>
      <c r="V65" s="47"/>
      <c r="W65" s="48"/>
      <c r="X65" s="57">
        <f t="shared" si="4"/>
        <v>0</v>
      </c>
      <c r="Y65" s="119"/>
      <c r="Z65" s="19" t="s">
        <v>446</v>
      </c>
      <c r="AA65" s="119">
        <f t="shared" si="6"/>
        <v>16.982428978851278</v>
      </c>
      <c r="AB65" s="119">
        <f t="shared" si="7"/>
        <v>16.982428978851278</v>
      </c>
      <c r="AC65" s="119"/>
      <c r="AD65" s="119"/>
      <c r="AE65" s="119"/>
      <c r="AF65" s="119"/>
      <c r="AG65" s="119"/>
      <c r="AH65" s="119" t="s">
        <v>446</v>
      </c>
      <c r="AI65" s="119">
        <v>22.4</v>
      </c>
      <c r="AL65" s="19"/>
      <c r="AM65" s="155"/>
    </row>
    <row r="66" spans="1:39">
      <c r="A66" s="44" t="s">
        <v>390</v>
      </c>
      <c r="B66" s="19" t="s">
        <v>396</v>
      </c>
      <c r="C66" s="49">
        <v>2026</v>
      </c>
      <c r="D66" s="46">
        <v>0</v>
      </c>
      <c r="E66" s="47">
        <v>0</v>
      </c>
      <c r="F66" s="47">
        <v>0</v>
      </c>
      <c r="G66" s="48">
        <v>0</v>
      </c>
      <c r="H66" s="57">
        <f t="shared" si="5"/>
        <v>0</v>
      </c>
      <c r="I66" s="119"/>
      <c r="J66" s="119"/>
      <c r="K66" s="19" t="s">
        <v>447</v>
      </c>
      <c r="L66" s="119">
        <f t="shared" si="8"/>
        <v>86.268998520032071</v>
      </c>
      <c r="M66" s="119">
        <f t="shared" si="3"/>
        <v>8.6268998520032074</v>
      </c>
      <c r="N66" s="119"/>
      <c r="O66" s="119"/>
      <c r="P66" s="119"/>
      <c r="Q66" s="44" t="s">
        <v>390</v>
      </c>
      <c r="R66" s="19" t="s">
        <v>396</v>
      </c>
      <c r="S66" s="49">
        <v>2026</v>
      </c>
      <c r="T66" s="46">
        <v>0</v>
      </c>
      <c r="U66" s="47">
        <v>0</v>
      </c>
      <c r="V66" s="47">
        <v>0</v>
      </c>
      <c r="W66" s="48">
        <v>0</v>
      </c>
      <c r="X66" s="57">
        <f t="shared" si="4"/>
        <v>0</v>
      </c>
      <c r="Y66" s="119"/>
      <c r="Z66" s="19" t="s">
        <v>447</v>
      </c>
      <c r="AA66" s="119">
        <f t="shared" si="6"/>
        <v>81.072565061166884</v>
      </c>
      <c r="AB66" s="119">
        <f t="shared" si="7"/>
        <v>81.072565061166884</v>
      </c>
      <c r="AC66" s="119"/>
      <c r="AD66" s="119"/>
      <c r="AE66" s="119"/>
      <c r="AF66" s="119"/>
      <c r="AG66" s="119"/>
      <c r="AH66" s="119" t="s">
        <v>447</v>
      </c>
      <c r="AI66" s="119">
        <v>78</v>
      </c>
      <c r="AL66" s="19"/>
      <c r="AM66" s="155"/>
    </row>
    <row r="67" spans="1:39">
      <c r="A67" s="44" t="s">
        <v>390</v>
      </c>
      <c r="B67" s="19" t="s">
        <v>396</v>
      </c>
      <c r="C67" s="49">
        <v>2027</v>
      </c>
      <c r="D67" s="46">
        <v>0</v>
      </c>
      <c r="E67" s="47">
        <v>0</v>
      </c>
      <c r="F67" s="47">
        <v>0</v>
      </c>
      <c r="G67" s="48">
        <v>0</v>
      </c>
      <c r="H67" s="57">
        <f t="shared" si="5"/>
        <v>0</v>
      </c>
      <c r="I67" s="119"/>
      <c r="J67" s="119"/>
      <c r="K67" s="19" t="s">
        <v>448</v>
      </c>
      <c r="L67" s="119">
        <f t="shared" si="8"/>
        <v>42.379636914225095</v>
      </c>
      <c r="M67" s="119">
        <f t="shared" si="3"/>
        <v>4.2379636914225092</v>
      </c>
      <c r="N67" s="119"/>
      <c r="O67" s="119"/>
      <c r="P67" s="119"/>
      <c r="Q67" s="44" t="s">
        <v>390</v>
      </c>
      <c r="R67" s="19" t="s">
        <v>396</v>
      </c>
      <c r="S67" s="49">
        <v>2027</v>
      </c>
      <c r="T67" s="46">
        <v>0</v>
      </c>
      <c r="U67" s="47">
        <v>0</v>
      </c>
      <c r="V67" s="47">
        <v>0</v>
      </c>
      <c r="W67" s="48">
        <v>0</v>
      </c>
      <c r="X67" s="57">
        <f t="shared" si="4"/>
        <v>0</v>
      </c>
      <c r="Y67" s="119"/>
      <c r="Z67" s="19" t="s">
        <v>448</v>
      </c>
      <c r="AA67" s="119">
        <f t="shared" si="6"/>
        <v>30.108947139380639</v>
      </c>
      <c r="AB67" s="119">
        <f t="shared" si="7"/>
        <v>30.108947139380639</v>
      </c>
      <c r="AC67" s="119"/>
      <c r="AD67" s="119"/>
      <c r="AE67" s="119"/>
      <c r="AF67" s="119"/>
      <c r="AG67" s="119"/>
      <c r="AH67" s="119" t="s">
        <v>448</v>
      </c>
      <c r="AI67" s="119">
        <v>11.899999999999999</v>
      </c>
      <c r="AL67" s="19"/>
      <c r="AM67" s="155"/>
    </row>
    <row r="68" spans="1:39">
      <c r="A68" s="44" t="s">
        <v>390</v>
      </c>
      <c r="B68" s="19" t="s">
        <v>396</v>
      </c>
      <c r="C68" s="49">
        <v>2028</v>
      </c>
      <c r="D68" s="46">
        <v>0</v>
      </c>
      <c r="E68" s="47">
        <v>0</v>
      </c>
      <c r="F68" s="47">
        <v>0</v>
      </c>
      <c r="G68" s="48">
        <v>0</v>
      </c>
      <c r="H68" s="57">
        <f t="shared" si="5"/>
        <v>0</v>
      </c>
      <c r="I68" s="119"/>
      <c r="J68" s="119"/>
      <c r="K68" s="19" t="s">
        <v>449</v>
      </c>
      <c r="L68" s="119">
        <f t="shared" si="8"/>
        <v>232.29697886658863</v>
      </c>
      <c r="M68" s="119">
        <f t="shared" si="3"/>
        <v>23.229697886658862</v>
      </c>
      <c r="N68" s="119"/>
      <c r="O68" s="119"/>
      <c r="P68" s="119"/>
      <c r="Q68" s="44" t="s">
        <v>390</v>
      </c>
      <c r="R68" s="19" t="s">
        <v>396</v>
      </c>
      <c r="S68" s="49">
        <v>2028</v>
      </c>
      <c r="T68" s="46">
        <v>0</v>
      </c>
      <c r="U68" s="47">
        <v>0</v>
      </c>
      <c r="V68" s="47">
        <v>0</v>
      </c>
      <c r="W68" s="48">
        <v>0</v>
      </c>
      <c r="X68" s="57">
        <f t="shared" si="4"/>
        <v>0</v>
      </c>
      <c r="Y68" s="119"/>
      <c r="Z68" s="19" t="s">
        <v>449</v>
      </c>
      <c r="AA68" s="119">
        <f t="shared" si="6"/>
        <v>115.07881050903028</v>
      </c>
      <c r="AB68" s="119">
        <f t="shared" si="7"/>
        <v>115.07881050903028</v>
      </c>
      <c r="AC68" s="119"/>
      <c r="AD68" s="119"/>
      <c r="AE68" s="119"/>
      <c r="AF68" s="119"/>
      <c r="AG68" s="119"/>
      <c r="AH68" s="119" t="s">
        <v>449</v>
      </c>
      <c r="AI68" s="119">
        <v>31.9</v>
      </c>
      <c r="AL68" s="19"/>
      <c r="AM68" s="155"/>
    </row>
    <row r="69" spans="1:39">
      <c r="A69" s="44" t="s">
        <v>390</v>
      </c>
      <c r="B69" s="19" t="s">
        <v>396</v>
      </c>
      <c r="C69" s="49">
        <v>2029</v>
      </c>
      <c r="D69" s="46">
        <v>0</v>
      </c>
      <c r="E69" s="47">
        <v>0</v>
      </c>
      <c r="F69" s="47">
        <v>0</v>
      </c>
      <c r="G69" s="48">
        <v>0</v>
      </c>
      <c r="H69" s="57">
        <f t="shared" si="5"/>
        <v>0</v>
      </c>
      <c r="I69" s="119"/>
      <c r="J69" s="119"/>
      <c r="K69" s="19" t="s">
        <v>450</v>
      </c>
      <c r="L69" s="119">
        <f t="shared" si="8"/>
        <v>94.799975117573581</v>
      </c>
      <c r="M69" s="119">
        <f t="shared" si="3"/>
        <v>9.4799975117573574</v>
      </c>
      <c r="N69" s="119"/>
      <c r="O69" s="119"/>
      <c r="P69" s="119"/>
      <c r="Q69" s="44" t="s">
        <v>390</v>
      </c>
      <c r="R69" s="19" t="s">
        <v>396</v>
      </c>
      <c r="S69" s="49">
        <v>2029</v>
      </c>
      <c r="T69" s="46">
        <v>0</v>
      </c>
      <c r="U69" s="47">
        <v>0</v>
      </c>
      <c r="V69" s="47">
        <v>0</v>
      </c>
      <c r="W69" s="48">
        <v>0</v>
      </c>
      <c r="X69" s="57">
        <f t="shared" si="4"/>
        <v>0</v>
      </c>
      <c r="Y69" s="119"/>
      <c r="Z69" s="19" t="s">
        <v>450</v>
      </c>
      <c r="AA69" s="119">
        <f t="shared" si="6"/>
        <v>51.324687364331922</v>
      </c>
      <c r="AB69" s="119">
        <f t="shared" si="7"/>
        <v>51.324687364331922</v>
      </c>
      <c r="AC69" s="119"/>
      <c r="AD69" s="119"/>
      <c r="AE69" s="119"/>
      <c r="AF69" s="119"/>
      <c r="AG69" s="119"/>
      <c r="AH69" s="119" t="s">
        <v>450</v>
      </c>
      <c r="AI69" s="119">
        <v>21.625</v>
      </c>
      <c r="AL69" s="19"/>
      <c r="AM69" s="155"/>
    </row>
    <row r="70" spans="1:39">
      <c r="A70" s="44" t="s">
        <v>390</v>
      </c>
      <c r="B70" s="19" t="s">
        <v>396</v>
      </c>
      <c r="C70" s="49">
        <v>2030</v>
      </c>
      <c r="D70" s="46">
        <v>0</v>
      </c>
      <c r="E70" s="47">
        <v>0</v>
      </c>
      <c r="F70" s="47">
        <v>0</v>
      </c>
      <c r="G70" s="48">
        <v>0</v>
      </c>
      <c r="H70" s="57">
        <f t="shared" si="5"/>
        <v>0</v>
      </c>
      <c r="I70" s="119"/>
      <c r="J70" s="119"/>
      <c r="K70" s="19" t="s">
        <v>451</v>
      </c>
      <c r="L70" s="119">
        <f t="shared" si="8"/>
        <v>97.916992632356894</v>
      </c>
      <c r="M70" s="119">
        <f t="shared" si="3"/>
        <v>9.7916992632356887</v>
      </c>
      <c r="N70" s="119"/>
      <c r="O70" s="119"/>
      <c r="P70" s="119"/>
      <c r="Q70" s="44" t="s">
        <v>390</v>
      </c>
      <c r="R70" s="19" t="s">
        <v>396</v>
      </c>
      <c r="S70" s="49">
        <v>2030</v>
      </c>
      <c r="T70" s="46">
        <v>0</v>
      </c>
      <c r="U70" s="47">
        <v>0</v>
      </c>
      <c r="V70" s="47">
        <v>0</v>
      </c>
      <c r="W70" s="48">
        <v>0</v>
      </c>
      <c r="X70" s="57">
        <f t="shared" si="4"/>
        <v>0</v>
      </c>
      <c r="Y70" s="119"/>
      <c r="Z70" s="19" t="s">
        <v>451</v>
      </c>
      <c r="AA70" s="119">
        <f t="shared" si="6"/>
        <v>51.655680768065892</v>
      </c>
      <c r="AB70" s="119">
        <f t="shared" si="7"/>
        <v>51.655680768065892</v>
      </c>
      <c r="AC70" s="119"/>
      <c r="AD70" s="119"/>
      <c r="AE70" s="119"/>
      <c r="AF70" s="119"/>
      <c r="AG70" s="119"/>
      <c r="AH70" s="119" t="s">
        <v>451</v>
      </c>
      <c r="AI70" s="119">
        <v>35.599999999999994</v>
      </c>
      <c r="AL70" s="19"/>
      <c r="AM70" s="155"/>
    </row>
    <row r="71" spans="1:39">
      <c r="A71" s="44" t="s">
        <v>390</v>
      </c>
      <c r="B71" s="19" t="s">
        <v>396</v>
      </c>
      <c r="C71" s="49">
        <v>2031</v>
      </c>
      <c r="D71" s="46">
        <v>0</v>
      </c>
      <c r="E71" s="47">
        <v>0</v>
      </c>
      <c r="F71" s="47">
        <v>53.23469631112669</v>
      </c>
      <c r="G71" s="48">
        <v>0</v>
      </c>
      <c r="H71" s="57">
        <f t="shared" si="5"/>
        <v>37.999974493100595</v>
      </c>
      <c r="I71" s="119"/>
      <c r="J71" s="119"/>
      <c r="K71" s="19" t="s">
        <v>452</v>
      </c>
      <c r="L71" s="119">
        <f t="shared" si="8"/>
        <v>112.64089674033264</v>
      </c>
      <c r="M71" s="119">
        <f t="shared" si="3"/>
        <v>11.264089674033263</v>
      </c>
      <c r="N71" s="119"/>
      <c r="O71" s="119"/>
      <c r="P71" s="119"/>
      <c r="Q71" s="44" t="s">
        <v>390</v>
      </c>
      <c r="R71" s="19" t="s">
        <v>396</v>
      </c>
      <c r="S71" s="49">
        <v>2031</v>
      </c>
      <c r="T71" s="46">
        <v>0</v>
      </c>
      <c r="U71" s="47">
        <v>0</v>
      </c>
      <c r="V71" s="47">
        <v>53.23469631112669</v>
      </c>
      <c r="W71" s="48">
        <v>0</v>
      </c>
      <c r="X71" s="57">
        <f t="shared" si="4"/>
        <v>53.23469631112669</v>
      </c>
      <c r="Y71" s="119"/>
      <c r="Z71" s="19" t="s">
        <v>452</v>
      </c>
      <c r="AA71" s="119">
        <f t="shared" si="6"/>
        <v>41.183447050902821</v>
      </c>
      <c r="AB71" s="119">
        <f t="shared" si="7"/>
        <v>41.183447050902821</v>
      </c>
      <c r="AC71" s="119"/>
      <c r="AD71" s="119"/>
      <c r="AE71" s="119"/>
      <c r="AF71" s="119"/>
      <c r="AG71" s="119"/>
      <c r="AH71" s="119" t="s">
        <v>452</v>
      </c>
      <c r="AI71" s="119">
        <v>87</v>
      </c>
      <c r="AL71" s="19"/>
      <c r="AM71" s="155"/>
    </row>
    <row r="72" spans="1:39">
      <c r="A72" s="44" t="s">
        <v>390</v>
      </c>
      <c r="B72" s="19" t="s">
        <v>396</v>
      </c>
      <c r="C72" s="49">
        <v>2032</v>
      </c>
      <c r="D72" s="46">
        <v>0</v>
      </c>
      <c r="E72" s="47">
        <v>0</v>
      </c>
      <c r="F72" s="47">
        <v>105.28214748784019</v>
      </c>
      <c r="G72" s="48">
        <v>0</v>
      </c>
      <c r="H72" s="57">
        <f t="shared" si="5"/>
        <v>70.252367404278232</v>
      </c>
      <c r="I72" s="119"/>
      <c r="J72" s="119"/>
      <c r="K72" s="19" t="s">
        <v>453</v>
      </c>
      <c r="L72" s="119">
        <f t="shared" si="8"/>
        <v>57.619645351009247</v>
      </c>
      <c r="M72" s="119">
        <f t="shared" si="3"/>
        <v>5.7619645351009243</v>
      </c>
      <c r="N72" s="119"/>
      <c r="O72" s="119"/>
      <c r="P72" s="119"/>
      <c r="Q72" s="44" t="s">
        <v>390</v>
      </c>
      <c r="R72" s="19" t="s">
        <v>396</v>
      </c>
      <c r="S72" s="49">
        <v>2032</v>
      </c>
      <c r="T72" s="46">
        <v>0</v>
      </c>
      <c r="U72" s="47">
        <v>0</v>
      </c>
      <c r="V72" s="47">
        <v>159.58153772518941</v>
      </c>
      <c r="W72" s="48">
        <v>0</v>
      </c>
      <c r="X72" s="57">
        <f t="shared" si="4"/>
        <v>159.58153772518941</v>
      </c>
      <c r="Y72" s="119"/>
      <c r="Z72" s="19" t="s">
        <v>453</v>
      </c>
      <c r="AA72" s="119">
        <f t="shared" si="6"/>
        <v>17.408128315812423</v>
      </c>
      <c r="AB72" s="119">
        <f t="shared" si="7"/>
        <v>17.408128315812423</v>
      </c>
      <c r="AC72" s="119"/>
      <c r="AD72" s="119"/>
      <c r="AE72" s="119"/>
      <c r="AF72" s="119"/>
      <c r="AG72" s="119"/>
      <c r="AH72" s="119" t="s">
        <v>453</v>
      </c>
      <c r="AI72" s="119">
        <v>37</v>
      </c>
      <c r="AL72" s="19"/>
      <c r="AM72" s="155"/>
    </row>
    <row r="73" spans="1:39">
      <c r="A73" s="44" t="s">
        <v>390</v>
      </c>
      <c r="B73" s="19" t="s">
        <v>396</v>
      </c>
      <c r="C73" s="49">
        <v>2033</v>
      </c>
      <c r="D73" s="46">
        <v>0</v>
      </c>
      <c r="E73" s="47">
        <v>0</v>
      </c>
      <c r="F73" s="47">
        <v>230.12324559819217</v>
      </c>
      <c r="G73" s="48">
        <v>0</v>
      </c>
      <c r="H73" s="57">
        <f t="shared" si="5"/>
        <v>143.54379519438825</v>
      </c>
      <c r="I73" s="119"/>
      <c r="J73" s="119"/>
      <c r="K73" s="19" t="s">
        <v>454</v>
      </c>
      <c r="L73" s="119">
        <f t="shared" si="8"/>
        <v>54.784029500108041</v>
      </c>
      <c r="M73" s="119">
        <f t="shared" si="3"/>
        <v>5.4784029500108042</v>
      </c>
      <c r="N73" s="119"/>
      <c r="O73" s="119"/>
      <c r="P73" s="119"/>
      <c r="Q73" s="44" t="s">
        <v>390</v>
      </c>
      <c r="R73" s="19" t="s">
        <v>396</v>
      </c>
      <c r="S73" s="49">
        <v>2033</v>
      </c>
      <c r="T73" s="46">
        <v>0</v>
      </c>
      <c r="U73" s="47">
        <v>0</v>
      </c>
      <c r="V73" s="47">
        <v>392.89641407788537</v>
      </c>
      <c r="W73" s="48">
        <v>0</v>
      </c>
      <c r="X73" s="57">
        <f t="shared" si="4"/>
        <v>392.89641407788537</v>
      </c>
      <c r="Y73" s="119"/>
      <c r="Z73" s="19" t="s">
        <v>454</v>
      </c>
      <c r="AA73" s="119">
        <f t="shared" si="6"/>
        <v>38.92174564023594</v>
      </c>
      <c r="AB73" s="119">
        <f t="shared" si="7"/>
        <v>38.92174564023594</v>
      </c>
      <c r="AC73" s="119"/>
      <c r="AD73" s="119"/>
      <c r="AE73" s="119"/>
      <c r="AF73" s="119"/>
      <c r="AG73" s="119"/>
      <c r="AH73" s="119" t="s">
        <v>454</v>
      </c>
      <c r="AI73" s="119">
        <v>14</v>
      </c>
      <c r="AL73" s="19"/>
      <c r="AM73" s="155"/>
    </row>
    <row r="74" spans="1:39">
      <c r="A74" s="44" t="s">
        <v>390</v>
      </c>
      <c r="B74" s="19" t="s">
        <v>396</v>
      </c>
      <c r="C74" s="49">
        <v>2034</v>
      </c>
      <c r="D74" s="46">
        <v>0</v>
      </c>
      <c r="E74" s="47">
        <v>0</v>
      </c>
      <c r="F74" s="47">
        <v>0</v>
      </c>
      <c r="G74" s="48">
        <v>0</v>
      </c>
      <c r="H74" s="57">
        <f t="shared" si="5"/>
        <v>0</v>
      </c>
      <c r="I74" s="119"/>
      <c r="J74" s="119"/>
      <c r="K74" s="19" t="s">
        <v>455</v>
      </c>
      <c r="L74" s="119">
        <f t="shared" si="8"/>
        <v>32.794176294846089</v>
      </c>
      <c r="M74" s="119">
        <f t="shared" si="3"/>
        <v>3.2794176294846089</v>
      </c>
      <c r="N74" s="119"/>
      <c r="O74" s="119"/>
      <c r="P74" s="119"/>
      <c r="Q74" s="44" t="s">
        <v>390</v>
      </c>
      <c r="R74" s="19" t="s">
        <v>396</v>
      </c>
      <c r="S74" s="49">
        <v>2034</v>
      </c>
      <c r="T74" s="46">
        <v>0</v>
      </c>
      <c r="U74" s="47">
        <v>0</v>
      </c>
      <c r="V74" s="47">
        <v>400.75434235944306</v>
      </c>
      <c r="W74" s="48">
        <v>0</v>
      </c>
      <c r="X74" s="57">
        <f t="shared" si="4"/>
        <v>400.75434235944306</v>
      </c>
      <c r="Y74" s="119"/>
      <c r="Z74" s="19" t="s">
        <v>455</v>
      </c>
      <c r="AA74" s="119">
        <f t="shared" si="6"/>
        <v>23.298881076765948</v>
      </c>
      <c r="AB74" s="119">
        <f t="shared" si="7"/>
        <v>23.298881076765948</v>
      </c>
      <c r="AC74" s="119"/>
      <c r="AD74" s="119"/>
      <c r="AE74" s="119"/>
      <c r="AF74" s="119"/>
      <c r="AG74" s="119"/>
      <c r="AH74" s="119" t="s">
        <v>455</v>
      </c>
      <c r="AI74" s="119">
        <v>14</v>
      </c>
      <c r="AL74" s="19"/>
      <c r="AM74" s="155"/>
    </row>
    <row r="75" spans="1:39">
      <c r="A75" s="44" t="s">
        <v>390</v>
      </c>
      <c r="B75" s="19" t="s">
        <v>396</v>
      </c>
      <c r="C75" s="49">
        <v>2035</v>
      </c>
      <c r="D75" s="46">
        <v>0</v>
      </c>
      <c r="E75" s="47">
        <v>0</v>
      </c>
      <c r="F75" s="47">
        <v>0</v>
      </c>
      <c r="G75" s="48">
        <v>0</v>
      </c>
      <c r="H75" s="57">
        <f t="shared" si="5"/>
        <v>0</v>
      </c>
      <c r="I75" s="119"/>
      <c r="J75" s="119"/>
      <c r="K75" s="19" t="s">
        <v>456</v>
      </c>
      <c r="L75" s="119">
        <f t="shared" si="8"/>
        <v>95.338510719239224</v>
      </c>
      <c r="M75" s="119">
        <f t="shared" si="3"/>
        <v>9.5338510719239231</v>
      </c>
      <c r="N75" s="119"/>
      <c r="O75" s="119"/>
      <c r="P75" s="119"/>
      <c r="Q75" s="44" t="s">
        <v>390</v>
      </c>
      <c r="R75" s="19" t="s">
        <v>396</v>
      </c>
      <c r="S75" s="49">
        <v>2035</v>
      </c>
      <c r="T75" s="46">
        <v>0</v>
      </c>
      <c r="U75" s="47">
        <v>0</v>
      </c>
      <c r="V75" s="47">
        <v>408.76942920663191</v>
      </c>
      <c r="W75" s="48">
        <v>0</v>
      </c>
      <c r="X75" s="57">
        <f t="shared" si="4"/>
        <v>408.76942920663191</v>
      </c>
      <c r="Y75" s="119">
        <f>NPV($Y$10,X66:X75)/((1-(1+$Y$10)^-10)/$Y$10)</f>
        <v>112.47456618302658</v>
      </c>
      <c r="Z75" s="19" t="s">
        <v>456</v>
      </c>
      <c r="AA75" s="119">
        <f t="shared" ref="AA75:AA89" si="9">SUMIFS(Y$11:Y$900,R$11:R$900,Z75)</f>
        <v>67.733996527689115</v>
      </c>
      <c r="AB75" s="119">
        <f t="shared" ref="AB75:AB89" si="10">AA75</f>
        <v>67.733996527689115</v>
      </c>
      <c r="AC75" s="119"/>
      <c r="AD75" s="119"/>
      <c r="AE75" s="119"/>
      <c r="AF75" s="119"/>
      <c r="AG75" s="119"/>
      <c r="AH75" s="119" t="s">
        <v>456</v>
      </c>
      <c r="AI75" s="119">
        <v>0.8</v>
      </c>
      <c r="AL75" s="19"/>
      <c r="AM75" s="155"/>
    </row>
    <row r="76" spans="1:39">
      <c r="A76" s="44"/>
      <c r="B76" s="19" t="s">
        <v>401</v>
      </c>
      <c r="C76" s="49"/>
      <c r="D76" s="42" t="s">
        <v>401</v>
      </c>
      <c r="E76" s="19" t="s">
        <v>401</v>
      </c>
      <c r="F76" s="19" t="s">
        <v>401</v>
      </c>
      <c r="G76" s="43" t="s">
        <v>401</v>
      </c>
      <c r="H76" s="57">
        <f t="shared" si="5"/>
        <v>0</v>
      </c>
      <c r="I76" s="119"/>
      <c r="J76" s="119"/>
      <c r="K76" s="19" t="s">
        <v>457</v>
      </c>
      <c r="L76" s="119">
        <f t="shared" si="8"/>
        <v>25.120903011149029</v>
      </c>
      <c r="M76" s="119">
        <f t="shared" ref="M76:M91" si="11">L76/10</f>
        <v>2.5120903011149029</v>
      </c>
      <c r="N76" s="119"/>
      <c r="O76" s="119"/>
      <c r="P76" s="119"/>
      <c r="Q76" s="44"/>
      <c r="R76" s="19" t="s">
        <v>401</v>
      </c>
      <c r="S76" s="49"/>
      <c r="T76" s="42"/>
      <c r="U76" s="19"/>
      <c r="V76" s="19"/>
      <c r="W76" s="43"/>
      <c r="X76" s="57">
        <f t="shared" ref="X76:X139" si="12">SUM(T76:W76)</f>
        <v>0</v>
      </c>
      <c r="Y76" s="119"/>
      <c r="Z76" s="19" t="s">
        <v>457</v>
      </c>
      <c r="AA76" s="119">
        <f t="shared" si="9"/>
        <v>17.847343581235684</v>
      </c>
      <c r="AB76" s="119">
        <f t="shared" si="10"/>
        <v>17.847343581235684</v>
      </c>
      <c r="AC76" s="119"/>
      <c r="AD76" s="119"/>
      <c r="AE76" s="119"/>
      <c r="AF76" s="119"/>
      <c r="AG76" s="119"/>
      <c r="AH76" s="119" t="s">
        <v>457</v>
      </c>
      <c r="AI76" s="119">
        <v>1.5</v>
      </c>
      <c r="AL76" s="19"/>
      <c r="AM76" s="155"/>
    </row>
    <row r="77" spans="1:39">
      <c r="A77" s="44" t="s">
        <v>390</v>
      </c>
      <c r="B77" s="19" t="s">
        <v>397</v>
      </c>
      <c r="C77" s="49">
        <v>2026</v>
      </c>
      <c r="D77" s="46">
        <v>0</v>
      </c>
      <c r="E77" s="47">
        <v>0</v>
      </c>
      <c r="F77" s="47">
        <v>0</v>
      </c>
      <c r="G77" s="48">
        <v>0</v>
      </c>
      <c r="H77" s="57">
        <f t="shared" ref="H77:H140" si="13">SUM(D77:G77)/((1+$L$7)^(C77-C$11))</f>
        <v>0</v>
      </c>
      <c r="I77" s="119"/>
      <c r="J77" s="119"/>
      <c r="K77" s="19" t="s">
        <v>458</v>
      </c>
      <c r="L77" s="119">
        <f t="shared" si="8"/>
        <v>240.45049573430919</v>
      </c>
      <c r="M77" s="119">
        <f t="shared" si="11"/>
        <v>24.045049573430919</v>
      </c>
      <c r="N77" s="119"/>
      <c r="O77" s="119"/>
      <c r="P77" s="119"/>
      <c r="Q77" s="44" t="s">
        <v>390</v>
      </c>
      <c r="R77" s="19" t="s">
        <v>397</v>
      </c>
      <c r="S77" s="49">
        <v>2026</v>
      </c>
      <c r="T77" s="46">
        <v>0</v>
      </c>
      <c r="U77" s="47">
        <v>0</v>
      </c>
      <c r="V77" s="47">
        <v>0</v>
      </c>
      <c r="W77" s="48">
        <v>0</v>
      </c>
      <c r="X77" s="57">
        <f t="shared" si="12"/>
        <v>0</v>
      </c>
      <c r="Y77" s="119"/>
      <c r="Z77" s="19" t="s">
        <v>458</v>
      </c>
      <c r="AA77" s="119">
        <f t="shared" si="9"/>
        <v>45.596460964546722</v>
      </c>
      <c r="AB77" s="119">
        <f t="shared" si="10"/>
        <v>45.596460964546722</v>
      </c>
      <c r="AC77" s="119"/>
      <c r="AD77" s="119"/>
      <c r="AE77" s="119"/>
      <c r="AF77" s="119"/>
      <c r="AG77" s="119"/>
      <c r="AH77" s="119" t="s">
        <v>458</v>
      </c>
      <c r="AI77" s="119">
        <v>74</v>
      </c>
      <c r="AL77" s="19"/>
      <c r="AM77" s="155"/>
    </row>
    <row r="78" spans="1:39">
      <c r="A78" s="44" t="s">
        <v>390</v>
      </c>
      <c r="B78" s="19" t="s">
        <v>397</v>
      </c>
      <c r="C78" s="49">
        <v>2027</v>
      </c>
      <c r="D78" s="46">
        <v>0</v>
      </c>
      <c r="E78" s="47">
        <v>0</v>
      </c>
      <c r="F78" s="47">
        <v>0</v>
      </c>
      <c r="G78" s="48">
        <v>0</v>
      </c>
      <c r="H78" s="57">
        <f t="shared" si="13"/>
        <v>0</v>
      </c>
      <c r="I78" s="119"/>
      <c r="J78" s="119"/>
      <c r="K78" s="19" t="s">
        <v>459</v>
      </c>
      <c r="L78" s="119">
        <f t="shared" si="8"/>
        <v>182.36843928830527</v>
      </c>
      <c r="M78" s="119">
        <f t="shared" si="11"/>
        <v>18.236843928830528</v>
      </c>
      <c r="N78" s="119"/>
      <c r="O78" s="119"/>
      <c r="P78" s="119"/>
      <c r="Q78" s="44" t="s">
        <v>390</v>
      </c>
      <c r="R78" s="19" t="s">
        <v>397</v>
      </c>
      <c r="S78" s="49">
        <v>2027</v>
      </c>
      <c r="T78" s="46">
        <v>0</v>
      </c>
      <c r="U78" s="47">
        <v>0</v>
      </c>
      <c r="V78" s="47">
        <v>0</v>
      </c>
      <c r="W78" s="48">
        <v>0</v>
      </c>
      <c r="X78" s="57">
        <f t="shared" si="12"/>
        <v>0</v>
      </c>
      <c r="Y78" s="119"/>
      <c r="Z78" s="19" t="s">
        <v>459</v>
      </c>
      <c r="AA78" s="119">
        <f t="shared" si="9"/>
        <v>34.582400829660784</v>
      </c>
      <c r="AB78" s="119">
        <f t="shared" si="10"/>
        <v>34.582400829660784</v>
      </c>
      <c r="AC78" s="119"/>
      <c r="AD78" s="119"/>
      <c r="AE78" s="119"/>
      <c r="AF78" s="119"/>
      <c r="AG78" s="119"/>
      <c r="AH78" s="119" t="s">
        <v>459</v>
      </c>
      <c r="AI78" s="119">
        <v>11</v>
      </c>
      <c r="AL78" s="19"/>
      <c r="AM78" s="155"/>
    </row>
    <row r="79" spans="1:39">
      <c r="A79" s="44" t="s">
        <v>390</v>
      </c>
      <c r="B79" s="19" t="s">
        <v>397</v>
      </c>
      <c r="C79" s="49">
        <v>2028</v>
      </c>
      <c r="D79" s="46">
        <v>0</v>
      </c>
      <c r="E79" s="47">
        <v>0</v>
      </c>
      <c r="F79" s="47">
        <v>0</v>
      </c>
      <c r="G79" s="48">
        <v>0</v>
      </c>
      <c r="H79" s="57">
        <f t="shared" si="13"/>
        <v>0</v>
      </c>
      <c r="I79" s="119"/>
      <c r="J79" s="119"/>
      <c r="K79" s="19" t="s">
        <v>460</v>
      </c>
      <c r="L79" s="119">
        <f t="shared" si="8"/>
        <v>159.87822052195361</v>
      </c>
      <c r="M79" s="119">
        <f t="shared" si="11"/>
        <v>15.98782205219536</v>
      </c>
      <c r="N79" s="119"/>
      <c r="O79" s="119"/>
      <c r="P79" s="119"/>
      <c r="Q79" s="44" t="s">
        <v>390</v>
      </c>
      <c r="R79" s="19" t="s">
        <v>397</v>
      </c>
      <c r="S79" s="49">
        <v>2028</v>
      </c>
      <c r="T79" s="46">
        <v>0</v>
      </c>
      <c r="U79" s="47">
        <v>0</v>
      </c>
      <c r="V79" s="47">
        <v>0</v>
      </c>
      <c r="W79" s="48">
        <v>0</v>
      </c>
      <c r="X79" s="57">
        <f t="shared" si="12"/>
        <v>0</v>
      </c>
      <c r="Y79" s="119"/>
      <c r="Z79" s="19" t="s">
        <v>460</v>
      </c>
      <c r="AA79" s="119">
        <f t="shared" si="9"/>
        <v>30.317596222240926</v>
      </c>
      <c r="AB79" s="119">
        <f t="shared" si="10"/>
        <v>30.317596222240926</v>
      </c>
      <c r="AC79" s="119"/>
      <c r="AD79" s="119"/>
      <c r="AE79" s="119"/>
      <c r="AF79" s="119"/>
      <c r="AG79" s="119"/>
      <c r="AH79" s="119" t="s">
        <v>460</v>
      </c>
      <c r="AI79" s="119">
        <v>8</v>
      </c>
      <c r="AL79" s="19"/>
      <c r="AM79" s="155"/>
    </row>
    <row r="80" spans="1:39">
      <c r="A80" s="44" t="s">
        <v>390</v>
      </c>
      <c r="B80" s="19" t="s">
        <v>397</v>
      </c>
      <c r="C80" s="49">
        <v>2029</v>
      </c>
      <c r="D80" s="46">
        <v>0</v>
      </c>
      <c r="E80" s="47">
        <v>0</v>
      </c>
      <c r="F80" s="47">
        <v>0</v>
      </c>
      <c r="G80" s="48">
        <v>0</v>
      </c>
      <c r="H80" s="57">
        <f t="shared" si="13"/>
        <v>0</v>
      </c>
      <c r="I80" s="119"/>
      <c r="J80" s="119"/>
      <c r="K80" s="19" t="s">
        <v>461</v>
      </c>
      <c r="L80" s="119">
        <f t="shared" si="8"/>
        <v>58.854687054692015</v>
      </c>
      <c r="M80" s="119">
        <f t="shared" si="11"/>
        <v>5.8854687054692016</v>
      </c>
      <c r="N80" s="119"/>
      <c r="O80" s="119"/>
      <c r="P80" s="119"/>
      <c r="Q80" s="44" t="s">
        <v>390</v>
      </c>
      <c r="R80" s="19" t="s">
        <v>397</v>
      </c>
      <c r="S80" s="49">
        <v>2029</v>
      </c>
      <c r="T80" s="46">
        <v>0</v>
      </c>
      <c r="U80" s="47">
        <v>0</v>
      </c>
      <c r="V80" s="47">
        <v>0</v>
      </c>
      <c r="W80" s="48">
        <v>0</v>
      </c>
      <c r="X80" s="57">
        <f t="shared" si="12"/>
        <v>0</v>
      </c>
      <c r="Y80" s="119"/>
      <c r="Z80" s="19" t="s">
        <v>461</v>
      </c>
      <c r="AA80" s="119">
        <f t="shared" si="9"/>
        <v>41.813776390323611</v>
      </c>
      <c r="AB80" s="119">
        <f t="shared" si="10"/>
        <v>41.813776390323611</v>
      </c>
      <c r="AC80" s="119"/>
      <c r="AD80" s="119"/>
      <c r="AE80" s="119"/>
      <c r="AF80" s="119"/>
      <c r="AG80" s="119"/>
      <c r="AH80" s="119" t="s">
        <v>461</v>
      </c>
      <c r="AI80" s="119">
        <v>0.8</v>
      </c>
      <c r="AL80" s="19"/>
      <c r="AM80" s="155"/>
    </row>
    <row r="81" spans="1:39">
      <c r="A81" s="44" t="s">
        <v>390</v>
      </c>
      <c r="B81" s="19" t="s">
        <v>397</v>
      </c>
      <c r="C81" s="49">
        <v>2030</v>
      </c>
      <c r="D81" s="46">
        <v>0</v>
      </c>
      <c r="E81" s="47">
        <v>0</v>
      </c>
      <c r="F81" s="47">
        <v>0</v>
      </c>
      <c r="G81" s="48">
        <v>10.575925614734972</v>
      </c>
      <c r="H81" s="57">
        <f t="shared" si="13"/>
        <v>8.0758679098007793</v>
      </c>
      <c r="I81" s="119"/>
      <c r="J81" s="119"/>
      <c r="K81" s="19" t="s">
        <v>462</v>
      </c>
      <c r="L81" s="119">
        <f t="shared" si="8"/>
        <v>79.939110260976804</v>
      </c>
      <c r="M81" s="119">
        <f t="shared" si="11"/>
        <v>7.9939110260976802</v>
      </c>
      <c r="N81" s="119"/>
      <c r="O81" s="119"/>
      <c r="P81" s="119"/>
      <c r="Q81" s="44" t="s">
        <v>390</v>
      </c>
      <c r="R81" s="19" t="s">
        <v>397</v>
      </c>
      <c r="S81" s="49">
        <v>2030</v>
      </c>
      <c r="T81" s="46">
        <v>0</v>
      </c>
      <c r="U81" s="47">
        <v>0</v>
      </c>
      <c r="V81" s="47">
        <v>0</v>
      </c>
      <c r="W81" s="48">
        <v>10.575925614734972</v>
      </c>
      <c r="X81" s="57">
        <f t="shared" si="12"/>
        <v>10.575925614734972</v>
      </c>
      <c r="Y81" s="119"/>
      <c r="Z81" s="19" t="s">
        <v>462</v>
      </c>
      <c r="AA81" s="119">
        <f t="shared" si="9"/>
        <v>15.158798111120463</v>
      </c>
      <c r="AB81" s="119">
        <f t="shared" si="10"/>
        <v>15.158798111120463</v>
      </c>
      <c r="AC81" s="119"/>
      <c r="AD81" s="119"/>
      <c r="AE81" s="119"/>
      <c r="AF81" s="119"/>
      <c r="AG81" s="119"/>
      <c r="AH81" s="119" t="s">
        <v>462</v>
      </c>
      <c r="AI81" s="119">
        <v>16</v>
      </c>
      <c r="AL81" s="19"/>
      <c r="AM81" s="155"/>
    </row>
    <row r="82" spans="1:39">
      <c r="A82" s="44" t="s">
        <v>390</v>
      </c>
      <c r="B82" s="19" t="s">
        <v>397</v>
      </c>
      <c r="C82" s="49">
        <v>2031</v>
      </c>
      <c r="D82" s="46">
        <v>0</v>
      </c>
      <c r="E82" s="47">
        <v>0</v>
      </c>
      <c r="F82" s="47">
        <v>55.952012596149395</v>
      </c>
      <c r="G82" s="48">
        <v>37.897776181846382</v>
      </c>
      <c r="H82" s="57">
        <f t="shared" si="13"/>
        <v>66.991827264379836</v>
      </c>
      <c r="I82" s="119"/>
      <c r="J82" s="119"/>
      <c r="K82" s="19" t="s">
        <v>463</v>
      </c>
      <c r="L82" s="119">
        <f t="shared" si="8"/>
        <v>58.485505311118317</v>
      </c>
      <c r="M82" s="119">
        <f t="shared" si="11"/>
        <v>5.8485505311118313</v>
      </c>
      <c r="N82" s="119"/>
      <c r="O82" s="119"/>
      <c r="P82" s="119"/>
      <c r="Q82" s="44" t="s">
        <v>390</v>
      </c>
      <c r="R82" s="19" t="s">
        <v>397</v>
      </c>
      <c r="S82" s="49">
        <v>2031</v>
      </c>
      <c r="T82" s="46">
        <v>0</v>
      </c>
      <c r="U82" s="47">
        <v>0</v>
      </c>
      <c r="V82" s="47">
        <v>55.952012596149395</v>
      </c>
      <c r="W82" s="48">
        <v>48.685220308876055</v>
      </c>
      <c r="X82" s="57">
        <f t="shared" si="12"/>
        <v>104.63723290502546</v>
      </c>
      <c r="Y82" s="119"/>
      <c r="Z82" s="19" t="s">
        <v>463</v>
      </c>
      <c r="AA82" s="119">
        <f t="shared" si="9"/>
        <v>11.090565863739613</v>
      </c>
      <c r="AB82" s="119">
        <f t="shared" si="10"/>
        <v>11.090565863739613</v>
      </c>
      <c r="AC82" s="119"/>
      <c r="AD82" s="119"/>
      <c r="AE82" s="119"/>
      <c r="AF82" s="119"/>
      <c r="AG82" s="119"/>
      <c r="AH82" s="119" t="s">
        <v>463</v>
      </c>
      <c r="AI82" s="119">
        <v>34.299999999999997</v>
      </c>
      <c r="AL82" s="19"/>
      <c r="AM82" s="155"/>
    </row>
    <row r="83" spans="1:39">
      <c r="A83" s="44" t="s">
        <v>390</v>
      </c>
      <c r="B83" s="19" t="s">
        <v>397</v>
      </c>
      <c r="C83" s="49">
        <v>2032</v>
      </c>
      <c r="D83" s="46">
        <v>0</v>
      </c>
      <c r="E83" s="47">
        <v>0</v>
      </c>
      <c r="F83" s="47">
        <v>110.6386607758546</v>
      </c>
      <c r="G83" s="48">
        <v>94.496774718419871</v>
      </c>
      <c r="H83" s="57">
        <f t="shared" si="13"/>
        <v>136.88218112804785</v>
      </c>
      <c r="I83" s="119"/>
      <c r="J83" s="119"/>
      <c r="K83" s="19" t="s">
        <v>464</v>
      </c>
      <c r="L83" s="119">
        <f t="shared" si="8"/>
        <v>72.016602607054693</v>
      </c>
      <c r="M83" s="119">
        <f t="shared" si="11"/>
        <v>7.2016602607054692</v>
      </c>
      <c r="N83" s="119"/>
      <c r="O83" s="119"/>
      <c r="P83" s="119"/>
      <c r="Q83" s="44" t="s">
        <v>390</v>
      </c>
      <c r="R83" s="19" t="s">
        <v>397</v>
      </c>
      <c r="S83" s="49">
        <v>2032</v>
      </c>
      <c r="T83" s="46">
        <v>0</v>
      </c>
      <c r="U83" s="47">
        <v>0</v>
      </c>
      <c r="V83" s="47">
        <v>167.70971362392697</v>
      </c>
      <c r="W83" s="48">
        <v>144.15569943347344</v>
      </c>
      <c r="X83" s="57">
        <f t="shared" si="12"/>
        <v>311.86541305740042</v>
      </c>
      <c r="Y83" s="119"/>
      <c r="Z83" s="19" t="s">
        <v>464</v>
      </c>
      <c r="AA83" s="119">
        <f t="shared" si="9"/>
        <v>61.206739026086616</v>
      </c>
      <c r="AB83" s="119">
        <f t="shared" si="10"/>
        <v>61.206739026086616</v>
      </c>
      <c r="AC83" s="119"/>
      <c r="AD83" s="119"/>
      <c r="AE83" s="119"/>
      <c r="AF83" s="119"/>
      <c r="AG83" s="119"/>
      <c r="AH83" s="119" t="s">
        <v>464</v>
      </c>
      <c r="AI83" s="119">
        <v>50</v>
      </c>
      <c r="AL83" s="19"/>
      <c r="AM83" s="155"/>
    </row>
    <row r="84" spans="1:39">
      <c r="A84" s="44" t="s">
        <v>390</v>
      </c>
      <c r="B84" s="19" t="s">
        <v>397</v>
      </c>
      <c r="C84" s="49">
        <v>2033</v>
      </c>
      <c r="D84" s="46">
        <v>0</v>
      </c>
      <c r="E84" s="47">
        <v>0</v>
      </c>
      <c r="F84" s="47">
        <v>241.83394028765505</v>
      </c>
      <c r="G84" s="48">
        <v>133.24252839640397</v>
      </c>
      <c r="H84" s="57">
        <f t="shared" si="13"/>
        <v>233.96115269913398</v>
      </c>
      <c r="I84" s="119"/>
      <c r="J84" s="119"/>
      <c r="K84" s="19" t="s">
        <v>465</v>
      </c>
      <c r="L84" s="119">
        <f t="shared" si="8"/>
        <v>307.10529287429324</v>
      </c>
      <c r="M84" s="119">
        <f t="shared" si="11"/>
        <v>30.710529287429324</v>
      </c>
      <c r="N84" s="119"/>
      <c r="O84" s="119"/>
      <c r="P84" s="119"/>
      <c r="Q84" s="44" t="s">
        <v>390</v>
      </c>
      <c r="R84" s="19" t="s">
        <v>397</v>
      </c>
      <c r="S84" s="49">
        <v>2033</v>
      </c>
      <c r="T84" s="46">
        <v>0</v>
      </c>
      <c r="U84" s="47">
        <v>0</v>
      </c>
      <c r="V84" s="47">
        <v>412.89784818406054</v>
      </c>
      <c r="W84" s="48">
        <v>280.28134181854688</v>
      </c>
      <c r="X84" s="57">
        <f t="shared" si="12"/>
        <v>693.17919000260736</v>
      </c>
      <c r="Y84" s="119"/>
      <c r="Z84" s="19" t="s">
        <v>465</v>
      </c>
      <c r="AA84" s="119">
        <f t="shared" si="9"/>
        <v>167.59646817188568</v>
      </c>
      <c r="AB84" s="119">
        <f t="shared" si="10"/>
        <v>167.59646817188568</v>
      </c>
      <c r="AC84" s="119"/>
      <c r="AD84" s="119"/>
      <c r="AE84" s="119"/>
      <c r="AF84" s="119"/>
      <c r="AG84" s="119"/>
      <c r="AH84" s="119" t="s">
        <v>465</v>
      </c>
      <c r="AI84" s="119">
        <v>5.6</v>
      </c>
      <c r="AL84" s="19"/>
      <c r="AM84" s="155"/>
    </row>
    <row r="85" spans="1:39">
      <c r="A85" s="44" t="s">
        <v>390</v>
      </c>
      <c r="B85" s="19" t="s">
        <v>397</v>
      </c>
      <c r="C85" s="49">
        <v>2034</v>
      </c>
      <c r="D85" s="46">
        <v>0</v>
      </c>
      <c r="E85" s="47">
        <v>0</v>
      </c>
      <c r="F85" s="47">
        <v>0</v>
      </c>
      <c r="G85" s="48">
        <v>68.529446187230448</v>
      </c>
      <c r="H85" s="57">
        <f t="shared" si="13"/>
        <v>39.959391012151663</v>
      </c>
      <c r="I85" s="119"/>
      <c r="J85" s="119"/>
      <c r="K85" s="19" t="s">
        <v>466</v>
      </c>
      <c r="L85" s="119">
        <f t="shared" si="8"/>
        <v>89.55593000764992</v>
      </c>
      <c r="M85" s="119">
        <f t="shared" si="11"/>
        <v>8.955593000764992</v>
      </c>
      <c r="N85" s="119"/>
      <c r="O85" s="119"/>
      <c r="P85" s="119"/>
      <c r="Q85" s="44" t="s">
        <v>390</v>
      </c>
      <c r="R85" s="19" t="s">
        <v>397</v>
      </c>
      <c r="S85" s="49">
        <v>2034</v>
      </c>
      <c r="T85" s="46">
        <v>0</v>
      </c>
      <c r="U85" s="47">
        <v>0</v>
      </c>
      <c r="V85" s="47">
        <v>421.15580514774177</v>
      </c>
      <c r="W85" s="48">
        <v>354.4164148421483</v>
      </c>
      <c r="X85" s="57">
        <f t="shared" si="12"/>
        <v>775.57221998989007</v>
      </c>
      <c r="Y85" s="119"/>
      <c r="Z85" s="19" t="s">
        <v>466</v>
      </c>
      <c r="AA85" s="119">
        <f t="shared" si="9"/>
        <v>16.982428978851278</v>
      </c>
      <c r="AB85" s="119">
        <f t="shared" si="10"/>
        <v>16.982428978851278</v>
      </c>
      <c r="AC85" s="119"/>
      <c r="AD85" s="119"/>
      <c r="AE85" s="119"/>
      <c r="AF85" s="119"/>
      <c r="AG85" s="119"/>
      <c r="AH85" s="119" t="s">
        <v>466</v>
      </c>
      <c r="AI85" s="119">
        <v>22.4</v>
      </c>
      <c r="AL85" s="19"/>
      <c r="AM85" s="155"/>
    </row>
    <row r="86" spans="1:39">
      <c r="A86" s="44" t="s">
        <v>390</v>
      </c>
      <c r="B86" s="19" t="s">
        <v>397</v>
      </c>
      <c r="C86" s="49">
        <v>2035</v>
      </c>
      <c r="D86" s="46">
        <v>0</v>
      </c>
      <c r="E86" s="47">
        <v>0</v>
      </c>
      <c r="F86" s="47">
        <v>0</v>
      </c>
      <c r="G86" s="48">
        <v>0</v>
      </c>
      <c r="H86" s="57">
        <f t="shared" si="13"/>
        <v>0</v>
      </c>
      <c r="I86" s="119"/>
      <c r="J86" s="119"/>
      <c r="K86" s="19" t="s">
        <v>467</v>
      </c>
      <c r="L86" s="119">
        <f t="shared" si="8"/>
        <v>89.55593000764992</v>
      </c>
      <c r="M86" s="119">
        <f t="shared" si="11"/>
        <v>8.955593000764992</v>
      </c>
      <c r="N86" s="119"/>
      <c r="O86" s="119"/>
      <c r="P86" s="119"/>
      <c r="Q86" s="44" t="s">
        <v>390</v>
      </c>
      <c r="R86" s="19" t="s">
        <v>397</v>
      </c>
      <c r="S86" s="49">
        <v>2035</v>
      </c>
      <c r="T86" s="46">
        <v>0</v>
      </c>
      <c r="U86" s="47">
        <v>0</v>
      </c>
      <c r="V86" s="47">
        <v>429.57892125069662</v>
      </c>
      <c r="W86" s="48">
        <v>361.50474313899127</v>
      </c>
      <c r="X86" s="57">
        <f t="shared" si="12"/>
        <v>791.0836643896879</v>
      </c>
      <c r="Y86" s="119">
        <f>NPV($Y$10,X77:X86)/((1-(1+$Y$10)^-10)/$Y$10)</f>
        <v>213.59406194671172</v>
      </c>
      <c r="Z86" s="19" t="s">
        <v>467</v>
      </c>
      <c r="AA86" s="119">
        <f t="shared" si="9"/>
        <v>16.982428978851278</v>
      </c>
      <c r="AB86" s="119">
        <f t="shared" si="10"/>
        <v>16.982428978851278</v>
      </c>
      <c r="AC86" s="119"/>
      <c r="AD86" s="119"/>
      <c r="AE86" s="119"/>
      <c r="AF86" s="119"/>
      <c r="AG86" s="119"/>
      <c r="AH86" s="119" t="s">
        <v>467</v>
      </c>
      <c r="AI86" s="119">
        <v>22.4</v>
      </c>
      <c r="AL86" s="19"/>
      <c r="AM86" s="155"/>
    </row>
    <row r="87" spans="1:39">
      <c r="A87" s="44"/>
      <c r="B87" s="19" t="s">
        <v>401</v>
      </c>
      <c r="C87" s="49"/>
      <c r="D87" s="46" t="s">
        <v>401</v>
      </c>
      <c r="E87" s="47" t="s">
        <v>401</v>
      </c>
      <c r="F87" s="47" t="s">
        <v>401</v>
      </c>
      <c r="G87" s="48" t="s">
        <v>401</v>
      </c>
      <c r="H87" s="57">
        <f t="shared" si="13"/>
        <v>0</v>
      </c>
      <c r="I87" s="119"/>
      <c r="J87" s="119"/>
      <c r="K87" s="19" t="s">
        <v>468</v>
      </c>
      <c r="L87" s="119">
        <f t="shared" si="8"/>
        <v>89.55593000764992</v>
      </c>
      <c r="M87" s="119">
        <f t="shared" si="11"/>
        <v>8.955593000764992</v>
      </c>
      <c r="N87" s="119"/>
      <c r="O87" s="119"/>
      <c r="P87" s="119"/>
      <c r="Q87" s="44"/>
      <c r="R87" s="19" t="s">
        <v>401</v>
      </c>
      <c r="S87" s="49"/>
      <c r="T87" s="46"/>
      <c r="U87" s="47"/>
      <c r="V87" s="47"/>
      <c r="W87" s="48"/>
      <c r="X87" s="57">
        <f t="shared" si="12"/>
        <v>0</v>
      </c>
      <c r="Y87" s="119"/>
      <c r="Z87" s="19" t="s">
        <v>468</v>
      </c>
      <c r="AA87" s="119">
        <f t="shared" si="9"/>
        <v>16.982428978851278</v>
      </c>
      <c r="AB87" s="119">
        <f t="shared" si="10"/>
        <v>16.982428978851278</v>
      </c>
      <c r="AC87" s="119"/>
      <c r="AD87" s="119"/>
      <c r="AE87" s="119"/>
      <c r="AF87" s="119"/>
      <c r="AG87" s="119"/>
      <c r="AH87" s="119" t="s">
        <v>468</v>
      </c>
      <c r="AI87" s="119">
        <v>22.4</v>
      </c>
      <c r="AL87" s="19"/>
      <c r="AM87" s="155"/>
    </row>
    <row r="88" spans="1:39" ht="30">
      <c r="A88" s="44" t="s">
        <v>469</v>
      </c>
      <c r="B88" s="19" t="s">
        <v>398</v>
      </c>
      <c r="C88" s="49">
        <v>2026</v>
      </c>
      <c r="D88" s="46">
        <v>0</v>
      </c>
      <c r="E88" s="47">
        <v>0</v>
      </c>
      <c r="F88" s="47">
        <v>0</v>
      </c>
      <c r="G88" s="48">
        <v>0</v>
      </c>
      <c r="H88" s="57">
        <f t="shared" si="13"/>
        <v>0</v>
      </c>
      <c r="I88" s="119"/>
      <c r="J88" s="119"/>
      <c r="K88" s="19" t="s">
        <v>470</v>
      </c>
      <c r="L88" s="119">
        <f t="shared" si="8"/>
        <v>48.018067492205851</v>
      </c>
      <c r="M88" s="119">
        <f t="shared" si="11"/>
        <v>4.8018067492205851</v>
      </c>
      <c r="N88" s="119"/>
      <c r="O88" s="119"/>
      <c r="P88" s="119"/>
      <c r="Q88" s="44" t="s">
        <v>469</v>
      </c>
      <c r="R88" s="19" t="s">
        <v>398</v>
      </c>
      <c r="S88" s="49">
        <v>2026</v>
      </c>
      <c r="T88" s="46">
        <v>0</v>
      </c>
      <c r="U88" s="47">
        <v>0</v>
      </c>
      <c r="V88" s="47">
        <v>0</v>
      </c>
      <c r="W88" s="48">
        <v>0</v>
      </c>
      <c r="X88" s="57">
        <f t="shared" si="12"/>
        <v>0</v>
      </c>
      <c r="Y88" s="119"/>
      <c r="Z88" s="19" t="s">
        <v>470</v>
      </c>
      <c r="AA88" s="119">
        <f t="shared" si="9"/>
        <v>51.097243572101164</v>
      </c>
      <c r="AB88" s="119">
        <f t="shared" si="10"/>
        <v>51.097243572101164</v>
      </c>
      <c r="AC88" s="119"/>
      <c r="AD88" s="119"/>
      <c r="AE88" s="119"/>
      <c r="AF88" s="119"/>
      <c r="AG88" s="119"/>
      <c r="AH88" s="119" t="s">
        <v>470</v>
      </c>
      <c r="AI88" s="119">
        <v>14</v>
      </c>
      <c r="AL88" s="19"/>
      <c r="AM88" s="155"/>
    </row>
    <row r="89" spans="1:39" ht="30">
      <c r="A89" s="44" t="s">
        <v>469</v>
      </c>
      <c r="B89" s="19" t="s">
        <v>398</v>
      </c>
      <c r="C89" s="49">
        <v>2027</v>
      </c>
      <c r="D89" s="46">
        <v>0</v>
      </c>
      <c r="E89" s="47">
        <v>0</v>
      </c>
      <c r="F89" s="47">
        <v>0</v>
      </c>
      <c r="G89" s="48">
        <v>0</v>
      </c>
      <c r="H89" s="57">
        <f t="shared" si="13"/>
        <v>0</v>
      </c>
      <c r="I89" s="119"/>
      <c r="J89" s="119"/>
      <c r="K89" s="19" t="s">
        <v>471</v>
      </c>
      <c r="L89" s="119">
        <f t="shared" si="8"/>
        <v>89.55593000764992</v>
      </c>
      <c r="M89" s="119">
        <f t="shared" si="11"/>
        <v>8.955593000764992</v>
      </c>
      <c r="N89" s="119"/>
      <c r="O89" s="119"/>
      <c r="P89" s="119"/>
      <c r="Q89" s="44" t="s">
        <v>469</v>
      </c>
      <c r="R89" s="19" t="s">
        <v>398</v>
      </c>
      <c r="S89" s="49">
        <v>2027</v>
      </c>
      <c r="T89" s="46">
        <v>0</v>
      </c>
      <c r="U89" s="47">
        <v>0</v>
      </c>
      <c r="V89" s="47">
        <v>0</v>
      </c>
      <c r="W89" s="48">
        <v>0</v>
      </c>
      <c r="X89" s="57">
        <f t="shared" si="12"/>
        <v>0</v>
      </c>
      <c r="Y89" s="119"/>
      <c r="Z89" s="19" t="s">
        <v>472</v>
      </c>
      <c r="AA89" s="119">
        <f t="shared" si="9"/>
        <v>184.54526994863818</v>
      </c>
      <c r="AB89" s="119">
        <f t="shared" si="10"/>
        <v>184.54526994863818</v>
      </c>
      <c r="AC89" s="119"/>
      <c r="AD89" s="119"/>
      <c r="AE89" s="119"/>
      <c r="AF89" s="119"/>
      <c r="AG89" s="119"/>
      <c r="AH89" s="119" t="s">
        <v>473</v>
      </c>
      <c r="AI89" s="119">
        <v>16.137999999999991</v>
      </c>
      <c r="AL89" s="19"/>
      <c r="AM89" s="155"/>
    </row>
    <row r="90" spans="1:39" ht="30">
      <c r="A90" s="44" t="s">
        <v>469</v>
      </c>
      <c r="B90" s="19" t="s">
        <v>398</v>
      </c>
      <c r="C90" s="49">
        <v>2028</v>
      </c>
      <c r="D90" s="46">
        <v>0</v>
      </c>
      <c r="E90" s="47">
        <v>0</v>
      </c>
      <c r="F90" s="47">
        <v>0</v>
      </c>
      <c r="G90" s="48">
        <v>0</v>
      </c>
      <c r="H90" s="57">
        <f t="shared" si="13"/>
        <v>0</v>
      </c>
      <c r="I90" s="119"/>
      <c r="J90" s="119"/>
      <c r="K90" s="19" t="s">
        <v>473</v>
      </c>
      <c r="L90" s="119">
        <f t="shared" si="8"/>
        <v>39.618270083697254</v>
      </c>
      <c r="M90" s="119">
        <f t="shared" si="11"/>
        <v>3.9618270083697253</v>
      </c>
      <c r="N90" s="119"/>
      <c r="O90" s="119"/>
      <c r="P90" s="119"/>
      <c r="Q90" s="44" t="s">
        <v>469</v>
      </c>
      <c r="R90" s="19" t="s">
        <v>398</v>
      </c>
      <c r="S90" s="49">
        <v>2028</v>
      </c>
      <c r="T90" s="46">
        <v>0</v>
      </c>
      <c r="U90" s="47">
        <v>0</v>
      </c>
      <c r="V90" s="47">
        <v>0</v>
      </c>
      <c r="W90" s="48">
        <v>0</v>
      </c>
      <c r="X90" s="57">
        <f t="shared" si="12"/>
        <v>0</v>
      </c>
      <c r="Y90" s="119"/>
      <c r="Z90" s="19"/>
      <c r="AA90" s="119"/>
      <c r="AB90" s="119"/>
      <c r="AC90" s="119"/>
      <c r="AD90" s="119"/>
      <c r="AE90" s="119"/>
      <c r="AF90" s="119"/>
      <c r="AG90" s="119"/>
      <c r="AH90" s="119"/>
      <c r="AI90" s="119"/>
    </row>
    <row r="91" spans="1:39" ht="30">
      <c r="A91" s="44" t="s">
        <v>469</v>
      </c>
      <c r="B91" s="19" t="s">
        <v>398</v>
      </c>
      <c r="C91" s="49">
        <v>2029</v>
      </c>
      <c r="D91" s="46">
        <v>0</v>
      </c>
      <c r="E91" s="47">
        <v>0</v>
      </c>
      <c r="F91" s="47">
        <v>0</v>
      </c>
      <c r="G91" s="48">
        <v>0</v>
      </c>
      <c r="H91" s="57">
        <f t="shared" si="13"/>
        <v>0</v>
      </c>
      <c r="I91" s="119"/>
      <c r="J91" s="119"/>
      <c r="K91" s="19" t="s">
        <v>472</v>
      </c>
      <c r="L91" s="119">
        <f t="shared" si="8"/>
        <v>295.79073069925511</v>
      </c>
      <c r="M91" s="119">
        <f t="shared" si="11"/>
        <v>29.57907306992551</v>
      </c>
      <c r="N91" s="119"/>
      <c r="O91" s="119"/>
      <c r="P91" s="119"/>
      <c r="Q91" s="44" t="s">
        <v>469</v>
      </c>
      <c r="R91" s="19" t="s">
        <v>398</v>
      </c>
      <c r="S91" s="49">
        <v>2029</v>
      </c>
      <c r="T91" s="46">
        <v>0</v>
      </c>
      <c r="U91" s="47">
        <v>0</v>
      </c>
      <c r="V91" s="47">
        <v>0</v>
      </c>
      <c r="W91" s="48">
        <v>0</v>
      </c>
      <c r="X91" s="57">
        <f t="shared" si="12"/>
        <v>0</v>
      </c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</row>
    <row r="92" spans="1:39" ht="30">
      <c r="A92" s="44" t="s">
        <v>469</v>
      </c>
      <c r="B92" s="19" t="s">
        <v>398</v>
      </c>
      <c r="C92" s="49">
        <v>2030</v>
      </c>
      <c r="D92" s="46">
        <v>0</v>
      </c>
      <c r="E92" s="47">
        <v>0</v>
      </c>
      <c r="F92" s="47">
        <v>0</v>
      </c>
      <c r="G92" s="48">
        <v>0</v>
      </c>
      <c r="H92" s="57">
        <f t="shared" si="13"/>
        <v>0</v>
      </c>
      <c r="I92" s="119"/>
      <c r="J92" s="119"/>
      <c r="K92" s="119"/>
      <c r="L92" s="119"/>
      <c r="M92" s="119"/>
      <c r="N92" s="119"/>
      <c r="O92" s="119"/>
      <c r="P92" s="119"/>
      <c r="Q92" s="44" t="s">
        <v>469</v>
      </c>
      <c r="R92" s="19" t="s">
        <v>398</v>
      </c>
      <c r="S92" s="49">
        <v>2030</v>
      </c>
      <c r="T92" s="46">
        <v>0</v>
      </c>
      <c r="U92" s="47">
        <v>0</v>
      </c>
      <c r="V92" s="47">
        <v>0</v>
      </c>
      <c r="W92" s="48">
        <v>0</v>
      </c>
      <c r="X92" s="57">
        <f t="shared" si="12"/>
        <v>0</v>
      </c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</row>
    <row r="93" spans="1:39" ht="30">
      <c r="A93" s="44" t="s">
        <v>469</v>
      </c>
      <c r="B93" s="19" t="s">
        <v>398</v>
      </c>
      <c r="C93" s="49">
        <v>2031</v>
      </c>
      <c r="D93" s="46">
        <v>0</v>
      </c>
      <c r="E93" s="47">
        <v>0</v>
      </c>
      <c r="F93" s="47">
        <v>0</v>
      </c>
      <c r="G93" s="48">
        <v>0</v>
      </c>
      <c r="H93" s="57">
        <f t="shared" si="13"/>
        <v>0</v>
      </c>
      <c r="I93" s="119"/>
      <c r="J93" s="119"/>
      <c r="K93" s="119"/>
      <c r="L93" s="119"/>
      <c r="M93" s="119"/>
      <c r="N93" s="119"/>
      <c r="O93" s="119"/>
      <c r="P93" s="119"/>
      <c r="Q93" s="44" t="s">
        <v>469</v>
      </c>
      <c r="R93" s="19" t="s">
        <v>398</v>
      </c>
      <c r="S93" s="49">
        <v>2031</v>
      </c>
      <c r="T93" s="46">
        <v>0</v>
      </c>
      <c r="U93" s="47">
        <v>0</v>
      </c>
      <c r="V93" s="47">
        <v>0</v>
      </c>
      <c r="W93" s="48">
        <v>0</v>
      </c>
      <c r="X93" s="57">
        <f t="shared" si="12"/>
        <v>0</v>
      </c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</row>
    <row r="94" spans="1:39" ht="30">
      <c r="A94" s="44" t="s">
        <v>469</v>
      </c>
      <c r="B94" s="19" t="s">
        <v>398</v>
      </c>
      <c r="C94" s="49">
        <v>2032</v>
      </c>
      <c r="D94" s="46">
        <v>0</v>
      </c>
      <c r="E94" s="47">
        <v>0</v>
      </c>
      <c r="F94" s="47">
        <v>0</v>
      </c>
      <c r="G94" s="48">
        <v>9.2319520096332983</v>
      </c>
      <c r="H94" s="57">
        <f t="shared" si="13"/>
        <v>6.1602702824268558</v>
      </c>
      <c r="I94" s="119"/>
      <c r="J94" s="119"/>
      <c r="K94" s="119"/>
      <c r="L94" s="119"/>
      <c r="M94" s="119"/>
      <c r="N94" s="119"/>
      <c r="O94" s="119"/>
      <c r="P94" s="119"/>
      <c r="Q94" s="44" t="s">
        <v>469</v>
      </c>
      <c r="R94" s="19" t="s">
        <v>398</v>
      </c>
      <c r="S94" s="49">
        <v>2032</v>
      </c>
      <c r="T94" s="46">
        <v>0</v>
      </c>
      <c r="U94" s="47">
        <v>0</v>
      </c>
      <c r="V94" s="47">
        <v>0</v>
      </c>
      <c r="W94" s="48">
        <v>9.2319520096332983</v>
      </c>
      <c r="X94" s="57">
        <f t="shared" si="12"/>
        <v>9.2319520096332983</v>
      </c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</row>
    <row r="95" spans="1:39" ht="30">
      <c r="A95" s="44" t="s">
        <v>469</v>
      </c>
      <c r="B95" s="19" t="s">
        <v>398</v>
      </c>
      <c r="C95" s="49">
        <v>2033</v>
      </c>
      <c r="D95" s="46">
        <v>0</v>
      </c>
      <c r="E95" s="47">
        <v>0</v>
      </c>
      <c r="F95" s="47">
        <v>0</v>
      </c>
      <c r="G95" s="48">
        <v>74.465234631330731</v>
      </c>
      <c r="H95" s="57">
        <f t="shared" si="13"/>
        <v>46.449120605944465</v>
      </c>
      <c r="I95" s="119"/>
      <c r="J95" s="119"/>
      <c r="K95" s="119"/>
      <c r="L95" s="119"/>
      <c r="M95" s="119"/>
      <c r="N95" s="119"/>
      <c r="O95" s="119"/>
      <c r="P95" s="119"/>
      <c r="Q95" s="44" t="s">
        <v>469</v>
      </c>
      <c r="R95" s="19" t="s">
        <v>398</v>
      </c>
      <c r="S95" s="49">
        <v>2033</v>
      </c>
      <c r="T95" s="46">
        <v>0</v>
      </c>
      <c r="U95" s="47">
        <v>0</v>
      </c>
      <c r="V95" s="47">
        <v>0</v>
      </c>
      <c r="W95" s="48">
        <v>83.881825681156698</v>
      </c>
      <c r="X95" s="57">
        <f t="shared" si="12"/>
        <v>83.881825681156698</v>
      </c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</row>
    <row r="96" spans="1:39" ht="30">
      <c r="A96" s="44" t="s">
        <v>469</v>
      </c>
      <c r="B96" s="19" t="s">
        <v>398</v>
      </c>
      <c r="C96" s="49">
        <v>2034</v>
      </c>
      <c r="D96" s="46">
        <v>0</v>
      </c>
      <c r="E96" s="47">
        <v>0</v>
      </c>
      <c r="F96" s="47">
        <v>323.01779155900687</v>
      </c>
      <c r="G96" s="48">
        <v>127.33412634678548</v>
      </c>
      <c r="H96" s="57">
        <f t="shared" si="13"/>
        <v>262.59935519547884</v>
      </c>
      <c r="I96" s="119"/>
      <c r="J96" s="119"/>
      <c r="K96" s="119"/>
      <c r="L96" s="119"/>
      <c r="M96" s="119"/>
      <c r="N96" s="119"/>
      <c r="O96" s="119"/>
      <c r="P96" s="119"/>
      <c r="Q96" s="44" t="s">
        <v>469</v>
      </c>
      <c r="R96" s="19" t="s">
        <v>398</v>
      </c>
      <c r="S96" s="49">
        <v>2034</v>
      </c>
      <c r="T96" s="46">
        <v>0</v>
      </c>
      <c r="U96" s="47">
        <v>0</v>
      </c>
      <c r="V96" s="47">
        <v>323.01779155900687</v>
      </c>
      <c r="W96" s="48">
        <v>212.89358854156532</v>
      </c>
      <c r="X96" s="57">
        <f t="shared" si="12"/>
        <v>535.91138010057216</v>
      </c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</row>
    <row r="97" spans="1:25" ht="30">
      <c r="A97" s="44" t="s">
        <v>469</v>
      </c>
      <c r="B97" s="19" t="s">
        <v>398</v>
      </c>
      <c r="C97" s="49">
        <v>2035</v>
      </c>
      <c r="D97" s="46">
        <v>0</v>
      </c>
      <c r="E97" s="47">
        <v>0</v>
      </c>
      <c r="F97" s="47">
        <v>0</v>
      </c>
      <c r="G97" s="48">
        <v>78.983299078025823</v>
      </c>
      <c r="H97" s="57">
        <f t="shared" si="13"/>
        <v>43.052127081393436</v>
      </c>
      <c r="I97" s="119"/>
      <c r="J97" s="119"/>
      <c r="K97" s="119"/>
      <c r="L97" s="119"/>
      <c r="M97" s="119"/>
      <c r="N97" s="119"/>
      <c r="O97" s="119"/>
      <c r="P97" s="119"/>
      <c r="Q97" s="44" t="s">
        <v>469</v>
      </c>
      <c r="R97" s="19" t="s">
        <v>398</v>
      </c>
      <c r="S97" s="49">
        <v>2035</v>
      </c>
      <c r="T97" s="46">
        <v>0</v>
      </c>
      <c r="U97" s="47">
        <v>0</v>
      </c>
      <c r="V97" s="47">
        <v>329.47814739018702</v>
      </c>
      <c r="W97" s="48">
        <v>296.13475939042246</v>
      </c>
      <c r="X97" s="57">
        <f t="shared" si="12"/>
        <v>625.61290678060948</v>
      </c>
      <c r="Y97" s="119">
        <f>NPV($Y$10,X88:X97)/((1-(1+$Y$10)^-10)/$Y$10)</f>
        <v>94.65098019166328</v>
      </c>
    </row>
    <row r="98" spans="1:25">
      <c r="A98" s="44"/>
      <c r="B98" s="19" t="s">
        <v>401</v>
      </c>
      <c r="C98" s="49"/>
      <c r="D98" s="42" t="s">
        <v>401</v>
      </c>
      <c r="E98" s="19" t="s">
        <v>401</v>
      </c>
      <c r="F98" s="19" t="s">
        <v>401</v>
      </c>
      <c r="G98" s="43" t="s">
        <v>401</v>
      </c>
      <c r="H98" s="57">
        <f t="shared" si="13"/>
        <v>0</v>
      </c>
      <c r="I98" s="119"/>
      <c r="J98" s="119"/>
      <c r="K98" s="119"/>
      <c r="L98" s="119"/>
      <c r="M98" s="119"/>
      <c r="N98" s="119"/>
      <c r="O98" s="119"/>
      <c r="P98" s="119"/>
      <c r="Q98" s="44"/>
      <c r="R98" s="19" t="s">
        <v>401</v>
      </c>
      <c r="S98" s="49"/>
      <c r="T98" s="42"/>
      <c r="U98" s="19"/>
      <c r="V98" s="19"/>
      <c r="W98" s="43"/>
      <c r="X98" s="57">
        <f t="shared" si="12"/>
        <v>0</v>
      </c>
      <c r="Y98" s="119"/>
    </row>
    <row r="99" spans="1:25" ht="30">
      <c r="A99" s="44" t="s">
        <v>469</v>
      </c>
      <c r="B99" s="19" t="s">
        <v>399</v>
      </c>
      <c r="C99" s="49">
        <v>2026</v>
      </c>
      <c r="D99" s="46">
        <v>0</v>
      </c>
      <c r="E99" s="47">
        <v>0</v>
      </c>
      <c r="F99" s="47">
        <v>0</v>
      </c>
      <c r="G99" s="48">
        <v>0</v>
      </c>
      <c r="H99" s="57">
        <f t="shared" si="13"/>
        <v>0</v>
      </c>
      <c r="I99" s="119"/>
      <c r="J99" s="119"/>
      <c r="K99" s="119"/>
      <c r="L99" s="119"/>
      <c r="M99" s="119"/>
      <c r="N99" s="119"/>
      <c r="O99" s="119"/>
      <c r="P99" s="119"/>
      <c r="Q99" s="44" t="s">
        <v>469</v>
      </c>
      <c r="R99" s="19" t="s">
        <v>399</v>
      </c>
      <c r="S99" s="49">
        <v>2026</v>
      </c>
      <c r="T99" s="46">
        <v>0</v>
      </c>
      <c r="U99" s="47">
        <v>0</v>
      </c>
      <c r="V99" s="47">
        <v>0</v>
      </c>
      <c r="W99" s="48">
        <v>0</v>
      </c>
      <c r="X99" s="57">
        <f t="shared" si="12"/>
        <v>0</v>
      </c>
      <c r="Y99" s="119"/>
    </row>
    <row r="100" spans="1:25" ht="30">
      <c r="A100" s="44" t="s">
        <v>469</v>
      </c>
      <c r="B100" s="19" t="s">
        <v>399</v>
      </c>
      <c r="C100" s="49">
        <v>2027</v>
      </c>
      <c r="D100" s="46">
        <v>0</v>
      </c>
      <c r="E100" s="47">
        <v>0</v>
      </c>
      <c r="F100" s="47">
        <v>0</v>
      </c>
      <c r="G100" s="48">
        <v>0</v>
      </c>
      <c r="H100" s="57">
        <f t="shared" si="13"/>
        <v>0</v>
      </c>
      <c r="I100" s="119"/>
      <c r="J100" s="119"/>
      <c r="K100" s="119"/>
      <c r="L100" s="119"/>
      <c r="M100" s="119"/>
      <c r="N100" s="119"/>
      <c r="O100" s="119"/>
      <c r="P100" s="119"/>
      <c r="Q100" s="44" t="s">
        <v>469</v>
      </c>
      <c r="R100" s="19" t="s">
        <v>399</v>
      </c>
      <c r="S100" s="49">
        <v>2027</v>
      </c>
      <c r="T100" s="46">
        <v>0</v>
      </c>
      <c r="U100" s="47">
        <v>0</v>
      </c>
      <c r="V100" s="47">
        <v>0</v>
      </c>
      <c r="W100" s="48">
        <v>0</v>
      </c>
      <c r="X100" s="57">
        <f t="shared" si="12"/>
        <v>0</v>
      </c>
      <c r="Y100" s="119"/>
    </row>
    <row r="101" spans="1:25" ht="30">
      <c r="A101" s="44" t="s">
        <v>469</v>
      </c>
      <c r="B101" s="19" t="s">
        <v>399</v>
      </c>
      <c r="C101" s="49">
        <v>2028</v>
      </c>
      <c r="D101" s="46">
        <v>0</v>
      </c>
      <c r="E101" s="47">
        <v>0</v>
      </c>
      <c r="F101" s="47">
        <v>0</v>
      </c>
      <c r="G101" s="48">
        <v>0</v>
      </c>
      <c r="H101" s="57">
        <f t="shared" si="13"/>
        <v>0</v>
      </c>
      <c r="I101" s="119"/>
      <c r="J101" s="119"/>
      <c r="K101" s="119"/>
      <c r="L101" s="119"/>
      <c r="M101" s="119"/>
      <c r="N101" s="119"/>
      <c r="O101" s="119"/>
      <c r="P101" s="119"/>
      <c r="Q101" s="44" t="s">
        <v>469</v>
      </c>
      <c r="R101" s="19" t="s">
        <v>399</v>
      </c>
      <c r="S101" s="49">
        <v>2028</v>
      </c>
      <c r="T101" s="46">
        <v>0</v>
      </c>
      <c r="U101" s="47">
        <v>0</v>
      </c>
      <c r="V101" s="47">
        <v>0</v>
      </c>
      <c r="W101" s="48">
        <v>0</v>
      </c>
      <c r="X101" s="57">
        <f t="shared" si="12"/>
        <v>0</v>
      </c>
      <c r="Y101" s="119"/>
    </row>
    <row r="102" spans="1:25" ht="30">
      <c r="A102" s="44" t="s">
        <v>469</v>
      </c>
      <c r="B102" s="19" t="s">
        <v>399</v>
      </c>
      <c r="C102" s="49">
        <v>2029</v>
      </c>
      <c r="D102" s="46">
        <v>0</v>
      </c>
      <c r="E102" s="47">
        <v>0</v>
      </c>
      <c r="F102" s="47">
        <v>0</v>
      </c>
      <c r="G102" s="48">
        <v>0</v>
      </c>
      <c r="H102" s="57">
        <f t="shared" si="13"/>
        <v>0</v>
      </c>
      <c r="I102" s="119"/>
      <c r="J102" s="119"/>
      <c r="K102" s="119"/>
      <c r="L102" s="119"/>
      <c r="M102" s="119"/>
      <c r="N102" s="119"/>
      <c r="O102" s="119"/>
      <c r="P102" s="119"/>
      <c r="Q102" s="44" t="s">
        <v>469</v>
      </c>
      <c r="R102" s="19" t="s">
        <v>399</v>
      </c>
      <c r="S102" s="49">
        <v>2029</v>
      </c>
      <c r="T102" s="46">
        <v>0</v>
      </c>
      <c r="U102" s="47">
        <v>0</v>
      </c>
      <c r="V102" s="47">
        <v>0</v>
      </c>
      <c r="W102" s="48">
        <v>0</v>
      </c>
      <c r="X102" s="57">
        <f t="shared" si="12"/>
        <v>0</v>
      </c>
      <c r="Y102" s="119"/>
    </row>
    <row r="103" spans="1:25" ht="30">
      <c r="A103" s="44" t="s">
        <v>469</v>
      </c>
      <c r="B103" s="19" t="s">
        <v>399</v>
      </c>
      <c r="C103" s="49">
        <v>2030</v>
      </c>
      <c r="D103" s="46">
        <v>0</v>
      </c>
      <c r="E103" s="47">
        <v>0</v>
      </c>
      <c r="F103" s="47">
        <v>0</v>
      </c>
      <c r="G103" s="48">
        <v>0</v>
      </c>
      <c r="H103" s="57">
        <f t="shared" si="13"/>
        <v>0</v>
      </c>
      <c r="I103" s="119"/>
      <c r="J103" s="119"/>
      <c r="K103" s="119"/>
      <c r="L103" s="119"/>
      <c r="M103" s="119"/>
      <c r="N103" s="119"/>
      <c r="O103" s="119"/>
      <c r="P103" s="119"/>
      <c r="Q103" s="44" t="s">
        <v>469</v>
      </c>
      <c r="R103" s="19" t="s">
        <v>399</v>
      </c>
      <c r="S103" s="49">
        <v>2030</v>
      </c>
      <c r="T103" s="46">
        <v>0</v>
      </c>
      <c r="U103" s="47">
        <v>0</v>
      </c>
      <c r="V103" s="47">
        <v>0</v>
      </c>
      <c r="W103" s="48">
        <v>0</v>
      </c>
      <c r="X103" s="57">
        <f t="shared" si="12"/>
        <v>0</v>
      </c>
      <c r="Y103" s="119"/>
    </row>
    <row r="104" spans="1:25" ht="30">
      <c r="A104" s="44" t="s">
        <v>469</v>
      </c>
      <c r="B104" s="19" t="s">
        <v>399</v>
      </c>
      <c r="C104" s="49">
        <v>2031</v>
      </c>
      <c r="D104" s="46">
        <v>0</v>
      </c>
      <c r="E104" s="47">
        <v>0</v>
      </c>
      <c r="F104" s="47">
        <v>0</v>
      </c>
      <c r="G104" s="48">
        <v>0</v>
      </c>
      <c r="H104" s="57">
        <f t="shared" si="13"/>
        <v>0</v>
      </c>
      <c r="I104" s="119"/>
      <c r="J104" s="119"/>
      <c r="K104" s="119"/>
      <c r="L104" s="119"/>
      <c r="M104" s="119"/>
      <c r="N104" s="119"/>
      <c r="O104" s="119"/>
      <c r="P104" s="119"/>
      <c r="Q104" s="44" t="s">
        <v>469</v>
      </c>
      <c r="R104" s="19" t="s">
        <v>399</v>
      </c>
      <c r="S104" s="49">
        <v>2031</v>
      </c>
      <c r="T104" s="46">
        <v>0</v>
      </c>
      <c r="U104" s="47">
        <v>0</v>
      </c>
      <c r="V104" s="47">
        <v>0</v>
      </c>
      <c r="W104" s="48">
        <v>0</v>
      </c>
      <c r="X104" s="57">
        <f t="shared" si="12"/>
        <v>0</v>
      </c>
      <c r="Y104" s="119"/>
    </row>
    <row r="105" spans="1:25" ht="30">
      <c r="A105" s="44" t="s">
        <v>469</v>
      </c>
      <c r="B105" s="19" t="s">
        <v>399</v>
      </c>
      <c r="C105" s="49">
        <v>2032</v>
      </c>
      <c r="D105" s="46">
        <v>0</v>
      </c>
      <c r="E105" s="47">
        <v>0</v>
      </c>
      <c r="F105" s="47">
        <v>0</v>
      </c>
      <c r="G105" s="48">
        <v>0</v>
      </c>
      <c r="H105" s="57">
        <f t="shared" si="13"/>
        <v>0</v>
      </c>
      <c r="I105" s="119"/>
      <c r="J105" s="119"/>
      <c r="K105" s="119"/>
      <c r="L105" s="119"/>
      <c r="M105" s="119"/>
      <c r="N105" s="119"/>
      <c r="O105" s="119"/>
      <c r="P105" s="119"/>
      <c r="Q105" s="44" t="s">
        <v>469</v>
      </c>
      <c r="R105" s="19" t="s">
        <v>399</v>
      </c>
      <c r="S105" s="49">
        <v>2032</v>
      </c>
      <c r="T105" s="46">
        <v>0</v>
      </c>
      <c r="U105" s="47">
        <v>0</v>
      </c>
      <c r="V105" s="47">
        <v>0</v>
      </c>
      <c r="W105" s="48">
        <v>0</v>
      </c>
      <c r="X105" s="57">
        <f t="shared" si="12"/>
        <v>0</v>
      </c>
      <c r="Y105" s="119"/>
    </row>
    <row r="106" spans="1:25" ht="30">
      <c r="A106" s="44" t="s">
        <v>469</v>
      </c>
      <c r="B106" s="19" t="s">
        <v>399</v>
      </c>
      <c r="C106" s="49">
        <v>2033</v>
      </c>
      <c r="D106" s="46">
        <v>0</v>
      </c>
      <c r="E106" s="47">
        <v>0</v>
      </c>
      <c r="F106" s="47">
        <v>344.11201765799552</v>
      </c>
      <c r="G106" s="48">
        <v>116.57417744653786</v>
      </c>
      <c r="H106" s="57">
        <f t="shared" si="13"/>
        <v>287.3618641483589</v>
      </c>
      <c r="I106" s="119"/>
      <c r="J106" s="119"/>
      <c r="K106" s="119"/>
      <c r="L106" s="119"/>
      <c r="M106" s="119"/>
      <c r="N106" s="119"/>
      <c r="O106" s="119"/>
      <c r="P106" s="119"/>
      <c r="Q106" s="44" t="s">
        <v>469</v>
      </c>
      <c r="R106" s="19" t="s">
        <v>399</v>
      </c>
      <c r="S106" s="49">
        <v>2033</v>
      </c>
      <c r="T106" s="46">
        <v>0</v>
      </c>
      <c r="U106" s="47">
        <v>0</v>
      </c>
      <c r="V106" s="47">
        <v>344.11201765799552</v>
      </c>
      <c r="W106" s="48">
        <v>116.57417744653786</v>
      </c>
      <c r="X106" s="57">
        <f t="shared" si="12"/>
        <v>460.6861951045334</v>
      </c>
      <c r="Y106" s="119"/>
    </row>
    <row r="107" spans="1:25" ht="30">
      <c r="A107" s="44" t="s">
        <v>469</v>
      </c>
      <c r="B107" s="19" t="s">
        <v>399</v>
      </c>
      <c r="C107" s="49">
        <v>2034</v>
      </c>
      <c r="D107" s="46">
        <v>0</v>
      </c>
      <c r="E107" s="47">
        <v>0</v>
      </c>
      <c r="F107" s="47">
        <v>0</v>
      </c>
      <c r="G107" s="48">
        <v>49.628876499010175</v>
      </c>
      <c r="H107" s="57">
        <f t="shared" si="13"/>
        <v>28.938504421873816</v>
      </c>
      <c r="I107" s="119"/>
      <c r="J107" s="119"/>
      <c r="K107" s="119"/>
      <c r="L107" s="119"/>
      <c r="M107" s="119"/>
      <c r="N107" s="119"/>
      <c r="O107" s="119"/>
      <c r="P107" s="119"/>
      <c r="Q107" s="44" t="s">
        <v>469</v>
      </c>
      <c r="R107" s="19" t="s">
        <v>399</v>
      </c>
      <c r="S107" s="49">
        <v>2034</v>
      </c>
      <c r="T107" s="46">
        <v>0</v>
      </c>
      <c r="U107" s="47">
        <v>0</v>
      </c>
      <c r="V107" s="47">
        <v>350.99425801115547</v>
      </c>
      <c r="W107" s="48">
        <v>168.5345374944788</v>
      </c>
      <c r="X107" s="57">
        <f t="shared" si="12"/>
        <v>519.52879550563421</v>
      </c>
      <c r="Y107" s="119"/>
    </row>
    <row r="108" spans="1:25" ht="30">
      <c r="A108" s="44" t="s">
        <v>469</v>
      </c>
      <c r="B108" s="19" t="s">
        <v>399</v>
      </c>
      <c r="C108" s="49">
        <v>2035</v>
      </c>
      <c r="D108" s="46">
        <v>0</v>
      </c>
      <c r="E108" s="47">
        <v>0</v>
      </c>
      <c r="F108" s="47">
        <v>0</v>
      </c>
      <c r="G108" s="48">
        <v>0</v>
      </c>
      <c r="H108" s="57">
        <f t="shared" si="13"/>
        <v>0</v>
      </c>
      <c r="I108" s="119"/>
      <c r="J108" s="119"/>
      <c r="K108" s="119"/>
      <c r="L108" s="119"/>
      <c r="M108" s="119"/>
      <c r="N108" s="119"/>
      <c r="O108" s="119"/>
      <c r="P108" s="119"/>
      <c r="Q108" s="44" t="s">
        <v>469</v>
      </c>
      <c r="R108" s="19" t="s">
        <v>399</v>
      </c>
      <c r="S108" s="49">
        <v>2035</v>
      </c>
      <c r="T108" s="46">
        <v>0</v>
      </c>
      <c r="U108" s="47">
        <v>0</v>
      </c>
      <c r="V108" s="47">
        <v>358.01414317137858</v>
      </c>
      <c r="W108" s="48">
        <v>171.90522824436837</v>
      </c>
      <c r="X108" s="57">
        <f t="shared" si="12"/>
        <v>529.91937141574692</v>
      </c>
      <c r="Y108" s="119">
        <f>NPV($Y$10,X99:X108)/((1-(1+$Y$10)^-10)/$Y$10)</f>
        <v>116.87403376589741</v>
      </c>
    </row>
    <row r="109" spans="1:25">
      <c r="A109" s="44"/>
      <c r="B109" s="19" t="s">
        <v>401</v>
      </c>
      <c r="C109" s="49"/>
      <c r="D109" s="46" t="s">
        <v>401</v>
      </c>
      <c r="E109" s="47" t="s">
        <v>401</v>
      </c>
      <c r="F109" s="47" t="s">
        <v>401</v>
      </c>
      <c r="G109" s="48" t="s">
        <v>401</v>
      </c>
      <c r="H109" s="57">
        <f t="shared" si="13"/>
        <v>0</v>
      </c>
      <c r="I109" s="119"/>
      <c r="J109" s="119"/>
      <c r="K109" s="119"/>
      <c r="L109" s="119"/>
      <c r="M109" s="119"/>
      <c r="N109" s="119"/>
      <c r="O109" s="119"/>
      <c r="P109" s="119"/>
      <c r="Q109" s="44"/>
      <c r="R109" s="19" t="s">
        <v>401</v>
      </c>
      <c r="S109" s="49"/>
      <c r="T109" s="46"/>
      <c r="U109" s="47"/>
      <c r="V109" s="47"/>
      <c r="W109" s="48"/>
      <c r="X109" s="57">
        <f t="shared" si="12"/>
        <v>0</v>
      </c>
      <c r="Y109" s="119"/>
    </row>
    <row r="110" spans="1:25" ht="30">
      <c r="A110" s="44" t="s">
        <v>469</v>
      </c>
      <c r="B110" s="19" t="s">
        <v>400</v>
      </c>
      <c r="C110" s="49">
        <v>2026</v>
      </c>
      <c r="D110" s="46">
        <v>0</v>
      </c>
      <c r="E110" s="47">
        <v>0</v>
      </c>
      <c r="F110" s="47">
        <v>0</v>
      </c>
      <c r="G110" s="48">
        <v>0</v>
      </c>
      <c r="H110" s="57">
        <f t="shared" si="13"/>
        <v>0</v>
      </c>
      <c r="I110" s="119"/>
      <c r="J110" s="119"/>
      <c r="K110" s="119"/>
      <c r="L110" s="119"/>
      <c r="M110" s="119"/>
      <c r="N110" s="119"/>
      <c r="O110" s="119"/>
      <c r="P110" s="119"/>
      <c r="Q110" s="44" t="s">
        <v>469</v>
      </c>
      <c r="R110" s="19" t="s">
        <v>400</v>
      </c>
      <c r="S110" s="49">
        <v>2026</v>
      </c>
      <c r="T110" s="46">
        <v>0</v>
      </c>
      <c r="U110" s="47">
        <v>0</v>
      </c>
      <c r="V110" s="47">
        <v>0</v>
      </c>
      <c r="W110" s="48">
        <v>0</v>
      </c>
      <c r="X110" s="57">
        <f t="shared" si="12"/>
        <v>0</v>
      </c>
      <c r="Y110" s="119"/>
    </row>
    <row r="111" spans="1:25" ht="30">
      <c r="A111" s="44" t="s">
        <v>469</v>
      </c>
      <c r="B111" s="19" t="s">
        <v>400</v>
      </c>
      <c r="C111" s="49">
        <v>2027</v>
      </c>
      <c r="D111" s="46">
        <v>0</v>
      </c>
      <c r="E111" s="47">
        <v>0</v>
      </c>
      <c r="F111" s="47">
        <v>0</v>
      </c>
      <c r="G111" s="48">
        <v>0</v>
      </c>
      <c r="H111" s="57">
        <f t="shared" si="13"/>
        <v>0</v>
      </c>
      <c r="I111" s="119"/>
      <c r="J111" s="119"/>
      <c r="K111" s="119"/>
      <c r="L111" s="119"/>
      <c r="M111" s="119"/>
      <c r="N111" s="119"/>
      <c r="O111" s="119"/>
      <c r="P111" s="119"/>
      <c r="Q111" s="44" t="s">
        <v>469</v>
      </c>
      <c r="R111" s="19" t="s">
        <v>400</v>
      </c>
      <c r="S111" s="49">
        <v>2027</v>
      </c>
      <c r="T111" s="46">
        <v>0</v>
      </c>
      <c r="U111" s="47">
        <v>0</v>
      </c>
      <c r="V111" s="47">
        <v>0</v>
      </c>
      <c r="W111" s="48">
        <v>0</v>
      </c>
      <c r="X111" s="57">
        <f t="shared" si="12"/>
        <v>0</v>
      </c>
      <c r="Y111" s="119"/>
    </row>
    <row r="112" spans="1:25" ht="30">
      <c r="A112" s="44" t="s">
        <v>469</v>
      </c>
      <c r="B112" s="19" t="s">
        <v>400</v>
      </c>
      <c r="C112" s="49">
        <v>2028</v>
      </c>
      <c r="D112" s="46">
        <v>0</v>
      </c>
      <c r="E112" s="47">
        <v>0</v>
      </c>
      <c r="F112" s="47">
        <v>0</v>
      </c>
      <c r="G112" s="48">
        <v>0</v>
      </c>
      <c r="H112" s="57">
        <f t="shared" si="13"/>
        <v>0</v>
      </c>
      <c r="I112" s="119"/>
      <c r="J112" s="119"/>
      <c r="K112" s="119"/>
      <c r="L112" s="119"/>
      <c r="M112" s="119"/>
      <c r="N112" s="119"/>
      <c r="O112" s="119"/>
      <c r="P112" s="119"/>
      <c r="Q112" s="44" t="s">
        <v>469</v>
      </c>
      <c r="R112" s="19" t="s">
        <v>400</v>
      </c>
      <c r="S112" s="49">
        <v>2028</v>
      </c>
      <c r="T112" s="46">
        <v>0</v>
      </c>
      <c r="U112" s="47">
        <v>0</v>
      </c>
      <c r="V112" s="47">
        <v>0</v>
      </c>
      <c r="W112" s="48">
        <v>0</v>
      </c>
      <c r="X112" s="57">
        <f t="shared" si="12"/>
        <v>0</v>
      </c>
      <c r="Y112" s="119"/>
    </row>
    <row r="113" spans="1:25" ht="30">
      <c r="A113" s="44" t="s">
        <v>469</v>
      </c>
      <c r="B113" s="19" t="s">
        <v>400</v>
      </c>
      <c r="C113" s="49">
        <v>2029</v>
      </c>
      <c r="D113" s="46">
        <v>0</v>
      </c>
      <c r="E113" s="47">
        <v>0</v>
      </c>
      <c r="F113" s="47">
        <v>0</v>
      </c>
      <c r="G113" s="48">
        <v>0</v>
      </c>
      <c r="H113" s="57">
        <f t="shared" si="13"/>
        <v>0</v>
      </c>
      <c r="I113" s="119"/>
      <c r="J113" s="119"/>
      <c r="K113" s="119"/>
      <c r="L113" s="119"/>
      <c r="M113" s="119"/>
      <c r="N113" s="119"/>
      <c r="O113" s="119"/>
      <c r="P113" s="119"/>
      <c r="Q113" s="44" t="s">
        <v>469</v>
      </c>
      <c r="R113" s="19" t="s">
        <v>400</v>
      </c>
      <c r="S113" s="49">
        <v>2029</v>
      </c>
      <c r="T113" s="46">
        <v>0</v>
      </c>
      <c r="U113" s="47">
        <v>0</v>
      </c>
      <c r="V113" s="47">
        <v>0</v>
      </c>
      <c r="W113" s="48">
        <v>0</v>
      </c>
      <c r="X113" s="57">
        <f t="shared" si="12"/>
        <v>0</v>
      </c>
      <c r="Y113" s="119"/>
    </row>
    <row r="114" spans="1:25" ht="30">
      <c r="A114" s="44" t="s">
        <v>469</v>
      </c>
      <c r="B114" s="19" t="s">
        <v>400</v>
      </c>
      <c r="C114" s="49">
        <v>2030</v>
      </c>
      <c r="D114" s="46">
        <v>0</v>
      </c>
      <c r="E114" s="47">
        <v>0</v>
      </c>
      <c r="F114" s="47">
        <v>0</v>
      </c>
      <c r="G114" s="48">
        <v>0</v>
      </c>
      <c r="H114" s="57">
        <f t="shared" si="13"/>
        <v>0</v>
      </c>
      <c r="I114" s="119"/>
      <c r="J114" s="119"/>
      <c r="K114" s="119"/>
      <c r="L114" s="119"/>
      <c r="M114" s="119"/>
      <c r="N114" s="119"/>
      <c r="O114" s="119"/>
      <c r="P114" s="119"/>
      <c r="Q114" s="44" t="s">
        <v>469</v>
      </c>
      <c r="R114" s="19" t="s">
        <v>400</v>
      </c>
      <c r="S114" s="49">
        <v>2030</v>
      </c>
      <c r="T114" s="46">
        <v>0</v>
      </c>
      <c r="U114" s="47">
        <v>0</v>
      </c>
      <c r="V114" s="47">
        <v>0</v>
      </c>
      <c r="W114" s="48">
        <v>0</v>
      </c>
      <c r="X114" s="57">
        <f t="shared" si="12"/>
        <v>0</v>
      </c>
      <c r="Y114" s="119"/>
    </row>
    <row r="115" spans="1:25" ht="30">
      <c r="A115" s="44" t="s">
        <v>469</v>
      </c>
      <c r="B115" s="19" t="s">
        <v>400</v>
      </c>
      <c r="C115" s="49">
        <v>2031</v>
      </c>
      <c r="D115" s="46">
        <v>0</v>
      </c>
      <c r="E115" s="47">
        <v>0</v>
      </c>
      <c r="F115" s="47">
        <v>0</v>
      </c>
      <c r="G115" s="48">
        <v>0</v>
      </c>
      <c r="H115" s="57">
        <f t="shared" si="13"/>
        <v>0</v>
      </c>
      <c r="I115" s="119"/>
      <c r="J115" s="119"/>
      <c r="K115" s="119"/>
      <c r="L115" s="119"/>
      <c r="M115" s="119"/>
      <c r="N115" s="119"/>
      <c r="O115" s="119"/>
      <c r="P115" s="119"/>
      <c r="Q115" s="44" t="s">
        <v>469</v>
      </c>
      <c r="R115" s="19" t="s">
        <v>400</v>
      </c>
      <c r="S115" s="49">
        <v>2031</v>
      </c>
      <c r="T115" s="46">
        <v>0</v>
      </c>
      <c r="U115" s="47">
        <v>0</v>
      </c>
      <c r="V115" s="47">
        <v>0</v>
      </c>
      <c r="W115" s="48">
        <v>0</v>
      </c>
      <c r="X115" s="57">
        <f t="shared" si="12"/>
        <v>0</v>
      </c>
      <c r="Y115" s="119"/>
    </row>
    <row r="116" spans="1:25" ht="30">
      <c r="A116" s="44" t="s">
        <v>469</v>
      </c>
      <c r="B116" s="19" t="s">
        <v>400</v>
      </c>
      <c r="C116" s="49">
        <v>2032</v>
      </c>
      <c r="D116" s="46">
        <v>0</v>
      </c>
      <c r="E116" s="47">
        <v>0</v>
      </c>
      <c r="F116" s="47">
        <v>258.48255462728321</v>
      </c>
      <c r="G116" s="48">
        <v>0</v>
      </c>
      <c r="H116" s="57">
        <f t="shared" si="13"/>
        <v>172.47949275891847</v>
      </c>
      <c r="I116" s="119"/>
      <c r="J116" s="119"/>
      <c r="K116" s="119"/>
      <c r="L116" s="119"/>
      <c r="M116" s="119"/>
      <c r="N116" s="119"/>
      <c r="O116" s="119"/>
      <c r="P116" s="119"/>
      <c r="Q116" s="44" t="s">
        <v>469</v>
      </c>
      <c r="R116" s="19" t="s">
        <v>400</v>
      </c>
      <c r="S116" s="49">
        <v>2032</v>
      </c>
      <c r="T116" s="46">
        <v>0</v>
      </c>
      <c r="U116" s="47">
        <v>0</v>
      </c>
      <c r="V116" s="47">
        <v>258.48255462728321</v>
      </c>
      <c r="W116" s="48">
        <v>0</v>
      </c>
      <c r="X116" s="57">
        <f t="shared" si="12"/>
        <v>258.48255462728321</v>
      </c>
      <c r="Y116" s="119"/>
    </row>
    <row r="117" spans="1:25" ht="30">
      <c r="A117" s="44" t="s">
        <v>469</v>
      </c>
      <c r="B117" s="19" t="s">
        <v>400</v>
      </c>
      <c r="C117" s="49">
        <v>2033</v>
      </c>
      <c r="D117" s="46">
        <v>0</v>
      </c>
      <c r="E117" s="47">
        <v>0</v>
      </c>
      <c r="F117" s="47">
        <v>0</v>
      </c>
      <c r="G117" s="48">
        <v>0</v>
      </c>
      <c r="H117" s="57">
        <f t="shared" si="13"/>
        <v>0</v>
      </c>
      <c r="I117" s="119"/>
      <c r="J117" s="119"/>
      <c r="K117" s="119"/>
      <c r="L117" s="119"/>
      <c r="M117" s="119"/>
      <c r="N117" s="119"/>
      <c r="O117" s="119"/>
      <c r="P117" s="119"/>
      <c r="Q117" s="44" t="s">
        <v>469</v>
      </c>
      <c r="R117" s="19" t="s">
        <v>400</v>
      </c>
      <c r="S117" s="49">
        <v>2033</v>
      </c>
      <c r="T117" s="46">
        <v>0</v>
      </c>
      <c r="U117" s="47">
        <v>0</v>
      </c>
      <c r="V117" s="47">
        <v>263.65220571982888</v>
      </c>
      <c r="W117" s="48">
        <v>0</v>
      </c>
      <c r="X117" s="57">
        <f t="shared" si="12"/>
        <v>263.65220571982888</v>
      </c>
      <c r="Y117" s="119"/>
    </row>
    <row r="118" spans="1:25" ht="30">
      <c r="A118" s="44" t="s">
        <v>469</v>
      </c>
      <c r="B118" s="19" t="s">
        <v>400</v>
      </c>
      <c r="C118" s="49">
        <v>2034</v>
      </c>
      <c r="D118" s="46">
        <v>0</v>
      </c>
      <c r="E118" s="47">
        <v>0</v>
      </c>
      <c r="F118" s="47">
        <v>0</v>
      </c>
      <c r="G118" s="48">
        <v>118.41374068376057</v>
      </c>
      <c r="H118" s="57">
        <f t="shared" si="13"/>
        <v>69.046829187357659</v>
      </c>
      <c r="I118" s="119"/>
      <c r="J118" s="119"/>
      <c r="K118" s="119"/>
      <c r="L118" s="119"/>
      <c r="M118" s="119"/>
      <c r="N118" s="119"/>
      <c r="O118" s="119"/>
      <c r="P118" s="119"/>
      <c r="Q118" s="44" t="s">
        <v>469</v>
      </c>
      <c r="R118" s="19" t="s">
        <v>400</v>
      </c>
      <c r="S118" s="49">
        <v>2034</v>
      </c>
      <c r="T118" s="46">
        <v>0</v>
      </c>
      <c r="U118" s="47">
        <v>0</v>
      </c>
      <c r="V118" s="47">
        <v>268.92524983422544</v>
      </c>
      <c r="W118" s="48">
        <v>118.41374068376057</v>
      </c>
      <c r="X118" s="57">
        <f t="shared" si="12"/>
        <v>387.33899051798602</v>
      </c>
      <c r="Y118" s="119"/>
    </row>
    <row r="119" spans="1:25" ht="30">
      <c r="A119" s="44" t="s">
        <v>469</v>
      </c>
      <c r="B119" s="19" t="s">
        <v>400</v>
      </c>
      <c r="C119" s="49">
        <v>2035</v>
      </c>
      <c r="D119" s="46">
        <v>0</v>
      </c>
      <c r="E119" s="47">
        <v>0</v>
      </c>
      <c r="F119" s="47">
        <v>0</v>
      </c>
      <c r="G119" s="48">
        <v>0</v>
      </c>
      <c r="H119" s="57">
        <f t="shared" si="13"/>
        <v>0</v>
      </c>
      <c r="I119" s="119"/>
      <c r="J119" s="119"/>
      <c r="K119" s="119"/>
      <c r="L119" s="119"/>
      <c r="M119" s="119"/>
      <c r="N119" s="119"/>
      <c r="O119" s="119"/>
      <c r="P119" s="119"/>
      <c r="Q119" s="44" t="s">
        <v>469</v>
      </c>
      <c r="R119" s="19" t="s">
        <v>400</v>
      </c>
      <c r="S119" s="49">
        <v>2035</v>
      </c>
      <c r="T119" s="46">
        <v>0</v>
      </c>
      <c r="U119" s="47">
        <v>0</v>
      </c>
      <c r="V119" s="47">
        <v>274.30375483090995</v>
      </c>
      <c r="W119" s="48">
        <v>120.78201549743578</v>
      </c>
      <c r="X119" s="57">
        <f t="shared" si="12"/>
        <v>395.08577032834575</v>
      </c>
      <c r="Y119" s="119">
        <f>NPV($Y$10,X110:X119)/((1-(1+$Y$10)^-10)/$Y$10)</f>
        <v>103.4472089396177</v>
      </c>
    </row>
    <row r="120" spans="1:25">
      <c r="A120" s="44"/>
      <c r="B120" s="19" t="s">
        <v>401</v>
      </c>
      <c r="C120" s="49"/>
      <c r="D120" s="42" t="s">
        <v>401</v>
      </c>
      <c r="E120" s="19" t="s">
        <v>401</v>
      </c>
      <c r="F120" s="19" t="s">
        <v>401</v>
      </c>
      <c r="G120" s="43" t="s">
        <v>401</v>
      </c>
      <c r="H120" s="57">
        <f t="shared" si="13"/>
        <v>0</v>
      </c>
      <c r="I120" s="119"/>
      <c r="J120" s="119"/>
      <c r="K120" s="119"/>
      <c r="L120" s="119"/>
      <c r="M120" s="119"/>
      <c r="N120" s="119"/>
      <c r="O120" s="119"/>
      <c r="P120" s="119"/>
      <c r="Q120" s="44"/>
      <c r="R120" s="19" t="s">
        <v>401</v>
      </c>
      <c r="S120" s="49"/>
      <c r="T120" s="42"/>
      <c r="U120" s="19"/>
      <c r="V120" s="19"/>
      <c r="W120" s="43"/>
      <c r="X120" s="57">
        <f t="shared" si="12"/>
        <v>0</v>
      </c>
      <c r="Y120" s="119"/>
    </row>
    <row r="121" spans="1:25" ht="30">
      <c r="A121" s="44" t="s">
        <v>469</v>
      </c>
      <c r="B121" s="19" t="s">
        <v>402</v>
      </c>
      <c r="C121" s="49">
        <v>2026</v>
      </c>
      <c r="D121" s="46">
        <v>0</v>
      </c>
      <c r="E121" s="47">
        <v>0</v>
      </c>
      <c r="F121" s="47">
        <v>0</v>
      </c>
      <c r="G121" s="48">
        <v>0</v>
      </c>
      <c r="H121" s="57">
        <f t="shared" si="13"/>
        <v>0</v>
      </c>
      <c r="I121" s="119"/>
      <c r="J121" s="119"/>
      <c r="K121" s="119"/>
      <c r="L121" s="119"/>
      <c r="M121" s="119"/>
      <c r="N121" s="119"/>
      <c r="O121" s="119"/>
      <c r="P121" s="119"/>
      <c r="Q121" s="44" t="s">
        <v>469</v>
      </c>
      <c r="R121" s="19" t="s">
        <v>402</v>
      </c>
      <c r="S121" s="49">
        <v>2026</v>
      </c>
      <c r="T121" s="46">
        <v>0</v>
      </c>
      <c r="U121" s="47">
        <v>0</v>
      </c>
      <c r="V121" s="47">
        <v>0</v>
      </c>
      <c r="W121" s="48">
        <v>0</v>
      </c>
      <c r="X121" s="57">
        <f t="shared" si="12"/>
        <v>0</v>
      </c>
      <c r="Y121" s="119"/>
    </row>
    <row r="122" spans="1:25" ht="30">
      <c r="A122" s="44" t="s">
        <v>469</v>
      </c>
      <c r="B122" s="19" t="s">
        <v>402</v>
      </c>
      <c r="C122" s="49">
        <v>2027</v>
      </c>
      <c r="D122" s="46">
        <v>0</v>
      </c>
      <c r="E122" s="47">
        <v>0</v>
      </c>
      <c r="F122" s="47">
        <v>0</v>
      </c>
      <c r="G122" s="48">
        <v>0</v>
      </c>
      <c r="H122" s="57">
        <f t="shared" si="13"/>
        <v>0</v>
      </c>
      <c r="I122" s="119"/>
      <c r="J122" s="119"/>
      <c r="K122" s="119"/>
      <c r="L122" s="119"/>
      <c r="M122" s="119"/>
      <c r="N122" s="119"/>
      <c r="O122" s="119"/>
      <c r="P122" s="119"/>
      <c r="Q122" s="44" t="s">
        <v>469</v>
      </c>
      <c r="R122" s="19" t="s">
        <v>402</v>
      </c>
      <c r="S122" s="49">
        <v>2027</v>
      </c>
      <c r="T122" s="46">
        <v>0</v>
      </c>
      <c r="U122" s="47">
        <v>0</v>
      </c>
      <c r="V122" s="47">
        <v>0</v>
      </c>
      <c r="W122" s="48">
        <v>0</v>
      </c>
      <c r="X122" s="57">
        <f t="shared" si="12"/>
        <v>0</v>
      </c>
      <c r="Y122" s="119"/>
    </row>
    <row r="123" spans="1:25" ht="30">
      <c r="A123" s="44" t="s">
        <v>469</v>
      </c>
      <c r="B123" s="19" t="s">
        <v>402</v>
      </c>
      <c r="C123" s="49">
        <v>2028</v>
      </c>
      <c r="D123" s="46">
        <v>0</v>
      </c>
      <c r="E123" s="47">
        <v>0</v>
      </c>
      <c r="F123" s="47">
        <v>0</v>
      </c>
      <c r="G123" s="48">
        <v>0</v>
      </c>
      <c r="H123" s="57">
        <f t="shared" si="13"/>
        <v>0</v>
      </c>
      <c r="I123" s="119"/>
      <c r="J123" s="119"/>
      <c r="K123" s="119"/>
      <c r="L123" s="119"/>
      <c r="M123" s="119"/>
      <c r="N123" s="119"/>
      <c r="O123" s="119"/>
      <c r="P123" s="119"/>
      <c r="Q123" s="44" t="s">
        <v>469</v>
      </c>
      <c r="R123" s="19" t="s">
        <v>402</v>
      </c>
      <c r="S123" s="49">
        <v>2028</v>
      </c>
      <c r="T123" s="46">
        <v>0</v>
      </c>
      <c r="U123" s="47">
        <v>0</v>
      </c>
      <c r="V123" s="47">
        <v>0</v>
      </c>
      <c r="W123" s="48">
        <v>0</v>
      </c>
      <c r="X123" s="57">
        <f t="shared" si="12"/>
        <v>0</v>
      </c>
      <c r="Y123" s="119"/>
    </row>
    <row r="124" spans="1:25" ht="30">
      <c r="A124" s="44" t="s">
        <v>469</v>
      </c>
      <c r="B124" s="19" t="s">
        <v>402</v>
      </c>
      <c r="C124" s="49">
        <v>2029</v>
      </c>
      <c r="D124" s="46">
        <v>0</v>
      </c>
      <c r="E124" s="47">
        <v>0</v>
      </c>
      <c r="F124" s="47">
        <v>0</v>
      </c>
      <c r="G124" s="48">
        <v>0</v>
      </c>
      <c r="H124" s="57">
        <f t="shared" si="13"/>
        <v>0</v>
      </c>
      <c r="I124" s="119"/>
      <c r="J124" s="119"/>
      <c r="K124" s="119"/>
      <c r="L124" s="119"/>
      <c r="M124" s="119"/>
      <c r="N124" s="119"/>
      <c r="O124" s="119"/>
      <c r="P124" s="119"/>
      <c r="Q124" s="44" t="s">
        <v>469</v>
      </c>
      <c r="R124" s="19" t="s">
        <v>402</v>
      </c>
      <c r="S124" s="49">
        <v>2029</v>
      </c>
      <c r="T124" s="46">
        <v>0</v>
      </c>
      <c r="U124" s="47">
        <v>0</v>
      </c>
      <c r="V124" s="47">
        <v>0</v>
      </c>
      <c r="W124" s="48">
        <v>0</v>
      </c>
      <c r="X124" s="57">
        <f t="shared" si="12"/>
        <v>0</v>
      </c>
      <c r="Y124" s="119"/>
    </row>
    <row r="125" spans="1:25" ht="30">
      <c r="A125" s="44" t="s">
        <v>469</v>
      </c>
      <c r="B125" s="19" t="s">
        <v>402</v>
      </c>
      <c r="C125" s="49">
        <v>2030</v>
      </c>
      <c r="D125" s="46">
        <v>0</v>
      </c>
      <c r="E125" s="47">
        <v>0</v>
      </c>
      <c r="F125" s="47">
        <v>0</v>
      </c>
      <c r="G125" s="48">
        <v>0</v>
      </c>
      <c r="H125" s="57">
        <f t="shared" si="13"/>
        <v>0</v>
      </c>
      <c r="I125" s="119"/>
      <c r="J125" s="119"/>
      <c r="K125" s="119"/>
      <c r="L125" s="119"/>
      <c r="M125" s="119"/>
      <c r="N125" s="119"/>
      <c r="O125" s="119"/>
      <c r="P125" s="119"/>
      <c r="Q125" s="44" t="s">
        <v>469</v>
      </c>
      <c r="R125" s="19" t="s">
        <v>402</v>
      </c>
      <c r="S125" s="49">
        <v>2030</v>
      </c>
      <c r="T125" s="46">
        <v>0</v>
      </c>
      <c r="U125" s="47">
        <v>0</v>
      </c>
      <c r="V125" s="47">
        <v>0</v>
      </c>
      <c r="W125" s="48">
        <v>0</v>
      </c>
      <c r="X125" s="57">
        <f t="shared" si="12"/>
        <v>0</v>
      </c>
      <c r="Y125" s="119"/>
    </row>
    <row r="126" spans="1:25" ht="30">
      <c r="A126" s="44" t="s">
        <v>469</v>
      </c>
      <c r="B126" s="19" t="s">
        <v>402</v>
      </c>
      <c r="C126" s="49">
        <v>2031</v>
      </c>
      <c r="D126" s="46">
        <v>0</v>
      </c>
      <c r="E126" s="47">
        <v>0</v>
      </c>
      <c r="F126" s="47">
        <v>0</v>
      </c>
      <c r="G126" s="48">
        <v>0</v>
      </c>
      <c r="H126" s="57">
        <f t="shared" si="13"/>
        <v>0</v>
      </c>
      <c r="I126" s="119"/>
      <c r="J126" s="119"/>
      <c r="K126" s="119"/>
      <c r="L126" s="119"/>
      <c r="M126" s="119"/>
      <c r="N126" s="119"/>
      <c r="O126" s="119"/>
      <c r="P126" s="119"/>
      <c r="Q126" s="44" t="s">
        <v>469</v>
      </c>
      <c r="R126" s="19" t="s">
        <v>402</v>
      </c>
      <c r="S126" s="49">
        <v>2031</v>
      </c>
      <c r="T126" s="46">
        <v>0</v>
      </c>
      <c r="U126" s="47">
        <v>0</v>
      </c>
      <c r="V126" s="47">
        <v>0</v>
      </c>
      <c r="W126" s="48">
        <v>0</v>
      </c>
      <c r="X126" s="57">
        <f t="shared" si="12"/>
        <v>0</v>
      </c>
      <c r="Y126" s="119"/>
    </row>
    <row r="127" spans="1:25" ht="30">
      <c r="A127" s="44" t="s">
        <v>469</v>
      </c>
      <c r="B127" s="19" t="s">
        <v>402</v>
      </c>
      <c r="C127" s="49">
        <v>2032</v>
      </c>
      <c r="D127" s="46">
        <v>0</v>
      </c>
      <c r="E127" s="47">
        <v>0</v>
      </c>
      <c r="F127" s="47">
        <v>0</v>
      </c>
      <c r="G127" s="48">
        <v>0</v>
      </c>
      <c r="H127" s="57">
        <f t="shared" si="13"/>
        <v>0</v>
      </c>
      <c r="I127" s="119"/>
      <c r="J127" s="119"/>
      <c r="K127" s="119"/>
      <c r="L127" s="119"/>
      <c r="M127" s="119"/>
      <c r="N127" s="119"/>
      <c r="O127" s="119"/>
      <c r="P127" s="119"/>
      <c r="Q127" s="44" t="s">
        <v>469</v>
      </c>
      <c r="R127" s="19" t="s">
        <v>402</v>
      </c>
      <c r="S127" s="49">
        <v>2032</v>
      </c>
      <c r="T127" s="46">
        <v>0</v>
      </c>
      <c r="U127" s="47">
        <v>0</v>
      </c>
      <c r="V127" s="47">
        <v>0</v>
      </c>
      <c r="W127" s="48">
        <v>0</v>
      </c>
      <c r="X127" s="57">
        <f t="shared" si="12"/>
        <v>0</v>
      </c>
      <c r="Y127" s="119"/>
    </row>
    <row r="128" spans="1:25" ht="30">
      <c r="A128" s="44" t="s">
        <v>469</v>
      </c>
      <c r="B128" s="19" t="s">
        <v>402</v>
      </c>
      <c r="C128" s="49">
        <v>2033</v>
      </c>
      <c r="D128" s="46">
        <v>0</v>
      </c>
      <c r="E128" s="47">
        <v>0</v>
      </c>
      <c r="F128" s="47">
        <v>0</v>
      </c>
      <c r="G128" s="48">
        <v>0</v>
      </c>
      <c r="H128" s="57">
        <f t="shared" si="13"/>
        <v>0</v>
      </c>
      <c r="I128" s="119"/>
      <c r="J128" s="119"/>
      <c r="K128" s="119"/>
      <c r="L128" s="119"/>
      <c r="M128" s="119"/>
      <c r="N128" s="119"/>
      <c r="O128" s="119"/>
      <c r="P128" s="119"/>
      <c r="Q128" s="44" t="s">
        <v>469</v>
      </c>
      <c r="R128" s="19" t="s">
        <v>402</v>
      </c>
      <c r="S128" s="49">
        <v>2033</v>
      </c>
      <c r="T128" s="46">
        <v>0</v>
      </c>
      <c r="U128" s="47">
        <v>0</v>
      </c>
      <c r="V128" s="47">
        <v>0</v>
      </c>
      <c r="W128" s="48">
        <v>0</v>
      </c>
      <c r="X128" s="57">
        <f t="shared" si="12"/>
        <v>0</v>
      </c>
      <c r="Y128" s="119"/>
    </row>
    <row r="129" spans="1:25" ht="30">
      <c r="A129" s="44" t="s">
        <v>469</v>
      </c>
      <c r="B129" s="19" t="s">
        <v>402</v>
      </c>
      <c r="C129" s="49">
        <v>2034</v>
      </c>
      <c r="D129" s="46">
        <v>0</v>
      </c>
      <c r="E129" s="47">
        <v>0</v>
      </c>
      <c r="F129" s="47">
        <v>70.274232858250144</v>
      </c>
      <c r="G129" s="48">
        <v>0</v>
      </c>
      <c r="H129" s="57">
        <f t="shared" si="13"/>
        <v>40.976772834114463</v>
      </c>
      <c r="I129" s="119"/>
      <c r="J129" s="119"/>
      <c r="K129" s="119"/>
      <c r="L129" s="119"/>
      <c r="M129" s="119"/>
      <c r="N129" s="119"/>
      <c r="O129" s="119"/>
      <c r="P129" s="119"/>
      <c r="Q129" s="44" t="s">
        <v>469</v>
      </c>
      <c r="R129" s="19" t="s">
        <v>402</v>
      </c>
      <c r="S129" s="49">
        <v>2034</v>
      </c>
      <c r="T129" s="46">
        <v>0</v>
      </c>
      <c r="U129" s="47">
        <v>0</v>
      </c>
      <c r="V129" s="47">
        <v>70.274232858250144</v>
      </c>
      <c r="W129" s="48">
        <v>0</v>
      </c>
      <c r="X129" s="57">
        <f t="shared" si="12"/>
        <v>70.274232858250144</v>
      </c>
      <c r="Y129" s="119"/>
    </row>
    <row r="130" spans="1:25" ht="30">
      <c r="A130" s="44" t="s">
        <v>469</v>
      </c>
      <c r="B130" s="19" t="s">
        <v>402</v>
      </c>
      <c r="C130" s="49">
        <v>2035</v>
      </c>
      <c r="D130" s="46">
        <v>0</v>
      </c>
      <c r="E130" s="47">
        <v>0</v>
      </c>
      <c r="F130" s="47">
        <v>0</v>
      </c>
      <c r="G130" s="48">
        <v>0</v>
      </c>
      <c r="H130" s="57">
        <f t="shared" si="13"/>
        <v>0</v>
      </c>
      <c r="I130" s="119"/>
      <c r="J130" s="119"/>
      <c r="K130" s="119"/>
      <c r="L130" s="119"/>
      <c r="M130" s="119"/>
      <c r="N130" s="119"/>
      <c r="O130" s="119"/>
      <c r="P130" s="119"/>
      <c r="Q130" s="44" t="s">
        <v>469</v>
      </c>
      <c r="R130" s="19" t="s">
        <v>402</v>
      </c>
      <c r="S130" s="49">
        <v>2035</v>
      </c>
      <c r="T130" s="46">
        <v>0</v>
      </c>
      <c r="U130" s="47">
        <v>0</v>
      </c>
      <c r="V130" s="47">
        <v>71.679717515415149</v>
      </c>
      <c r="W130" s="48">
        <v>0</v>
      </c>
      <c r="X130" s="57">
        <f t="shared" si="12"/>
        <v>71.679717515415149</v>
      </c>
      <c r="Y130" s="119">
        <f>NPV($Y$10,X121:X130)/((1-(1+$Y$10)^-10)/$Y$10)</f>
        <v>10.64159757551381</v>
      </c>
    </row>
    <row r="131" spans="1:25">
      <c r="A131" s="44"/>
      <c r="B131" s="19" t="s">
        <v>401</v>
      </c>
      <c r="C131" s="49"/>
      <c r="D131" s="46" t="s">
        <v>401</v>
      </c>
      <c r="E131" s="47" t="s">
        <v>401</v>
      </c>
      <c r="F131" s="47" t="s">
        <v>401</v>
      </c>
      <c r="G131" s="48" t="s">
        <v>401</v>
      </c>
      <c r="H131" s="57">
        <f t="shared" si="13"/>
        <v>0</v>
      </c>
      <c r="I131" s="119"/>
      <c r="J131" s="119"/>
      <c r="K131" s="119"/>
      <c r="L131" s="119"/>
      <c r="M131" s="119"/>
      <c r="N131" s="119"/>
      <c r="O131" s="119"/>
      <c r="P131" s="119"/>
      <c r="Q131" s="44"/>
      <c r="R131" s="19" t="s">
        <v>401</v>
      </c>
      <c r="S131" s="49"/>
      <c r="T131" s="46"/>
      <c r="U131" s="47"/>
      <c r="V131" s="47"/>
      <c r="W131" s="48"/>
      <c r="X131" s="57">
        <f t="shared" si="12"/>
        <v>0</v>
      </c>
      <c r="Y131" s="119"/>
    </row>
    <row r="132" spans="1:25" ht="30">
      <c r="A132" s="44" t="s">
        <v>469</v>
      </c>
      <c r="B132" s="19" t="s">
        <v>403</v>
      </c>
      <c r="C132" s="49">
        <v>2026</v>
      </c>
      <c r="D132" s="46">
        <v>0</v>
      </c>
      <c r="E132" s="47">
        <v>0</v>
      </c>
      <c r="F132" s="47">
        <v>0</v>
      </c>
      <c r="G132" s="48">
        <v>0</v>
      </c>
      <c r="H132" s="57">
        <f t="shared" si="13"/>
        <v>0</v>
      </c>
      <c r="I132" s="119"/>
      <c r="J132" s="119"/>
      <c r="K132" s="119"/>
      <c r="L132" s="119"/>
      <c r="M132" s="119"/>
      <c r="N132" s="119"/>
      <c r="O132" s="119"/>
      <c r="P132" s="119"/>
      <c r="Q132" s="44" t="s">
        <v>469</v>
      </c>
      <c r="R132" s="19" t="s">
        <v>403</v>
      </c>
      <c r="S132" s="49">
        <v>2026</v>
      </c>
      <c r="T132" s="46">
        <v>0</v>
      </c>
      <c r="U132" s="47">
        <v>0</v>
      </c>
      <c r="V132" s="47">
        <v>0</v>
      </c>
      <c r="W132" s="48">
        <v>0</v>
      </c>
      <c r="X132" s="57">
        <f t="shared" si="12"/>
        <v>0</v>
      </c>
      <c r="Y132" s="119"/>
    </row>
    <row r="133" spans="1:25" ht="30">
      <c r="A133" s="44" t="s">
        <v>469</v>
      </c>
      <c r="B133" s="19" t="s">
        <v>403</v>
      </c>
      <c r="C133" s="49">
        <v>2027</v>
      </c>
      <c r="D133" s="46">
        <v>0</v>
      </c>
      <c r="E133" s="47">
        <v>0</v>
      </c>
      <c r="F133" s="47">
        <v>0</v>
      </c>
      <c r="G133" s="48">
        <v>0</v>
      </c>
      <c r="H133" s="57">
        <f t="shared" si="13"/>
        <v>0</v>
      </c>
      <c r="I133" s="119"/>
      <c r="J133" s="119"/>
      <c r="K133" s="119"/>
      <c r="L133" s="119"/>
      <c r="M133" s="119"/>
      <c r="N133" s="119"/>
      <c r="O133" s="119"/>
      <c r="P133" s="119"/>
      <c r="Q133" s="44" t="s">
        <v>469</v>
      </c>
      <c r="R133" s="19" t="s">
        <v>403</v>
      </c>
      <c r="S133" s="49">
        <v>2027</v>
      </c>
      <c r="T133" s="46">
        <v>0</v>
      </c>
      <c r="U133" s="47">
        <v>0</v>
      </c>
      <c r="V133" s="47">
        <v>0</v>
      </c>
      <c r="W133" s="48">
        <v>0</v>
      </c>
      <c r="X133" s="57">
        <f t="shared" si="12"/>
        <v>0</v>
      </c>
      <c r="Y133" s="119"/>
    </row>
    <row r="134" spans="1:25" ht="30">
      <c r="A134" s="44" t="s">
        <v>469</v>
      </c>
      <c r="B134" s="19" t="s">
        <v>403</v>
      </c>
      <c r="C134" s="49">
        <v>2028</v>
      </c>
      <c r="D134" s="46">
        <v>0</v>
      </c>
      <c r="E134" s="47">
        <v>0</v>
      </c>
      <c r="F134" s="47">
        <v>0</v>
      </c>
      <c r="G134" s="48">
        <v>0</v>
      </c>
      <c r="H134" s="57">
        <f t="shared" si="13"/>
        <v>0</v>
      </c>
      <c r="I134" s="119"/>
      <c r="J134" s="119"/>
      <c r="K134" s="119"/>
      <c r="L134" s="119"/>
      <c r="M134" s="119"/>
      <c r="N134" s="119"/>
      <c r="O134" s="119"/>
      <c r="P134" s="119"/>
      <c r="Q134" s="44" t="s">
        <v>469</v>
      </c>
      <c r="R134" s="19" t="s">
        <v>403</v>
      </c>
      <c r="S134" s="49">
        <v>2028</v>
      </c>
      <c r="T134" s="46">
        <v>0</v>
      </c>
      <c r="U134" s="47">
        <v>0</v>
      </c>
      <c r="V134" s="47">
        <v>0</v>
      </c>
      <c r="W134" s="48">
        <v>0</v>
      </c>
      <c r="X134" s="57">
        <f t="shared" si="12"/>
        <v>0</v>
      </c>
      <c r="Y134" s="119"/>
    </row>
    <row r="135" spans="1:25" ht="30">
      <c r="A135" s="44" t="s">
        <v>469</v>
      </c>
      <c r="B135" s="19" t="s">
        <v>403</v>
      </c>
      <c r="C135" s="49">
        <v>2029</v>
      </c>
      <c r="D135" s="46">
        <v>0</v>
      </c>
      <c r="E135" s="47">
        <v>0</v>
      </c>
      <c r="F135" s="47">
        <v>0</v>
      </c>
      <c r="G135" s="48">
        <v>0</v>
      </c>
      <c r="H135" s="57">
        <f t="shared" si="13"/>
        <v>0</v>
      </c>
      <c r="I135" s="119"/>
      <c r="J135" s="119"/>
      <c r="K135" s="119"/>
      <c r="L135" s="119"/>
      <c r="M135" s="119"/>
      <c r="N135" s="119"/>
      <c r="O135" s="119"/>
      <c r="P135" s="119"/>
      <c r="Q135" s="44" t="s">
        <v>469</v>
      </c>
      <c r="R135" s="19" t="s">
        <v>403</v>
      </c>
      <c r="S135" s="49">
        <v>2029</v>
      </c>
      <c r="T135" s="46">
        <v>0</v>
      </c>
      <c r="U135" s="47">
        <v>0</v>
      </c>
      <c r="V135" s="47">
        <v>0</v>
      </c>
      <c r="W135" s="48">
        <v>0</v>
      </c>
      <c r="X135" s="57">
        <f t="shared" si="12"/>
        <v>0</v>
      </c>
      <c r="Y135" s="119"/>
    </row>
    <row r="136" spans="1:25" ht="30">
      <c r="A136" s="44" t="s">
        <v>469</v>
      </c>
      <c r="B136" s="19" t="s">
        <v>403</v>
      </c>
      <c r="C136" s="49">
        <v>2030</v>
      </c>
      <c r="D136" s="46">
        <v>0</v>
      </c>
      <c r="E136" s="47">
        <v>0</v>
      </c>
      <c r="F136" s="47">
        <v>0</v>
      </c>
      <c r="G136" s="48">
        <v>0</v>
      </c>
      <c r="H136" s="57">
        <f t="shared" si="13"/>
        <v>0</v>
      </c>
      <c r="I136" s="119"/>
      <c r="J136" s="119"/>
      <c r="K136" s="119"/>
      <c r="L136" s="119"/>
      <c r="M136" s="119"/>
      <c r="N136" s="119"/>
      <c r="O136" s="119"/>
      <c r="P136" s="119"/>
      <c r="Q136" s="44" t="s">
        <v>469</v>
      </c>
      <c r="R136" s="19" t="s">
        <v>403</v>
      </c>
      <c r="S136" s="49">
        <v>2030</v>
      </c>
      <c r="T136" s="46">
        <v>0</v>
      </c>
      <c r="U136" s="47">
        <v>0</v>
      </c>
      <c r="V136" s="47">
        <v>0</v>
      </c>
      <c r="W136" s="48">
        <v>0</v>
      </c>
      <c r="X136" s="57">
        <f t="shared" si="12"/>
        <v>0</v>
      </c>
      <c r="Y136" s="119"/>
    </row>
    <row r="137" spans="1:25" ht="30">
      <c r="A137" s="44" t="s">
        <v>469</v>
      </c>
      <c r="B137" s="19" t="s">
        <v>403</v>
      </c>
      <c r="C137" s="49">
        <v>2031</v>
      </c>
      <c r="D137" s="46">
        <v>0</v>
      </c>
      <c r="E137" s="47">
        <v>0</v>
      </c>
      <c r="F137" s="47">
        <v>0</v>
      </c>
      <c r="G137" s="48">
        <v>0</v>
      </c>
      <c r="H137" s="57">
        <f t="shared" si="13"/>
        <v>0</v>
      </c>
      <c r="I137" s="119"/>
      <c r="J137" s="119"/>
      <c r="K137" s="119"/>
      <c r="L137" s="119"/>
      <c r="M137" s="119"/>
      <c r="N137" s="119"/>
      <c r="O137" s="119"/>
      <c r="P137" s="119"/>
      <c r="Q137" s="44" t="s">
        <v>469</v>
      </c>
      <c r="R137" s="19" t="s">
        <v>403</v>
      </c>
      <c r="S137" s="49">
        <v>2031</v>
      </c>
      <c r="T137" s="46">
        <v>0</v>
      </c>
      <c r="U137" s="47">
        <v>0</v>
      </c>
      <c r="V137" s="47">
        <v>0</v>
      </c>
      <c r="W137" s="48">
        <v>0</v>
      </c>
      <c r="X137" s="57">
        <f t="shared" si="12"/>
        <v>0</v>
      </c>
      <c r="Y137" s="119"/>
    </row>
    <row r="138" spans="1:25" ht="30">
      <c r="A138" s="44" t="s">
        <v>469</v>
      </c>
      <c r="B138" s="19" t="s">
        <v>403</v>
      </c>
      <c r="C138" s="49">
        <v>2032</v>
      </c>
      <c r="D138" s="46">
        <v>0</v>
      </c>
      <c r="E138" s="47">
        <v>0</v>
      </c>
      <c r="F138" s="47">
        <v>0</v>
      </c>
      <c r="G138" s="48">
        <v>0</v>
      </c>
      <c r="H138" s="57">
        <f t="shared" si="13"/>
        <v>0</v>
      </c>
      <c r="I138" s="119"/>
      <c r="J138" s="119"/>
      <c r="K138" s="119"/>
      <c r="L138" s="119"/>
      <c r="M138" s="119"/>
      <c r="N138" s="119"/>
      <c r="O138" s="119"/>
      <c r="P138" s="119"/>
      <c r="Q138" s="44" t="s">
        <v>469</v>
      </c>
      <c r="R138" s="19" t="s">
        <v>403</v>
      </c>
      <c r="S138" s="49">
        <v>2032</v>
      </c>
      <c r="T138" s="46">
        <v>0</v>
      </c>
      <c r="U138" s="47">
        <v>0</v>
      </c>
      <c r="V138" s="47">
        <v>0</v>
      </c>
      <c r="W138" s="48">
        <v>0</v>
      </c>
      <c r="X138" s="57">
        <f t="shared" si="12"/>
        <v>0</v>
      </c>
      <c r="Y138" s="119"/>
    </row>
    <row r="139" spans="1:25" ht="30">
      <c r="A139" s="44" t="s">
        <v>469</v>
      </c>
      <c r="B139" s="19" t="s">
        <v>403</v>
      </c>
      <c r="C139" s="49">
        <v>2033</v>
      </c>
      <c r="D139" s="46">
        <v>0</v>
      </c>
      <c r="E139" s="47">
        <v>0</v>
      </c>
      <c r="F139" s="47">
        <v>0</v>
      </c>
      <c r="G139" s="48">
        <v>0</v>
      </c>
      <c r="H139" s="57">
        <f t="shared" si="13"/>
        <v>0</v>
      </c>
      <c r="I139" s="119"/>
      <c r="J139" s="119"/>
      <c r="K139" s="119"/>
      <c r="L139" s="119"/>
      <c r="M139" s="119"/>
      <c r="N139" s="119"/>
      <c r="O139" s="119"/>
      <c r="P139" s="119"/>
      <c r="Q139" s="44" t="s">
        <v>469</v>
      </c>
      <c r="R139" s="19" t="s">
        <v>403</v>
      </c>
      <c r="S139" s="49">
        <v>2033</v>
      </c>
      <c r="T139" s="46">
        <v>0</v>
      </c>
      <c r="U139" s="47">
        <v>0</v>
      </c>
      <c r="V139" s="47">
        <v>0</v>
      </c>
      <c r="W139" s="48">
        <v>0</v>
      </c>
      <c r="X139" s="57">
        <f t="shared" si="12"/>
        <v>0</v>
      </c>
      <c r="Y139" s="119"/>
    </row>
    <row r="140" spans="1:25" ht="30">
      <c r="A140" s="44" t="s">
        <v>469</v>
      </c>
      <c r="B140" s="19" t="s">
        <v>403</v>
      </c>
      <c r="C140" s="49">
        <v>2034</v>
      </c>
      <c r="D140" s="46">
        <v>0</v>
      </c>
      <c r="E140" s="47">
        <v>0</v>
      </c>
      <c r="F140" s="47">
        <v>75.022056363299427</v>
      </c>
      <c r="G140" s="48">
        <v>0</v>
      </c>
      <c r="H140" s="57">
        <f t="shared" si="13"/>
        <v>43.745219778463195</v>
      </c>
      <c r="I140" s="119"/>
      <c r="J140" s="119"/>
      <c r="K140" s="119"/>
      <c r="L140" s="119"/>
      <c r="M140" s="119"/>
      <c r="N140" s="119"/>
      <c r="O140" s="119"/>
      <c r="P140" s="119"/>
      <c r="Q140" s="44" t="s">
        <v>469</v>
      </c>
      <c r="R140" s="19" t="s">
        <v>403</v>
      </c>
      <c r="S140" s="49">
        <v>2034</v>
      </c>
      <c r="T140" s="46">
        <v>0</v>
      </c>
      <c r="U140" s="47">
        <v>0</v>
      </c>
      <c r="V140" s="47">
        <v>75.022056363299427</v>
      </c>
      <c r="W140" s="48">
        <v>0</v>
      </c>
      <c r="X140" s="57">
        <f t="shared" ref="X140:X203" si="14">SUM(T140:W140)</f>
        <v>75.022056363299427</v>
      </c>
      <c r="Y140" s="119"/>
    </row>
    <row r="141" spans="1:25" ht="30">
      <c r="A141" s="44" t="s">
        <v>469</v>
      </c>
      <c r="B141" s="19" t="s">
        <v>403</v>
      </c>
      <c r="C141" s="49">
        <v>2035</v>
      </c>
      <c r="D141" s="46">
        <v>0</v>
      </c>
      <c r="E141" s="47">
        <v>0</v>
      </c>
      <c r="F141" s="47">
        <v>0</v>
      </c>
      <c r="G141" s="48">
        <v>0</v>
      </c>
      <c r="H141" s="57">
        <f t="shared" ref="H141:H204" si="15">SUM(D141:G141)/((1+$L$7)^(C141-C$11))</f>
        <v>0</v>
      </c>
      <c r="I141" s="119"/>
      <c r="J141" s="119"/>
      <c r="K141" s="119"/>
      <c r="L141" s="119"/>
      <c r="M141" s="119"/>
      <c r="N141" s="119"/>
      <c r="O141" s="119"/>
      <c r="P141" s="119"/>
      <c r="Q141" s="44" t="s">
        <v>469</v>
      </c>
      <c r="R141" s="19" t="s">
        <v>403</v>
      </c>
      <c r="S141" s="49">
        <v>2035</v>
      </c>
      <c r="T141" s="46">
        <v>0</v>
      </c>
      <c r="U141" s="47">
        <v>0</v>
      </c>
      <c r="V141" s="47">
        <v>76.522497490565414</v>
      </c>
      <c r="W141" s="48">
        <v>0</v>
      </c>
      <c r="X141" s="57">
        <f t="shared" si="14"/>
        <v>76.522497490565414</v>
      </c>
      <c r="Y141" s="119">
        <f>NPV($Y$10,X132:X141)/((1-(1+$Y$10)^-10)/$Y$10)</f>
        <v>11.360558495403357</v>
      </c>
    </row>
    <row r="142" spans="1:25">
      <c r="A142" s="44"/>
      <c r="B142" s="19" t="s">
        <v>401</v>
      </c>
      <c r="C142" s="49"/>
      <c r="D142" s="42" t="s">
        <v>401</v>
      </c>
      <c r="E142" s="19" t="s">
        <v>401</v>
      </c>
      <c r="F142" s="19" t="s">
        <v>401</v>
      </c>
      <c r="G142" s="43" t="s">
        <v>401</v>
      </c>
      <c r="H142" s="57">
        <f t="shared" si="15"/>
        <v>0</v>
      </c>
      <c r="I142" s="119"/>
      <c r="J142" s="119"/>
      <c r="K142" s="119"/>
      <c r="L142" s="119"/>
      <c r="M142" s="119"/>
      <c r="N142" s="119"/>
      <c r="O142" s="119"/>
      <c r="P142" s="119"/>
      <c r="Q142" s="44"/>
      <c r="R142" s="19" t="s">
        <v>401</v>
      </c>
      <c r="S142" s="49"/>
      <c r="T142" s="42"/>
      <c r="U142" s="19"/>
      <c r="V142" s="19"/>
      <c r="W142" s="43"/>
      <c r="X142" s="57">
        <f t="shared" si="14"/>
        <v>0</v>
      </c>
      <c r="Y142" s="119"/>
    </row>
    <row r="143" spans="1:25" ht="30">
      <c r="A143" s="44" t="s">
        <v>469</v>
      </c>
      <c r="B143" s="19" t="s">
        <v>404</v>
      </c>
      <c r="C143" s="49">
        <v>2026</v>
      </c>
      <c r="D143" s="46">
        <v>0</v>
      </c>
      <c r="E143" s="47">
        <v>0</v>
      </c>
      <c r="F143" s="47">
        <v>0</v>
      </c>
      <c r="G143" s="48">
        <v>0</v>
      </c>
      <c r="H143" s="57">
        <f t="shared" si="15"/>
        <v>0</v>
      </c>
      <c r="I143" s="119"/>
      <c r="J143" s="119"/>
      <c r="K143" s="119"/>
      <c r="L143" s="119"/>
      <c r="M143" s="119"/>
      <c r="N143" s="119"/>
      <c r="O143" s="119"/>
      <c r="P143" s="119"/>
      <c r="Q143" s="44" t="s">
        <v>469</v>
      </c>
      <c r="R143" s="19" t="s">
        <v>404</v>
      </c>
      <c r="S143" s="49">
        <v>2026</v>
      </c>
      <c r="T143" s="46">
        <v>0</v>
      </c>
      <c r="U143" s="47">
        <v>0</v>
      </c>
      <c r="V143" s="47">
        <v>0</v>
      </c>
      <c r="W143" s="48">
        <v>0</v>
      </c>
      <c r="X143" s="57">
        <f t="shared" si="14"/>
        <v>0</v>
      </c>
      <c r="Y143" s="119"/>
    </row>
    <row r="144" spans="1:25" ht="30">
      <c r="A144" s="44" t="s">
        <v>469</v>
      </c>
      <c r="B144" s="19" t="s">
        <v>404</v>
      </c>
      <c r="C144" s="49">
        <v>2027</v>
      </c>
      <c r="D144" s="46">
        <v>0</v>
      </c>
      <c r="E144" s="47">
        <v>0</v>
      </c>
      <c r="F144" s="47">
        <v>0</v>
      </c>
      <c r="G144" s="48">
        <v>0</v>
      </c>
      <c r="H144" s="57">
        <f t="shared" si="15"/>
        <v>0</v>
      </c>
      <c r="I144" s="119"/>
      <c r="J144" s="119"/>
      <c r="K144" s="119"/>
      <c r="L144" s="119"/>
      <c r="M144" s="119"/>
      <c r="N144" s="119"/>
      <c r="O144" s="119"/>
      <c r="P144" s="119"/>
      <c r="Q144" s="44" t="s">
        <v>469</v>
      </c>
      <c r="R144" s="19" t="s">
        <v>404</v>
      </c>
      <c r="S144" s="49">
        <v>2027</v>
      </c>
      <c r="T144" s="46">
        <v>0</v>
      </c>
      <c r="U144" s="47">
        <v>0</v>
      </c>
      <c r="V144" s="47">
        <v>0</v>
      </c>
      <c r="W144" s="48">
        <v>0</v>
      </c>
      <c r="X144" s="57">
        <f t="shared" si="14"/>
        <v>0</v>
      </c>
      <c r="Y144" s="119"/>
    </row>
    <row r="145" spans="1:25" ht="30">
      <c r="A145" s="44" t="s">
        <v>469</v>
      </c>
      <c r="B145" s="19" t="s">
        <v>404</v>
      </c>
      <c r="C145" s="49">
        <v>2028</v>
      </c>
      <c r="D145" s="46">
        <v>0</v>
      </c>
      <c r="E145" s="47">
        <v>0</v>
      </c>
      <c r="F145" s="47">
        <v>0</v>
      </c>
      <c r="G145" s="48">
        <v>0</v>
      </c>
      <c r="H145" s="57">
        <f t="shared" si="15"/>
        <v>0</v>
      </c>
      <c r="I145" s="119"/>
      <c r="J145" s="119"/>
      <c r="K145" s="119"/>
      <c r="L145" s="119"/>
      <c r="M145" s="119"/>
      <c r="N145" s="119"/>
      <c r="O145" s="119"/>
      <c r="P145" s="119"/>
      <c r="Q145" s="44" t="s">
        <v>469</v>
      </c>
      <c r="R145" s="19" t="s">
        <v>404</v>
      </c>
      <c r="S145" s="49">
        <v>2028</v>
      </c>
      <c r="T145" s="46">
        <v>0</v>
      </c>
      <c r="U145" s="47">
        <v>0</v>
      </c>
      <c r="V145" s="47">
        <v>0</v>
      </c>
      <c r="W145" s="48">
        <v>0</v>
      </c>
      <c r="X145" s="57">
        <f t="shared" si="14"/>
        <v>0</v>
      </c>
      <c r="Y145" s="119"/>
    </row>
    <row r="146" spans="1:25" ht="30">
      <c r="A146" s="44" t="s">
        <v>469</v>
      </c>
      <c r="B146" s="19" t="s">
        <v>404</v>
      </c>
      <c r="C146" s="49">
        <v>2029</v>
      </c>
      <c r="D146" s="46">
        <v>0</v>
      </c>
      <c r="E146" s="47">
        <v>0</v>
      </c>
      <c r="F146" s="47">
        <v>0</v>
      </c>
      <c r="G146" s="48">
        <v>0</v>
      </c>
      <c r="H146" s="57">
        <f t="shared" si="15"/>
        <v>0</v>
      </c>
      <c r="I146" s="119"/>
      <c r="J146" s="119"/>
      <c r="K146" s="119"/>
      <c r="L146" s="119"/>
      <c r="M146" s="119"/>
      <c r="N146" s="119"/>
      <c r="O146" s="119"/>
      <c r="P146" s="119"/>
      <c r="Q146" s="44" t="s">
        <v>469</v>
      </c>
      <c r="R146" s="19" t="s">
        <v>404</v>
      </c>
      <c r="S146" s="49">
        <v>2029</v>
      </c>
      <c r="T146" s="46">
        <v>0</v>
      </c>
      <c r="U146" s="47">
        <v>0</v>
      </c>
      <c r="V146" s="47">
        <v>0</v>
      </c>
      <c r="W146" s="48">
        <v>0</v>
      </c>
      <c r="X146" s="57">
        <f t="shared" si="14"/>
        <v>0</v>
      </c>
      <c r="Y146" s="119"/>
    </row>
    <row r="147" spans="1:25" ht="30">
      <c r="A147" s="44" t="s">
        <v>469</v>
      </c>
      <c r="B147" s="19" t="s">
        <v>404</v>
      </c>
      <c r="C147" s="49">
        <v>2030</v>
      </c>
      <c r="D147" s="46">
        <v>0</v>
      </c>
      <c r="E147" s="47">
        <v>0</v>
      </c>
      <c r="F147" s="47">
        <v>0</v>
      </c>
      <c r="G147" s="48">
        <v>0</v>
      </c>
      <c r="H147" s="57">
        <f t="shared" si="15"/>
        <v>0</v>
      </c>
      <c r="I147" s="119"/>
      <c r="J147" s="119"/>
      <c r="K147" s="119"/>
      <c r="L147" s="119"/>
      <c r="M147" s="119"/>
      <c r="N147" s="119"/>
      <c r="O147" s="119"/>
      <c r="P147" s="119"/>
      <c r="Q147" s="44" t="s">
        <v>469</v>
      </c>
      <c r="R147" s="19" t="s">
        <v>404</v>
      </c>
      <c r="S147" s="49">
        <v>2030</v>
      </c>
      <c r="T147" s="46">
        <v>0</v>
      </c>
      <c r="U147" s="47">
        <v>0</v>
      </c>
      <c r="V147" s="47">
        <v>0</v>
      </c>
      <c r="W147" s="48">
        <v>0</v>
      </c>
      <c r="X147" s="57">
        <f t="shared" si="14"/>
        <v>0</v>
      </c>
      <c r="Y147" s="119"/>
    </row>
    <row r="148" spans="1:25" ht="30">
      <c r="A148" s="44" t="s">
        <v>469</v>
      </c>
      <c r="B148" s="19" t="s">
        <v>404</v>
      </c>
      <c r="C148" s="49">
        <v>2031</v>
      </c>
      <c r="D148" s="46">
        <v>0</v>
      </c>
      <c r="E148" s="47">
        <v>0</v>
      </c>
      <c r="F148" s="47">
        <v>0</v>
      </c>
      <c r="G148" s="48">
        <v>0</v>
      </c>
      <c r="H148" s="57">
        <f t="shared" si="15"/>
        <v>0</v>
      </c>
      <c r="I148" s="119"/>
      <c r="J148" s="119"/>
      <c r="K148" s="119"/>
      <c r="L148" s="119"/>
      <c r="M148" s="119"/>
      <c r="N148" s="119"/>
      <c r="O148" s="119"/>
      <c r="P148" s="119"/>
      <c r="Q148" s="44" t="s">
        <v>469</v>
      </c>
      <c r="R148" s="19" t="s">
        <v>404</v>
      </c>
      <c r="S148" s="49">
        <v>2031</v>
      </c>
      <c r="T148" s="46">
        <v>0</v>
      </c>
      <c r="U148" s="47">
        <v>0</v>
      </c>
      <c r="V148" s="47">
        <v>0</v>
      </c>
      <c r="W148" s="48">
        <v>0</v>
      </c>
      <c r="X148" s="57">
        <f t="shared" si="14"/>
        <v>0</v>
      </c>
      <c r="Y148" s="119"/>
    </row>
    <row r="149" spans="1:25" ht="30">
      <c r="A149" s="44" t="s">
        <v>469</v>
      </c>
      <c r="B149" s="19" t="s">
        <v>404</v>
      </c>
      <c r="C149" s="49">
        <v>2032</v>
      </c>
      <c r="D149" s="46">
        <v>24.168412989550127</v>
      </c>
      <c r="E149" s="47">
        <v>0</v>
      </c>
      <c r="F149" s="47">
        <v>0</v>
      </c>
      <c r="G149" s="48">
        <v>0</v>
      </c>
      <c r="H149" s="57">
        <f t="shared" si="15"/>
        <v>16.12702884044332</v>
      </c>
      <c r="I149" s="119"/>
      <c r="J149" s="119"/>
      <c r="K149" s="119"/>
      <c r="L149" s="119"/>
      <c r="M149" s="119"/>
      <c r="N149" s="119"/>
      <c r="O149" s="119"/>
      <c r="P149" s="119"/>
      <c r="Q149" s="44" t="s">
        <v>469</v>
      </c>
      <c r="R149" s="19" t="s">
        <v>404</v>
      </c>
      <c r="S149" s="49">
        <v>2032</v>
      </c>
      <c r="T149" s="46">
        <v>24.168412989550127</v>
      </c>
      <c r="U149" s="47">
        <v>0</v>
      </c>
      <c r="V149" s="47">
        <v>0</v>
      </c>
      <c r="W149" s="48">
        <v>0</v>
      </c>
      <c r="X149" s="57">
        <f t="shared" si="14"/>
        <v>24.168412989550127</v>
      </c>
      <c r="Y149" s="119"/>
    </row>
    <row r="150" spans="1:25" ht="30">
      <c r="A150" s="44" t="s">
        <v>469</v>
      </c>
      <c r="B150" s="19" t="s">
        <v>404</v>
      </c>
      <c r="C150" s="49">
        <v>2033</v>
      </c>
      <c r="D150" s="46">
        <v>37.035377992941932</v>
      </c>
      <c r="E150" s="47">
        <v>0</v>
      </c>
      <c r="F150" s="47">
        <v>0</v>
      </c>
      <c r="G150" s="48">
        <v>0</v>
      </c>
      <c r="H150" s="57">
        <f t="shared" si="15"/>
        <v>23.101528486383273</v>
      </c>
      <c r="I150" s="119"/>
      <c r="J150" s="119"/>
      <c r="K150" s="119"/>
      <c r="L150" s="119"/>
      <c r="M150" s="119"/>
      <c r="N150" s="119"/>
      <c r="O150" s="119"/>
      <c r="P150" s="119"/>
      <c r="Q150" s="44" t="s">
        <v>469</v>
      </c>
      <c r="R150" s="19" t="s">
        <v>404</v>
      </c>
      <c r="S150" s="49">
        <v>2033</v>
      </c>
      <c r="T150" s="46">
        <v>61.687159242283059</v>
      </c>
      <c r="U150" s="47">
        <v>0</v>
      </c>
      <c r="V150" s="47">
        <v>0</v>
      </c>
      <c r="W150" s="48">
        <v>0</v>
      </c>
      <c r="X150" s="57">
        <f t="shared" si="14"/>
        <v>61.687159242283059</v>
      </c>
      <c r="Y150" s="119"/>
    </row>
    <row r="151" spans="1:25" ht="30">
      <c r="A151" s="44" t="s">
        <v>469</v>
      </c>
      <c r="B151" s="19" t="s">
        <v>404</v>
      </c>
      <c r="C151" s="49">
        <v>2034</v>
      </c>
      <c r="D151" s="46">
        <v>23.187018266515462</v>
      </c>
      <c r="E151" s="47">
        <v>0</v>
      </c>
      <c r="F151" s="47">
        <v>0</v>
      </c>
      <c r="G151" s="48">
        <v>0</v>
      </c>
      <c r="H151" s="57">
        <f t="shared" si="15"/>
        <v>13.520306683730979</v>
      </c>
      <c r="I151" s="119"/>
      <c r="J151" s="119"/>
      <c r="K151" s="119"/>
      <c r="L151" s="119"/>
      <c r="M151" s="119"/>
      <c r="N151" s="119"/>
      <c r="O151" s="119"/>
      <c r="P151" s="119"/>
      <c r="Q151" s="44" t="s">
        <v>469</v>
      </c>
      <c r="R151" s="19" t="s">
        <v>404</v>
      </c>
      <c r="S151" s="49">
        <v>2034</v>
      </c>
      <c r="T151" s="46">
        <v>86.107920693644189</v>
      </c>
      <c r="U151" s="47">
        <v>0</v>
      </c>
      <c r="V151" s="47">
        <v>0</v>
      </c>
      <c r="W151" s="48">
        <v>0</v>
      </c>
      <c r="X151" s="57">
        <f t="shared" si="14"/>
        <v>86.107920693644189</v>
      </c>
      <c r="Y151" s="119"/>
    </row>
    <row r="152" spans="1:25" ht="30">
      <c r="A152" s="44" t="s">
        <v>469</v>
      </c>
      <c r="B152" s="19" t="s">
        <v>404</v>
      </c>
      <c r="C152" s="49">
        <v>2035</v>
      </c>
      <c r="D152" s="46">
        <v>0</v>
      </c>
      <c r="E152" s="47">
        <v>0</v>
      </c>
      <c r="F152" s="47">
        <v>0</v>
      </c>
      <c r="G152" s="48">
        <v>0</v>
      </c>
      <c r="H152" s="57">
        <f t="shared" si="15"/>
        <v>0</v>
      </c>
      <c r="I152" s="119"/>
      <c r="J152" s="119"/>
      <c r="K152" s="119"/>
      <c r="L152" s="119"/>
      <c r="M152" s="119"/>
      <c r="N152" s="119"/>
      <c r="O152" s="119"/>
      <c r="P152" s="119"/>
      <c r="Q152" s="44" t="s">
        <v>469</v>
      </c>
      <c r="R152" s="19" t="s">
        <v>404</v>
      </c>
      <c r="S152" s="49">
        <v>2035</v>
      </c>
      <c r="T152" s="46">
        <v>87.830079107517079</v>
      </c>
      <c r="U152" s="47">
        <v>0</v>
      </c>
      <c r="V152" s="47">
        <v>0</v>
      </c>
      <c r="W152" s="48">
        <v>0</v>
      </c>
      <c r="X152" s="57">
        <f t="shared" si="14"/>
        <v>87.830079107517079</v>
      </c>
      <c r="Y152" s="119">
        <f>NPV($Y$10,X143:X152)/((1-(1+$Y$10)^-10)/$Y$10)</f>
        <v>20.298574845255118</v>
      </c>
    </row>
    <row r="153" spans="1:25">
      <c r="A153" s="44"/>
      <c r="B153" s="19" t="s">
        <v>401</v>
      </c>
      <c r="C153" s="49"/>
      <c r="D153" s="46" t="s">
        <v>401</v>
      </c>
      <c r="E153" s="47" t="s">
        <v>401</v>
      </c>
      <c r="F153" s="47" t="s">
        <v>401</v>
      </c>
      <c r="G153" s="48" t="s">
        <v>401</v>
      </c>
      <c r="H153" s="57">
        <f t="shared" si="15"/>
        <v>0</v>
      </c>
      <c r="I153" s="119"/>
      <c r="J153" s="119"/>
      <c r="K153" s="119"/>
      <c r="L153" s="119"/>
      <c r="M153" s="119"/>
      <c r="N153" s="119"/>
      <c r="O153" s="119"/>
      <c r="P153" s="119"/>
      <c r="Q153" s="44"/>
      <c r="R153" s="19" t="s">
        <v>401</v>
      </c>
      <c r="S153" s="49"/>
      <c r="T153" s="46"/>
      <c r="U153" s="47"/>
      <c r="V153" s="47"/>
      <c r="W153" s="48"/>
      <c r="X153" s="57">
        <f t="shared" si="14"/>
        <v>0</v>
      </c>
      <c r="Y153" s="119"/>
    </row>
    <row r="154" spans="1:25" ht="30">
      <c r="A154" s="44" t="s">
        <v>469</v>
      </c>
      <c r="B154" s="19" t="s">
        <v>405</v>
      </c>
      <c r="C154" s="49">
        <v>2026</v>
      </c>
      <c r="D154" s="46">
        <v>0</v>
      </c>
      <c r="E154" s="47">
        <v>0</v>
      </c>
      <c r="F154" s="47">
        <v>0</v>
      </c>
      <c r="G154" s="48">
        <v>0</v>
      </c>
      <c r="H154" s="57">
        <f t="shared" si="15"/>
        <v>0</v>
      </c>
      <c r="I154" s="119"/>
      <c r="J154" s="119"/>
      <c r="K154" s="119"/>
      <c r="L154" s="119"/>
      <c r="M154" s="119"/>
      <c r="N154" s="119"/>
      <c r="O154" s="119"/>
      <c r="P154" s="119"/>
      <c r="Q154" s="44" t="s">
        <v>469</v>
      </c>
      <c r="R154" s="19" t="s">
        <v>405</v>
      </c>
      <c r="S154" s="49">
        <v>2026</v>
      </c>
      <c r="T154" s="46">
        <v>0</v>
      </c>
      <c r="U154" s="47">
        <v>0</v>
      </c>
      <c r="V154" s="47">
        <v>0</v>
      </c>
      <c r="W154" s="48">
        <v>0</v>
      </c>
      <c r="X154" s="57">
        <f t="shared" si="14"/>
        <v>0</v>
      </c>
      <c r="Y154" s="119"/>
    </row>
    <row r="155" spans="1:25" ht="30">
      <c r="A155" s="44" t="s">
        <v>469</v>
      </c>
      <c r="B155" s="19" t="s">
        <v>405</v>
      </c>
      <c r="C155" s="49">
        <v>2027</v>
      </c>
      <c r="D155" s="46">
        <v>0</v>
      </c>
      <c r="E155" s="47">
        <v>0</v>
      </c>
      <c r="F155" s="47">
        <v>0</v>
      </c>
      <c r="G155" s="48">
        <v>0</v>
      </c>
      <c r="H155" s="57">
        <f t="shared" si="15"/>
        <v>0</v>
      </c>
      <c r="I155" s="119"/>
      <c r="J155" s="119"/>
      <c r="K155" s="119"/>
      <c r="L155" s="119"/>
      <c r="M155" s="119"/>
      <c r="N155" s="119"/>
      <c r="O155" s="119"/>
      <c r="P155" s="119"/>
      <c r="Q155" s="44" t="s">
        <v>469</v>
      </c>
      <c r="R155" s="19" t="s">
        <v>405</v>
      </c>
      <c r="S155" s="49">
        <v>2027</v>
      </c>
      <c r="T155" s="46">
        <v>0</v>
      </c>
      <c r="U155" s="47">
        <v>0</v>
      </c>
      <c r="V155" s="47">
        <v>0</v>
      </c>
      <c r="W155" s="48">
        <v>0</v>
      </c>
      <c r="X155" s="57">
        <f t="shared" si="14"/>
        <v>0</v>
      </c>
      <c r="Y155" s="119"/>
    </row>
    <row r="156" spans="1:25" ht="30">
      <c r="A156" s="44" t="s">
        <v>469</v>
      </c>
      <c r="B156" s="19" t="s">
        <v>405</v>
      </c>
      <c r="C156" s="49">
        <v>2028</v>
      </c>
      <c r="D156" s="46">
        <v>0</v>
      </c>
      <c r="E156" s="47">
        <v>0</v>
      </c>
      <c r="F156" s="47">
        <v>0</v>
      </c>
      <c r="G156" s="48">
        <v>0</v>
      </c>
      <c r="H156" s="57">
        <f t="shared" si="15"/>
        <v>0</v>
      </c>
      <c r="I156" s="119"/>
      <c r="J156" s="119"/>
      <c r="K156" s="119"/>
      <c r="L156" s="119"/>
      <c r="M156" s="119"/>
      <c r="N156" s="119"/>
      <c r="O156" s="119"/>
      <c r="P156" s="119"/>
      <c r="Q156" s="44" t="s">
        <v>469</v>
      </c>
      <c r="R156" s="19" t="s">
        <v>405</v>
      </c>
      <c r="S156" s="49">
        <v>2028</v>
      </c>
      <c r="T156" s="46">
        <v>0</v>
      </c>
      <c r="U156" s="47">
        <v>0</v>
      </c>
      <c r="V156" s="47">
        <v>0</v>
      </c>
      <c r="W156" s="48">
        <v>0</v>
      </c>
      <c r="X156" s="57">
        <f t="shared" si="14"/>
        <v>0</v>
      </c>
      <c r="Y156" s="119"/>
    </row>
    <row r="157" spans="1:25" ht="30">
      <c r="A157" s="44" t="s">
        <v>469</v>
      </c>
      <c r="B157" s="19" t="s">
        <v>405</v>
      </c>
      <c r="C157" s="49">
        <v>2029</v>
      </c>
      <c r="D157" s="46">
        <v>0</v>
      </c>
      <c r="E157" s="47">
        <v>0</v>
      </c>
      <c r="F157" s="47">
        <v>0</v>
      </c>
      <c r="G157" s="48">
        <v>0</v>
      </c>
      <c r="H157" s="57">
        <f t="shared" si="15"/>
        <v>0</v>
      </c>
      <c r="I157" s="119"/>
      <c r="J157" s="119"/>
      <c r="K157" s="119"/>
      <c r="L157" s="119"/>
      <c r="M157" s="119"/>
      <c r="N157" s="119"/>
      <c r="O157" s="119"/>
      <c r="P157" s="119"/>
      <c r="Q157" s="44" t="s">
        <v>469</v>
      </c>
      <c r="R157" s="19" t="s">
        <v>405</v>
      </c>
      <c r="S157" s="49">
        <v>2029</v>
      </c>
      <c r="T157" s="46">
        <v>0</v>
      </c>
      <c r="U157" s="47">
        <v>0</v>
      </c>
      <c r="V157" s="47">
        <v>0</v>
      </c>
      <c r="W157" s="48">
        <v>0</v>
      </c>
      <c r="X157" s="57">
        <f t="shared" si="14"/>
        <v>0</v>
      </c>
      <c r="Y157" s="119"/>
    </row>
    <row r="158" spans="1:25" ht="30">
      <c r="A158" s="44" t="s">
        <v>469</v>
      </c>
      <c r="B158" s="19" t="s">
        <v>405</v>
      </c>
      <c r="C158" s="49">
        <v>2030</v>
      </c>
      <c r="D158" s="46">
        <v>0</v>
      </c>
      <c r="E158" s="47">
        <v>0</v>
      </c>
      <c r="F158" s="47">
        <v>0</v>
      </c>
      <c r="G158" s="48">
        <v>0</v>
      </c>
      <c r="H158" s="57">
        <f t="shared" si="15"/>
        <v>0</v>
      </c>
      <c r="I158" s="119"/>
      <c r="J158" s="119"/>
      <c r="K158" s="119"/>
      <c r="L158" s="119"/>
      <c r="M158" s="119"/>
      <c r="N158" s="119"/>
      <c r="O158" s="119"/>
      <c r="P158" s="119"/>
      <c r="Q158" s="44" t="s">
        <v>469</v>
      </c>
      <c r="R158" s="19" t="s">
        <v>405</v>
      </c>
      <c r="S158" s="49">
        <v>2030</v>
      </c>
      <c r="T158" s="46">
        <v>0</v>
      </c>
      <c r="U158" s="47">
        <v>0</v>
      </c>
      <c r="V158" s="47">
        <v>0</v>
      </c>
      <c r="W158" s="48">
        <v>0</v>
      </c>
      <c r="X158" s="57">
        <f t="shared" si="14"/>
        <v>0</v>
      </c>
      <c r="Y158" s="119"/>
    </row>
    <row r="159" spans="1:25" ht="30">
      <c r="A159" s="44" t="s">
        <v>469</v>
      </c>
      <c r="B159" s="19" t="s">
        <v>405</v>
      </c>
      <c r="C159" s="49">
        <v>2031</v>
      </c>
      <c r="D159" s="46">
        <v>0</v>
      </c>
      <c r="E159" s="47">
        <v>0</v>
      </c>
      <c r="F159" s="47">
        <v>0</v>
      </c>
      <c r="G159" s="48">
        <v>0</v>
      </c>
      <c r="H159" s="57">
        <f t="shared" si="15"/>
        <v>0</v>
      </c>
      <c r="I159" s="119"/>
      <c r="J159" s="119"/>
      <c r="K159" s="119"/>
      <c r="L159" s="119"/>
      <c r="M159" s="119"/>
      <c r="N159" s="119"/>
      <c r="O159" s="119"/>
      <c r="P159" s="119"/>
      <c r="Q159" s="44" t="s">
        <v>469</v>
      </c>
      <c r="R159" s="19" t="s">
        <v>405</v>
      </c>
      <c r="S159" s="49">
        <v>2031</v>
      </c>
      <c r="T159" s="46">
        <v>0</v>
      </c>
      <c r="U159" s="47">
        <v>0</v>
      </c>
      <c r="V159" s="47">
        <v>0</v>
      </c>
      <c r="W159" s="48">
        <v>0</v>
      </c>
      <c r="X159" s="57">
        <f t="shared" si="14"/>
        <v>0</v>
      </c>
      <c r="Y159" s="119"/>
    </row>
    <row r="160" spans="1:25" ht="30">
      <c r="A160" s="44" t="s">
        <v>469</v>
      </c>
      <c r="B160" s="19" t="s">
        <v>405</v>
      </c>
      <c r="C160" s="49">
        <v>2032</v>
      </c>
      <c r="D160" s="46">
        <v>0</v>
      </c>
      <c r="E160" s="47">
        <v>0</v>
      </c>
      <c r="F160" s="47">
        <v>0</v>
      </c>
      <c r="G160" s="48">
        <v>0</v>
      </c>
      <c r="H160" s="57">
        <f t="shared" si="15"/>
        <v>0</v>
      </c>
      <c r="I160" s="119"/>
      <c r="J160" s="119"/>
      <c r="K160" s="119"/>
      <c r="L160" s="119"/>
      <c r="M160" s="119"/>
      <c r="N160" s="119"/>
      <c r="O160" s="119"/>
      <c r="P160" s="119"/>
      <c r="Q160" s="44" t="s">
        <v>469</v>
      </c>
      <c r="R160" s="19" t="s">
        <v>405</v>
      </c>
      <c r="S160" s="49">
        <v>2032</v>
      </c>
      <c r="T160" s="46">
        <v>0</v>
      </c>
      <c r="U160" s="47">
        <v>0</v>
      </c>
      <c r="V160" s="47">
        <v>0</v>
      </c>
      <c r="W160" s="48">
        <v>0</v>
      </c>
      <c r="X160" s="57">
        <f t="shared" si="14"/>
        <v>0</v>
      </c>
      <c r="Y160" s="119"/>
    </row>
    <row r="161" spans="1:25" ht="30">
      <c r="A161" s="44" t="s">
        <v>469</v>
      </c>
      <c r="B161" s="19" t="s">
        <v>405</v>
      </c>
      <c r="C161" s="49">
        <v>2033</v>
      </c>
      <c r="D161" s="46">
        <v>0</v>
      </c>
      <c r="E161" s="47">
        <v>0</v>
      </c>
      <c r="F161" s="47">
        <v>0</v>
      </c>
      <c r="G161" s="48">
        <v>0</v>
      </c>
      <c r="H161" s="57">
        <f t="shared" si="15"/>
        <v>0</v>
      </c>
      <c r="I161" s="119"/>
      <c r="J161" s="119"/>
      <c r="K161" s="119"/>
      <c r="L161" s="119"/>
      <c r="M161" s="119"/>
      <c r="N161" s="119"/>
      <c r="O161" s="119"/>
      <c r="P161" s="119"/>
      <c r="Q161" s="44" t="s">
        <v>469</v>
      </c>
      <c r="R161" s="19" t="s">
        <v>405</v>
      </c>
      <c r="S161" s="49">
        <v>2033</v>
      </c>
      <c r="T161" s="46">
        <v>0</v>
      </c>
      <c r="U161" s="47">
        <v>0</v>
      </c>
      <c r="V161" s="47">
        <v>0</v>
      </c>
      <c r="W161" s="48">
        <v>0</v>
      </c>
      <c r="X161" s="57">
        <f t="shared" si="14"/>
        <v>0</v>
      </c>
      <c r="Y161" s="119"/>
    </row>
    <row r="162" spans="1:25" ht="30">
      <c r="A162" s="44" t="s">
        <v>469</v>
      </c>
      <c r="B162" s="19" t="s">
        <v>405</v>
      </c>
      <c r="C162" s="49">
        <v>2034</v>
      </c>
      <c r="D162" s="46">
        <v>0</v>
      </c>
      <c r="E162" s="47">
        <v>0</v>
      </c>
      <c r="F162" s="47">
        <v>68.68718833153099</v>
      </c>
      <c r="G162" s="48">
        <v>0</v>
      </c>
      <c r="H162" s="57">
        <f t="shared" si="15"/>
        <v>40.051370159421865</v>
      </c>
      <c r="I162" s="119"/>
      <c r="J162" s="119"/>
      <c r="K162" s="119"/>
      <c r="L162" s="119"/>
      <c r="M162" s="119"/>
      <c r="N162" s="119"/>
      <c r="O162" s="119"/>
      <c r="P162" s="119"/>
      <c r="Q162" s="44" t="s">
        <v>469</v>
      </c>
      <c r="R162" s="19" t="s">
        <v>405</v>
      </c>
      <c r="S162" s="49">
        <v>2034</v>
      </c>
      <c r="T162" s="46">
        <v>0</v>
      </c>
      <c r="U162" s="47">
        <v>0</v>
      </c>
      <c r="V162" s="47">
        <v>68.68718833153099</v>
      </c>
      <c r="W162" s="48">
        <v>0</v>
      </c>
      <c r="X162" s="57">
        <f t="shared" si="14"/>
        <v>68.68718833153099</v>
      </c>
      <c r="Y162" s="119"/>
    </row>
    <row r="163" spans="1:25" ht="30">
      <c r="A163" s="44" t="s">
        <v>469</v>
      </c>
      <c r="B163" s="19" t="s">
        <v>405</v>
      </c>
      <c r="C163" s="49">
        <v>2035</v>
      </c>
      <c r="D163" s="46">
        <v>0</v>
      </c>
      <c r="E163" s="47">
        <v>0</v>
      </c>
      <c r="F163" s="47">
        <v>90.820912258908805</v>
      </c>
      <c r="G163" s="48">
        <v>0</v>
      </c>
      <c r="H163" s="57">
        <f t="shared" si="15"/>
        <v>49.504559848228048</v>
      </c>
      <c r="I163" s="119"/>
      <c r="J163" s="119"/>
      <c r="K163" s="119"/>
      <c r="L163" s="119"/>
      <c r="M163" s="119"/>
      <c r="N163" s="119"/>
      <c r="O163" s="119"/>
      <c r="P163" s="119"/>
      <c r="Q163" s="44" t="s">
        <v>469</v>
      </c>
      <c r="R163" s="19" t="s">
        <v>405</v>
      </c>
      <c r="S163" s="49">
        <v>2035</v>
      </c>
      <c r="T163" s="46">
        <v>0</v>
      </c>
      <c r="U163" s="47">
        <v>0</v>
      </c>
      <c r="V163" s="47">
        <v>160.88184435707041</v>
      </c>
      <c r="W163" s="48">
        <v>0</v>
      </c>
      <c r="X163" s="57">
        <f t="shared" si="14"/>
        <v>160.88184435707041</v>
      </c>
      <c r="Y163" s="119">
        <f>NPV($Y$10,X154:X163)/((1-(1+$Y$10)^-10)/$Y$10)</f>
        <v>16.982428978851278</v>
      </c>
    </row>
    <row r="164" spans="1:25">
      <c r="A164" s="44"/>
      <c r="B164" s="19" t="s">
        <v>401</v>
      </c>
      <c r="C164" s="49"/>
      <c r="D164" s="42" t="s">
        <v>401</v>
      </c>
      <c r="E164" s="19" t="s">
        <v>401</v>
      </c>
      <c r="F164" s="19" t="s">
        <v>401</v>
      </c>
      <c r="G164" s="43" t="s">
        <v>401</v>
      </c>
      <c r="H164" s="57">
        <f t="shared" si="15"/>
        <v>0</v>
      </c>
      <c r="I164" s="119"/>
      <c r="J164" s="119"/>
      <c r="K164" s="119"/>
      <c r="L164" s="119"/>
      <c r="M164" s="119"/>
      <c r="N164" s="119"/>
      <c r="O164" s="119"/>
      <c r="P164" s="119"/>
      <c r="Q164" s="44"/>
      <c r="R164" s="19" t="s">
        <v>401</v>
      </c>
      <c r="S164" s="49"/>
      <c r="T164" s="42"/>
      <c r="U164" s="19"/>
      <c r="V164" s="19"/>
      <c r="W164" s="43"/>
      <c r="X164" s="57">
        <f t="shared" si="14"/>
        <v>0</v>
      </c>
      <c r="Y164" s="119"/>
    </row>
    <row r="165" spans="1:25" ht="30">
      <c r="A165" s="44" t="s">
        <v>469</v>
      </c>
      <c r="B165" s="19" t="s">
        <v>406</v>
      </c>
      <c r="C165" s="49">
        <v>2026</v>
      </c>
      <c r="D165" s="46">
        <v>0</v>
      </c>
      <c r="E165" s="47">
        <v>0</v>
      </c>
      <c r="F165" s="47">
        <v>0</v>
      </c>
      <c r="G165" s="48">
        <v>0</v>
      </c>
      <c r="H165" s="57">
        <f t="shared" si="15"/>
        <v>0</v>
      </c>
      <c r="I165" s="119"/>
      <c r="J165" s="119"/>
      <c r="K165" s="119"/>
      <c r="L165" s="119"/>
      <c r="M165" s="119"/>
      <c r="N165" s="119"/>
      <c r="O165" s="119"/>
      <c r="P165" s="119"/>
      <c r="Q165" s="44" t="s">
        <v>469</v>
      </c>
      <c r="R165" s="19" t="s">
        <v>406</v>
      </c>
      <c r="S165" s="49">
        <v>2026</v>
      </c>
      <c r="T165" s="46">
        <v>0</v>
      </c>
      <c r="U165" s="47">
        <v>0</v>
      </c>
      <c r="V165" s="47">
        <v>0</v>
      </c>
      <c r="W165" s="48">
        <v>0</v>
      </c>
      <c r="X165" s="57">
        <f t="shared" si="14"/>
        <v>0</v>
      </c>
      <c r="Y165" s="119"/>
    </row>
    <row r="166" spans="1:25" ht="30">
      <c r="A166" s="44" t="s">
        <v>469</v>
      </c>
      <c r="B166" s="19" t="s">
        <v>406</v>
      </c>
      <c r="C166" s="49">
        <v>2027</v>
      </c>
      <c r="D166" s="46">
        <v>0</v>
      </c>
      <c r="E166" s="47">
        <v>0</v>
      </c>
      <c r="F166" s="47">
        <v>0</v>
      </c>
      <c r="G166" s="48">
        <v>0</v>
      </c>
      <c r="H166" s="57">
        <f t="shared" si="15"/>
        <v>0</v>
      </c>
      <c r="I166" s="119"/>
      <c r="J166" s="119"/>
      <c r="K166" s="119"/>
      <c r="L166" s="119"/>
      <c r="M166" s="119"/>
      <c r="N166" s="119"/>
      <c r="O166" s="119"/>
      <c r="P166" s="119"/>
      <c r="Q166" s="44" t="s">
        <v>469</v>
      </c>
      <c r="R166" s="19" t="s">
        <v>406</v>
      </c>
      <c r="S166" s="49">
        <v>2027</v>
      </c>
      <c r="T166" s="46">
        <v>0</v>
      </c>
      <c r="U166" s="47">
        <v>0</v>
      </c>
      <c r="V166" s="47">
        <v>0</v>
      </c>
      <c r="W166" s="48">
        <v>0</v>
      </c>
      <c r="X166" s="57">
        <f t="shared" si="14"/>
        <v>0</v>
      </c>
      <c r="Y166" s="119"/>
    </row>
    <row r="167" spans="1:25" ht="30">
      <c r="A167" s="44" t="s">
        <v>469</v>
      </c>
      <c r="B167" s="19" t="s">
        <v>406</v>
      </c>
      <c r="C167" s="49">
        <v>2028</v>
      </c>
      <c r="D167" s="46">
        <v>0</v>
      </c>
      <c r="E167" s="47">
        <v>0</v>
      </c>
      <c r="F167" s="47">
        <v>0</v>
      </c>
      <c r="G167" s="48">
        <v>0</v>
      </c>
      <c r="H167" s="57">
        <f t="shared" si="15"/>
        <v>0</v>
      </c>
      <c r="I167" s="119"/>
      <c r="J167" s="119"/>
      <c r="K167" s="119"/>
      <c r="L167" s="119"/>
      <c r="M167" s="119"/>
      <c r="N167" s="119"/>
      <c r="O167" s="119"/>
      <c r="P167" s="119"/>
      <c r="Q167" s="44" t="s">
        <v>469</v>
      </c>
      <c r="R167" s="19" t="s">
        <v>406</v>
      </c>
      <c r="S167" s="49">
        <v>2028</v>
      </c>
      <c r="T167" s="46">
        <v>0</v>
      </c>
      <c r="U167" s="47">
        <v>0</v>
      </c>
      <c r="V167" s="47">
        <v>0</v>
      </c>
      <c r="W167" s="48">
        <v>0</v>
      </c>
      <c r="X167" s="57">
        <f t="shared" si="14"/>
        <v>0</v>
      </c>
      <c r="Y167" s="119"/>
    </row>
    <row r="168" spans="1:25" ht="30">
      <c r="A168" s="44" t="s">
        <v>469</v>
      </c>
      <c r="B168" s="19" t="s">
        <v>406</v>
      </c>
      <c r="C168" s="49">
        <v>2029</v>
      </c>
      <c r="D168" s="46">
        <v>0</v>
      </c>
      <c r="E168" s="47">
        <v>0</v>
      </c>
      <c r="F168" s="47">
        <v>0</v>
      </c>
      <c r="G168" s="48">
        <v>0</v>
      </c>
      <c r="H168" s="57">
        <f t="shared" si="15"/>
        <v>0</v>
      </c>
      <c r="I168" s="119"/>
      <c r="J168" s="119"/>
      <c r="K168" s="119"/>
      <c r="L168" s="119"/>
      <c r="M168" s="119"/>
      <c r="N168" s="119"/>
      <c r="O168" s="119"/>
      <c r="P168" s="119"/>
      <c r="Q168" s="44" t="s">
        <v>469</v>
      </c>
      <c r="R168" s="19" t="s">
        <v>406</v>
      </c>
      <c r="S168" s="49">
        <v>2029</v>
      </c>
      <c r="T168" s="46">
        <v>0</v>
      </c>
      <c r="U168" s="47">
        <v>0</v>
      </c>
      <c r="V168" s="47">
        <v>0</v>
      </c>
      <c r="W168" s="48">
        <v>0</v>
      </c>
      <c r="X168" s="57">
        <f t="shared" si="14"/>
        <v>0</v>
      </c>
      <c r="Y168" s="119"/>
    </row>
    <row r="169" spans="1:25" ht="30">
      <c r="A169" s="44" t="s">
        <v>469</v>
      </c>
      <c r="B169" s="19" t="s">
        <v>406</v>
      </c>
      <c r="C169" s="49">
        <v>2030</v>
      </c>
      <c r="D169" s="46">
        <v>0</v>
      </c>
      <c r="E169" s="47">
        <v>0</v>
      </c>
      <c r="F169" s="47">
        <v>0</v>
      </c>
      <c r="G169" s="48">
        <v>0</v>
      </c>
      <c r="H169" s="57">
        <f t="shared" si="15"/>
        <v>0</v>
      </c>
      <c r="I169" s="119"/>
      <c r="J169" s="119"/>
      <c r="K169" s="119"/>
      <c r="L169" s="119"/>
      <c r="M169" s="119"/>
      <c r="N169" s="119"/>
      <c r="O169" s="119"/>
      <c r="P169" s="119"/>
      <c r="Q169" s="44" t="s">
        <v>469</v>
      </c>
      <c r="R169" s="19" t="s">
        <v>406</v>
      </c>
      <c r="S169" s="49">
        <v>2030</v>
      </c>
      <c r="T169" s="46">
        <v>0</v>
      </c>
      <c r="U169" s="47">
        <v>0</v>
      </c>
      <c r="V169" s="47">
        <v>0</v>
      </c>
      <c r="W169" s="48">
        <v>0</v>
      </c>
      <c r="X169" s="57">
        <f t="shared" si="14"/>
        <v>0</v>
      </c>
      <c r="Y169" s="119"/>
    </row>
    <row r="170" spans="1:25" ht="30">
      <c r="A170" s="44" t="s">
        <v>469</v>
      </c>
      <c r="B170" s="19" t="s">
        <v>406</v>
      </c>
      <c r="C170" s="49">
        <v>2031</v>
      </c>
      <c r="D170" s="46">
        <v>0</v>
      </c>
      <c r="E170" s="47">
        <v>0</v>
      </c>
      <c r="F170" s="47">
        <v>0</v>
      </c>
      <c r="G170" s="48">
        <v>0</v>
      </c>
      <c r="H170" s="57">
        <f t="shared" si="15"/>
        <v>0</v>
      </c>
      <c r="I170" s="119"/>
      <c r="J170" s="119"/>
      <c r="K170" s="119"/>
      <c r="L170" s="119"/>
      <c r="M170" s="119"/>
      <c r="N170" s="119"/>
      <c r="O170" s="119"/>
      <c r="P170" s="119"/>
      <c r="Q170" s="44" t="s">
        <v>469</v>
      </c>
      <c r="R170" s="19" t="s">
        <v>406</v>
      </c>
      <c r="S170" s="49">
        <v>2031</v>
      </c>
      <c r="T170" s="46">
        <v>0</v>
      </c>
      <c r="U170" s="47">
        <v>0</v>
      </c>
      <c r="V170" s="47">
        <v>0</v>
      </c>
      <c r="W170" s="48">
        <v>0</v>
      </c>
      <c r="X170" s="57">
        <f t="shared" si="14"/>
        <v>0</v>
      </c>
      <c r="Y170" s="119"/>
    </row>
    <row r="171" spans="1:25" ht="30">
      <c r="A171" s="44" t="s">
        <v>469</v>
      </c>
      <c r="B171" s="19" t="s">
        <v>406</v>
      </c>
      <c r="C171" s="49">
        <v>2032</v>
      </c>
      <c r="D171" s="46">
        <v>0</v>
      </c>
      <c r="E171" s="47">
        <v>0</v>
      </c>
      <c r="F171" s="47">
        <v>0</v>
      </c>
      <c r="G171" s="48">
        <v>0</v>
      </c>
      <c r="H171" s="57">
        <f t="shared" si="15"/>
        <v>0</v>
      </c>
      <c r="I171" s="119"/>
      <c r="J171" s="119"/>
      <c r="K171" s="119"/>
      <c r="L171" s="119"/>
      <c r="M171" s="119"/>
      <c r="N171" s="119"/>
      <c r="O171" s="119"/>
      <c r="P171" s="119"/>
      <c r="Q171" s="44" t="s">
        <v>469</v>
      </c>
      <c r="R171" s="19" t="s">
        <v>406</v>
      </c>
      <c r="S171" s="49">
        <v>2032</v>
      </c>
      <c r="T171" s="46">
        <v>0</v>
      </c>
      <c r="U171" s="47">
        <v>0</v>
      </c>
      <c r="V171" s="47">
        <v>0</v>
      </c>
      <c r="W171" s="48">
        <v>0</v>
      </c>
      <c r="X171" s="57">
        <f t="shared" si="14"/>
        <v>0</v>
      </c>
      <c r="Y171" s="119"/>
    </row>
    <row r="172" spans="1:25" ht="30">
      <c r="A172" s="44" t="s">
        <v>469</v>
      </c>
      <c r="B172" s="19" t="s">
        <v>406</v>
      </c>
      <c r="C172" s="49">
        <v>2033</v>
      </c>
      <c r="D172" s="46">
        <v>0</v>
      </c>
      <c r="E172" s="47">
        <v>0</v>
      </c>
      <c r="F172" s="47">
        <v>0</v>
      </c>
      <c r="G172" s="48">
        <v>0</v>
      </c>
      <c r="H172" s="57">
        <f t="shared" si="15"/>
        <v>0</v>
      </c>
      <c r="I172" s="119"/>
      <c r="J172" s="119"/>
      <c r="K172" s="119"/>
      <c r="L172" s="119"/>
      <c r="M172" s="119"/>
      <c r="N172" s="119"/>
      <c r="O172" s="119"/>
      <c r="P172" s="119"/>
      <c r="Q172" s="44" t="s">
        <v>469</v>
      </c>
      <c r="R172" s="19" t="s">
        <v>406</v>
      </c>
      <c r="S172" s="49">
        <v>2033</v>
      </c>
      <c r="T172" s="46">
        <v>0</v>
      </c>
      <c r="U172" s="47">
        <v>0</v>
      </c>
      <c r="V172" s="47">
        <v>0</v>
      </c>
      <c r="W172" s="48">
        <v>0</v>
      </c>
      <c r="X172" s="57">
        <f t="shared" si="14"/>
        <v>0</v>
      </c>
      <c r="Y172" s="119"/>
    </row>
    <row r="173" spans="1:25" ht="30">
      <c r="A173" s="44" t="s">
        <v>469</v>
      </c>
      <c r="B173" s="19" t="s">
        <v>406</v>
      </c>
      <c r="C173" s="49">
        <v>2034</v>
      </c>
      <c r="D173" s="46">
        <v>68.68718833153099</v>
      </c>
      <c r="E173" s="47">
        <v>122.62264980290435</v>
      </c>
      <c r="F173" s="47">
        <v>0</v>
      </c>
      <c r="G173" s="48">
        <v>0</v>
      </c>
      <c r="H173" s="57">
        <f t="shared" si="15"/>
        <v>111.5524063276294</v>
      </c>
      <c r="I173" s="119"/>
      <c r="J173" s="119"/>
      <c r="K173" s="119"/>
      <c r="L173" s="119"/>
      <c r="M173" s="119"/>
      <c r="N173" s="119"/>
      <c r="O173" s="119"/>
      <c r="P173" s="119"/>
      <c r="Q173" s="44" t="s">
        <v>469</v>
      </c>
      <c r="R173" s="19" t="s">
        <v>406</v>
      </c>
      <c r="S173" s="49">
        <v>2034</v>
      </c>
      <c r="T173" s="46">
        <v>68.68718833153099</v>
      </c>
      <c r="U173" s="47">
        <v>122.62264980290435</v>
      </c>
      <c r="V173" s="47">
        <v>0</v>
      </c>
      <c r="W173" s="48">
        <v>0</v>
      </c>
      <c r="X173" s="57">
        <f t="shared" si="14"/>
        <v>191.30983813443532</v>
      </c>
      <c r="Y173" s="119"/>
    </row>
    <row r="174" spans="1:25" ht="30">
      <c r="A174" s="44" t="s">
        <v>469</v>
      </c>
      <c r="B174" s="19" t="s">
        <v>406</v>
      </c>
      <c r="C174" s="49">
        <v>2035</v>
      </c>
      <c r="D174" s="46">
        <v>90.820912258908805</v>
      </c>
      <c r="E174" s="47">
        <v>162.13650884865461</v>
      </c>
      <c r="F174" s="47">
        <v>0</v>
      </c>
      <c r="G174" s="48">
        <v>0</v>
      </c>
      <c r="H174" s="57">
        <f t="shared" si="15"/>
        <v>137.8817442019741</v>
      </c>
      <c r="I174" s="119"/>
      <c r="J174" s="119"/>
      <c r="K174" s="119"/>
      <c r="L174" s="119"/>
      <c r="M174" s="119"/>
      <c r="N174" s="119"/>
      <c r="O174" s="119"/>
      <c r="P174" s="119"/>
      <c r="Q174" s="44" t="s">
        <v>469</v>
      </c>
      <c r="R174" s="19" t="s">
        <v>406</v>
      </c>
      <c r="S174" s="49">
        <v>2035</v>
      </c>
      <c r="T174" s="46">
        <v>160.88184435707041</v>
      </c>
      <c r="U174" s="47">
        <v>287.21161164761702</v>
      </c>
      <c r="V174" s="47">
        <v>0</v>
      </c>
      <c r="W174" s="48">
        <v>0</v>
      </c>
      <c r="X174" s="57">
        <f t="shared" si="14"/>
        <v>448.09345600468743</v>
      </c>
      <c r="Y174" s="119">
        <f>NPV($Y$10,X165:X174)/((1-(1+$Y$10)^-10)/$Y$10)</f>
        <v>47.300025201092204</v>
      </c>
    </row>
    <row r="175" spans="1:25">
      <c r="A175" s="44"/>
      <c r="B175" s="19" t="s">
        <v>401</v>
      </c>
      <c r="C175" s="49"/>
      <c r="D175" s="46" t="s">
        <v>401</v>
      </c>
      <c r="E175" s="47" t="s">
        <v>401</v>
      </c>
      <c r="F175" s="47" t="s">
        <v>401</v>
      </c>
      <c r="G175" s="48" t="s">
        <v>401</v>
      </c>
      <c r="H175" s="57">
        <f t="shared" si="15"/>
        <v>0</v>
      </c>
      <c r="I175" s="119"/>
      <c r="J175" s="119"/>
      <c r="K175" s="119"/>
      <c r="L175" s="119"/>
      <c r="M175" s="119"/>
      <c r="N175" s="119"/>
      <c r="O175" s="119"/>
      <c r="P175" s="119"/>
      <c r="Q175" s="44"/>
      <c r="R175" s="19" t="s">
        <v>401</v>
      </c>
      <c r="S175" s="49"/>
      <c r="T175" s="46"/>
      <c r="U175" s="47"/>
      <c r="V175" s="47"/>
      <c r="W175" s="48"/>
      <c r="X175" s="57">
        <f t="shared" si="14"/>
        <v>0</v>
      </c>
      <c r="Y175" s="119"/>
    </row>
    <row r="176" spans="1:25">
      <c r="A176" s="44" t="s">
        <v>474</v>
      </c>
      <c r="B176" s="19" t="s">
        <v>407</v>
      </c>
      <c r="C176" s="49">
        <v>2026</v>
      </c>
      <c r="D176" s="46">
        <v>0</v>
      </c>
      <c r="E176" s="47">
        <v>0</v>
      </c>
      <c r="F176" s="47">
        <v>0</v>
      </c>
      <c r="G176" s="48">
        <v>0</v>
      </c>
      <c r="H176" s="57">
        <f t="shared" si="15"/>
        <v>0</v>
      </c>
      <c r="I176" s="119"/>
      <c r="J176" s="119"/>
      <c r="K176" s="119"/>
      <c r="L176" s="119"/>
      <c r="M176" s="119"/>
      <c r="N176" s="119"/>
      <c r="O176" s="119"/>
      <c r="P176" s="119"/>
      <c r="Q176" s="44" t="s">
        <v>474</v>
      </c>
      <c r="R176" s="19" t="s">
        <v>407</v>
      </c>
      <c r="S176" s="49">
        <v>2026</v>
      </c>
      <c r="T176" s="46">
        <v>0</v>
      </c>
      <c r="U176" s="47">
        <v>0</v>
      </c>
      <c r="V176" s="47">
        <v>0</v>
      </c>
      <c r="W176" s="48">
        <v>0</v>
      </c>
      <c r="X176" s="57">
        <f t="shared" si="14"/>
        <v>0</v>
      </c>
      <c r="Y176" s="119"/>
    </row>
    <row r="177" spans="1:25">
      <c r="A177" s="44" t="s">
        <v>474</v>
      </c>
      <c r="B177" s="19" t="s">
        <v>407</v>
      </c>
      <c r="C177" s="49">
        <v>2027</v>
      </c>
      <c r="D177" s="46">
        <v>0</v>
      </c>
      <c r="E177" s="47">
        <v>0</v>
      </c>
      <c r="F177" s="47">
        <v>0</v>
      </c>
      <c r="G177" s="48">
        <v>0</v>
      </c>
      <c r="H177" s="57">
        <f t="shared" si="15"/>
        <v>0</v>
      </c>
      <c r="I177" s="119"/>
      <c r="J177" s="119"/>
      <c r="K177" s="119"/>
      <c r="L177" s="119"/>
      <c r="M177" s="119"/>
      <c r="N177" s="119"/>
      <c r="O177" s="119"/>
      <c r="P177" s="119"/>
      <c r="Q177" s="44" t="s">
        <v>474</v>
      </c>
      <c r="R177" s="19" t="s">
        <v>407</v>
      </c>
      <c r="S177" s="49">
        <v>2027</v>
      </c>
      <c r="T177" s="46">
        <v>0</v>
      </c>
      <c r="U177" s="47">
        <v>0</v>
      </c>
      <c r="V177" s="47">
        <v>0</v>
      </c>
      <c r="W177" s="48">
        <v>0</v>
      </c>
      <c r="X177" s="57">
        <f t="shared" si="14"/>
        <v>0</v>
      </c>
      <c r="Y177" s="119"/>
    </row>
    <row r="178" spans="1:25">
      <c r="A178" s="44" t="s">
        <v>474</v>
      </c>
      <c r="B178" s="19" t="s">
        <v>407</v>
      </c>
      <c r="C178" s="49">
        <v>2028</v>
      </c>
      <c r="D178" s="46">
        <v>0</v>
      </c>
      <c r="E178" s="47">
        <v>0</v>
      </c>
      <c r="F178" s="47">
        <v>0</v>
      </c>
      <c r="G178" s="48">
        <v>0</v>
      </c>
      <c r="H178" s="57">
        <f t="shared" si="15"/>
        <v>0</v>
      </c>
      <c r="I178" s="119"/>
      <c r="J178" s="119"/>
      <c r="K178" s="119"/>
      <c r="L178" s="119"/>
      <c r="M178" s="119"/>
      <c r="N178" s="119"/>
      <c r="O178" s="119"/>
      <c r="P178" s="119"/>
      <c r="Q178" s="44" t="s">
        <v>474</v>
      </c>
      <c r="R178" s="19" t="s">
        <v>407</v>
      </c>
      <c r="S178" s="49">
        <v>2028</v>
      </c>
      <c r="T178" s="46">
        <v>0</v>
      </c>
      <c r="U178" s="47">
        <v>0</v>
      </c>
      <c r="V178" s="47">
        <v>0</v>
      </c>
      <c r="W178" s="48">
        <v>0</v>
      </c>
      <c r="X178" s="57">
        <f t="shared" si="14"/>
        <v>0</v>
      </c>
      <c r="Y178" s="119"/>
    </row>
    <row r="179" spans="1:25">
      <c r="A179" s="44" t="s">
        <v>474</v>
      </c>
      <c r="B179" s="19" t="s">
        <v>407</v>
      </c>
      <c r="C179" s="49">
        <v>2029</v>
      </c>
      <c r="D179" s="46">
        <v>0</v>
      </c>
      <c r="E179" s="47">
        <v>0</v>
      </c>
      <c r="F179" s="47">
        <v>0</v>
      </c>
      <c r="G179" s="48">
        <v>0</v>
      </c>
      <c r="H179" s="57">
        <f t="shared" si="15"/>
        <v>0</v>
      </c>
      <c r="I179" s="119"/>
      <c r="J179" s="119"/>
      <c r="K179" s="119"/>
      <c r="L179" s="119"/>
      <c r="M179" s="119"/>
      <c r="N179" s="119"/>
      <c r="O179" s="119"/>
      <c r="P179" s="119"/>
      <c r="Q179" s="44" t="s">
        <v>474</v>
      </c>
      <c r="R179" s="19" t="s">
        <v>407</v>
      </c>
      <c r="S179" s="49">
        <v>2029</v>
      </c>
      <c r="T179" s="46">
        <v>0</v>
      </c>
      <c r="U179" s="47">
        <v>0</v>
      </c>
      <c r="V179" s="47">
        <v>0</v>
      </c>
      <c r="W179" s="48">
        <v>0</v>
      </c>
      <c r="X179" s="57">
        <f t="shared" si="14"/>
        <v>0</v>
      </c>
      <c r="Y179" s="119"/>
    </row>
    <row r="180" spans="1:25">
      <c r="A180" s="44" t="s">
        <v>474</v>
      </c>
      <c r="B180" s="19" t="s">
        <v>407</v>
      </c>
      <c r="C180" s="49">
        <v>2030</v>
      </c>
      <c r="D180" s="46">
        <v>0</v>
      </c>
      <c r="E180" s="47">
        <v>0</v>
      </c>
      <c r="F180" s="47">
        <v>62.910171057297298</v>
      </c>
      <c r="G180" s="48">
        <v>0</v>
      </c>
      <c r="H180" s="57">
        <f t="shared" si="15"/>
        <v>48.038748583278178</v>
      </c>
      <c r="I180" s="119"/>
      <c r="J180" s="119"/>
      <c r="K180" s="119"/>
      <c r="L180" s="119"/>
      <c r="M180" s="119"/>
      <c r="N180" s="119"/>
      <c r="O180" s="119"/>
      <c r="P180" s="119"/>
      <c r="Q180" s="44" t="s">
        <v>474</v>
      </c>
      <c r="R180" s="19" t="s">
        <v>407</v>
      </c>
      <c r="S180" s="49">
        <v>2030</v>
      </c>
      <c r="T180" s="46">
        <v>0</v>
      </c>
      <c r="U180" s="47">
        <v>0</v>
      </c>
      <c r="V180" s="47">
        <v>62.910171057297298</v>
      </c>
      <c r="W180" s="48">
        <v>0</v>
      </c>
      <c r="X180" s="57">
        <f t="shared" si="14"/>
        <v>62.910171057297298</v>
      </c>
      <c r="Y180" s="119"/>
    </row>
    <row r="181" spans="1:25">
      <c r="A181" s="44" t="s">
        <v>474</v>
      </c>
      <c r="B181" s="19" t="s">
        <v>407</v>
      </c>
      <c r="C181" s="49">
        <v>2031</v>
      </c>
      <c r="D181" s="46">
        <v>0</v>
      </c>
      <c r="E181" s="47">
        <v>0</v>
      </c>
      <c r="F181" s="47">
        <v>0</v>
      </c>
      <c r="G181" s="48">
        <v>0</v>
      </c>
      <c r="H181" s="57">
        <f t="shared" si="15"/>
        <v>0</v>
      </c>
      <c r="I181" s="119"/>
      <c r="J181" s="119"/>
      <c r="K181" s="119"/>
      <c r="L181" s="119"/>
      <c r="M181" s="119"/>
      <c r="N181" s="119"/>
      <c r="O181" s="119"/>
      <c r="P181" s="119"/>
      <c r="Q181" s="44" t="s">
        <v>474</v>
      </c>
      <c r="R181" s="19" t="s">
        <v>407</v>
      </c>
      <c r="S181" s="49">
        <v>2031</v>
      </c>
      <c r="T181" s="46">
        <v>0</v>
      </c>
      <c r="U181" s="47">
        <v>0</v>
      </c>
      <c r="V181" s="47">
        <v>64.168374478443241</v>
      </c>
      <c r="W181" s="48">
        <v>0</v>
      </c>
      <c r="X181" s="57">
        <f t="shared" si="14"/>
        <v>64.168374478443241</v>
      </c>
      <c r="Y181" s="119"/>
    </row>
    <row r="182" spans="1:25">
      <c r="A182" s="44" t="s">
        <v>474</v>
      </c>
      <c r="B182" s="19" t="s">
        <v>407</v>
      </c>
      <c r="C182" s="49">
        <v>2032</v>
      </c>
      <c r="D182" s="46">
        <v>0</v>
      </c>
      <c r="E182" s="47">
        <v>0</v>
      </c>
      <c r="F182" s="47">
        <v>0</v>
      </c>
      <c r="G182" s="48">
        <v>0</v>
      </c>
      <c r="H182" s="57">
        <f t="shared" si="15"/>
        <v>0</v>
      </c>
      <c r="I182" s="119"/>
      <c r="J182" s="119"/>
      <c r="K182" s="119"/>
      <c r="L182" s="119"/>
      <c r="M182" s="119"/>
      <c r="N182" s="119"/>
      <c r="O182" s="119"/>
      <c r="P182" s="119"/>
      <c r="Q182" s="44" t="s">
        <v>474</v>
      </c>
      <c r="R182" s="19" t="s">
        <v>407</v>
      </c>
      <c r="S182" s="49">
        <v>2032</v>
      </c>
      <c r="T182" s="46">
        <v>0</v>
      </c>
      <c r="U182" s="47">
        <v>0</v>
      </c>
      <c r="V182" s="47">
        <v>65.451741968012101</v>
      </c>
      <c r="W182" s="48">
        <v>0</v>
      </c>
      <c r="X182" s="57">
        <f t="shared" si="14"/>
        <v>65.451741968012101</v>
      </c>
      <c r="Y182" s="119"/>
    </row>
    <row r="183" spans="1:25">
      <c r="A183" s="44" t="s">
        <v>474</v>
      </c>
      <c r="B183" s="19" t="s">
        <v>407</v>
      </c>
      <c r="C183" s="49">
        <v>2033</v>
      </c>
      <c r="D183" s="46">
        <v>0</v>
      </c>
      <c r="E183" s="47">
        <v>0</v>
      </c>
      <c r="F183" s="47">
        <v>0</v>
      </c>
      <c r="G183" s="48">
        <v>0</v>
      </c>
      <c r="H183" s="57">
        <f t="shared" si="15"/>
        <v>0</v>
      </c>
      <c r="I183" s="119"/>
      <c r="J183" s="119"/>
      <c r="K183" s="119"/>
      <c r="L183" s="119"/>
      <c r="M183" s="119"/>
      <c r="N183" s="119"/>
      <c r="O183" s="119"/>
      <c r="P183" s="119"/>
      <c r="Q183" s="44" t="s">
        <v>474</v>
      </c>
      <c r="R183" s="19" t="s">
        <v>407</v>
      </c>
      <c r="S183" s="49">
        <v>2033</v>
      </c>
      <c r="T183" s="46">
        <v>0</v>
      </c>
      <c r="U183" s="47">
        <v>0</v>
      </c>
      <c r="V183" s="47">
        <v>66.760776807372338</v>
      </c>
      <c r="W183" s="48">
        <v>0</v>
      </c>
      <c r="X183" s="57">
        <f t="shared" si="14"/>
        <v>66.760776807372338</v>
      </c>
      <c r="Y183" s="119"/>
    </row>
    <row r="184" spans="1:25">
      <c r="A184" s="44" t="s">
        <v>474</v>
      </c>
      <c r="B184" s="19" t="s">
        <v>407</v>
      </c>
      <c r="C184" s="49">
        <v>2034</v>
      </c>
      <c r="D184" s="46">
        <v>0</v>
      </c>
      <c r="E184" s="47">
        <v>0</v>
      </c>
      <c r="F184" s="47">
        <v>0</v>
      </c>
      <c r="G184" s="48">
        <v>0</v>
      </c>
      <c r="H184" s="57">
        <f t="shared" si="15"/>
        <v>0</v>
      </c>
      <c r="I184" s="119"/>
      <c r="J184" s="119"/>
      <c r="K184" s="119"/>
      <c r="L184" s="119"/>
      <c r="M184" s="119"/>
      <c r="N184" s="119"/>
      <c r="O184" s="119"/>
      <c r="P184" s="119"/>
      <c r="Q184" s="44" t="s">
        <v>474</v>
      </c>
      <c r="R184" s="19" t="s">
        <v>407</v>
      </c>
      <c r="S184" s="49">
        <v>2034</v>
      </c>
      <c r="T184" s="46">
        <v>0</v>
      </c>
      <c r="U184" s="47">
        <v>0</v>
      </c>
      <c r="V184" s="47">
        <v>68.095992343519782</v>
      </c>
      <c r="W184" s="48">
        <v>0</v>
      </c>
      <c r="X184" s="57">
        <f t="shared" si="14"/>
        <v>68.095992343519782</v>
      </c>
      <c r="Y184" s="119"/>
    </row>
    <row r="185" spans="1:25">
      <c r="A185" s="44" t="s">
        <v>474</v>
      </c>
      <c r="B185" s="19" t="s">
        <v>407</v>
      </c>
      <c r="C185" s="49">
        <v>2035</v>
      </c>
      <c r="D185" s="46">
        <v>0</v>
      </c>
      <c r="E185" s="47">
        <v>0</v>
      </c>
      <c r="F185" s="47">
        <v>0</v>
      </c>
      <c r="G185" s="48">
        <v>0</v>
      </c>
      <c r="H185" s="57">
        <f t="shared" si="15"/>
        <v>0</v>
      </c>
      <c r="I185" s="119"/>
      <c r="J185" s="119"/>
      <c r="K185" s="119"/>
      <c r="L185" s="119"/>
      <c r="M185" s="119"/>
      <c r="N185" s="119"/>
      <c r="O185" s="119"/>
      <c r="P185" s="119"/>
      <c r="Q185" s="44" t="s">
        <v>474</v>
      </c>
      <c r="R185" s="19" t="s">
        <v>407</v>
      </c>
      <c r="S185" s="49">
        <v>2035</v>
      </c>
      <c r="T185" s="46">
        <v>0</v>
      </c>
      <c r="U185" s="47">
        <v>0</v>
      </c>
      <c r="V185" s="47">
        <v>69.457912190390175</v>
      </c>
      <c r="W185" s="48">
        <v>0</v>
      </c>
      <c r="X185" s="57">
        <f t="shared" si="14"/>
        <v>69.457912190390175</v>
      </c>
      <c r="Y185" s="119">
        <f>NPV($Y$10,X176:X185)/((1-(1+$Y$10)^-10)/$Y$10)</f>
        <v>34.129507637438572</v>
      </c>
    </row>
    <row r="186" spans="1:25">
      <c r="A186" s="44"/>
      <c r="B186" s="19" t="s">
        <v>401</v>
      </c>
      <c r="C186" s="49"/>
      <c r="D186" s="42" t="s">
        <v>401</v>
      </c>
      <c r="E186" s="19" t="s">
        <v>401</v>
      </c>
      <c r="F186" s="19" t="s">
        <v>401</v>
      </c>
      <c r="G186" s="43" t="s">
        <v>401</v>
      </c>
      <c r="H186" s="57">
        <f t="shared" si="15"/>
        <v>0</v>
      </c>
      <c r="I186" s="119"/>
      <c r="J186" s="119"/>
      <c r="K186" s="119"/>
      <c r="L186" s="119"/>
      <c r="M186" s="119"/>
      <c r="N186" s="119"/>
      <c r="O186" s="119"/>
      <c r="P186" s="119"/>
      <c r="Q186" s="44"/>
      <c r="R186" s="19" t="s">
        <v>401</v>
      </c>
      <c r="S186" s="49"/>
      <c r="T186" s="42"/>
      <c r="U186" s="19"/>
      <c r="V186" s="19"/>
      <c r="W186" s="43"/>
      <c r="X186" s="57">
        <f t="shared" si="14"/>
        <v>0</v>
      </c>
      <c r="Y186" s="119"/>
    </row>
    <row r="187" spans="1:25">
      <c r="A187" s="44" t="s">
        <v>474</v>
      </c>
      <c r="B187" s="19" t="s">
        <v>408</v>
      </c>
      <c r="C187" s="49">
        <v>2026</v>
      </c>
      <c r="D187" s="46">
        <v>0</v>
      </c>
      <c r="E187" s="47">
        <v>0</v>
      </c>
      <c r="F187" s="47">
        <v>0</v>
      </c>
      <c r="G187" s="48">
        <v>0</v>
      </c>
      <c r="H187" s="57">
        <f t="shared" si="15"/>
        <v>0</v>
      </c>
      <c r="I187" s="119"/>
      <c r="J187" s="119"/>
      <c r="K187" s="119"/>
      <c r="L187" s="119"/>
      <c r="M187" s="119"/>
      <c r="N187" s="119"/>
      <c r="O187" s="119"/>
      <c r="P187" s="119"/>
      <c r="Q187" s="44" t="s">
        <v>474</v>
      </c>
      <c r="R187" s="19" t="s">
        <v>408</v>
      </c>
      <c r="S187" s="49">
        <v>2026</v>
      </c>
      <c r="T187" s="46">
        <v>0</v>
      </c>
      <c r="U187" s="47">
        <v>0</v>
      </c>
      <c r="V187" s="47">
        <v>0</v>
      </c>
      <c r="W187" s="48">
        <v>0</v>
      </c>
      <c r="X187" s="57">
        <f t="shared" si="14"/>
        <v>0</v>
      </c>
      <c r="Y187" s="119"/>
    </row>
    <row r="188" spans="1:25">
      <c r="A188" s="44" t="s">
        <v>474</v>
      </c>
      <c r="B188" s="19" t="s">
        <v>408</v>
      </c>
      <c r="C188" s="49">
        <v>2027</v>
      </c>
      <c r="D188" s="46">
        <v>0</v>
      </c>
      <c r="E188" s="47">
        <v>0</v>
      </c>
      <c r="F188" s="47">
        <v>0</v>
      </c>
      <c r="G188" s="48">
        <v>0</v>
      </c>
      <c r="H188" s="57">
        <f t="shared" si="15"/>
        <v>0</v>
      </c>
      <c r="I188" s="119"/>
      <c r="J188" s="119"/>
      <c r="K188" s="119"/>
      <c r="L188" s="119"/>
      <c r="M188" s="119"/>
      <c r="N188" s="119"/>
      <c r="O188" s="119"/>
      <c r="P188" s="119"/>
      <c r="Q188" s="44" t="s">
        <v>474</v>
      </c>
      <c r="R188" s="19" t="s">
        <v>408</v>
      </c>
      <c r="S188" s="49">
        <v>2027</v>
      </c>
      <c r="T188" s="46">
        <v>0</v>
      </c>
      <c r="U188" s="47">
        <v>0</v>
      </c>
      <c r="V188" s="47">
        <v>0</v>
      </c>
      <c r="W188" s="48">
        <v>0</v>
      </c>
      <c r="X188" s="57">
        <f t="shared" si="14"/>
        <v>0</v>
      </c>
      <c r="Y188" s="119"/>
    </row>
    <row r="189" spans="1:25">
      <c r="A189" s="44" t="s">
        <v>474</v>
      </c>
      <c r="B189" s="19" t="s">
        <v>408</v>
      </c>
      <c r="C189" s="49">
        <v>2028</v>
      </c>
      <c r="D189" s="46">
        <v>0</v>
      </c>
      <c r="E189" s="47">
        <v>0</v>
      </c>
      <c r="F189" s="47">
        <v>0</v>
      </c>
      <c r="G189" s="48">
        <v>0</v>
      </c>
      <c r="H189" s="57">
        <f t="shared" si="15"/>
        <v>0</v>
      </c>
      <c r="I189" s="119"/>
      <c r="J189" s="119"/>
      <c r="K189" s="119"/>
      <c r="L189" s="119"/>
      <c r="M189" s="119"/>
      <c r="N189" s="119"/>
      <c r="O189" s="119"/>
      <c r="P189" s="119"/>
      <c r="Q189" s="44" t="s">
        <v>474</v>
      </c>
      <c r="R189" s="19" t="s">
        <v>408</v>
      </c>
      <c r="S189" s="49">
        <v>2028</v>
      </c>
      <c r="T189" s="46">
        <v>0</v>
      </c>
      <c r="U189" s="47">
        <v>0</v>
      </c>
      <c r="V189" s="47">
        <v>0</v>
      </c>
      <c r="W189" s="48">
        <v>0</v>
      </c>
      <c r="X189" s="57">
        <f t="shared" si="14"/>
        <v>0</v>
      </c>
      <c r="Y189" s="119"/>
    </row>
    <row r="190" spans="1:25">
      <c r="A190" s="44" t="s">
        <v>474</v>
      </c>
      <c r="B190" s="19" t="s">
        <v>408</v>
      </c>
      <c r="C190" s="49">
        <v>2029</v>
      </c>
      <c r="D190" s="46">
        <v>0</v>
      </c>
      <c r="E190" s="47">
        <v>0</v>
      </c>
      <c r="F190" s="47">
        <v>0</v>
      </c>
      <c r="G190" s="48">
        <v>0</v>
      </c>
      <c r="H190" s="57">
        <f t="shared" si="15"/>
        <v>0</v>
      </c>
      <c r="I190" s="119"/>
      <c r="J190" s="119"/>
      <c r="K190" s="119"/>
      <c r="L190" s="119"/>
      <c r="M190" s="119"/>
      <c r="N190" s="119"/>
      <c r="O190" s="119"/>
      <c r="P190" s="119"/>
      <c r="Q190" s="44" t="s">
        <v>474</v>
      </c>
      <c r="R190" s="19" t="s">
        <v>408</v>
      </c>
      <c r="S190" s="49">
        <v>2029</v>
      </c>
      <c r="T190" s="46">
        <v>0</v>
      </c>
      <c r="U190" s="47">
        <v>0</v>
      </c>
      <c r="V190" s="47">
        <v>0</v>
      </c>
      <c r="W190" s="48">
        <v>0</v>
      </c>
      <c r="X190" s="57">
        <f t="shared" si="14"/>
        <v>0</v>
      </c>
      <c r="Y190" s="119"/>
    </row>
    <row r="191" spans="1:25">
      <c r="A191" s="44" t="s">
        <v>474</v>
      </c>
      <c r="B191" s="19" t="s">
        <v>408</v>
      </c>
      <c r="C191" s="49">
        <v>2030</v>
      </c>
      <c r="D191" s="46">
        <v>155.02743352197785</v>
      </c>
      <c r="E191" s="47">
        <v>0</v>
      </c>
      <c r="F191" s="47">
        <v>0</v>
      </c>
      <c r="G191" s="48">
        <v>0</v>
      </c>
      <c r="H191" s="57">
        <f t="shared" si="15"/>
        <v>118.38028378098504</v>
      </c>
      <c r="I191" s="119"/>
      <c r="J191" s="119"/>
      <c r="K191" s="119"/>
      <c r="L191" s="119"/>
      <c r="M191" s="119"/>
      <c r="N191" s="119"/>
      <c r="O191" s="119"/>
      <c r="P191" s="119"/>
      <c r="Q191" s="44" t="s">
        <v>474</v>
      </c>
      <c r="R191" s="19" t="s">
        <v>408</v>
      </c>
      <c r="S191" s="49">
        <v>2030</v>
      </c>
      <c r="T191" s="46">
        <v>155.02743352197785</v>
      </c>
      <c r="U191" s="47">
        <v>0</v>
      </c>
      <c r="V191" s="47">
        <v>0</v>
      </c>
      <c r="W191" s="48">
        <v>0</v>
      </c>
      <c r="X191" s="57">
        <f t="shared" si="14"/>
        <v>155.02743352197785</v>
      </c>
      <c r="Y191" s="119"/>
    </row>
    <row r="192" spans="1:25">
      <c r="A192" s="44" t="s">
        <v>474</v>
      </c>
      <c r="B192" s="19" t="s">
        <v>408</v>
      </c>
      <c r="C192" s="49">
        <v>2031</v>
      </c>
      <c r="D192" s="46">
        <v>0</v>
      </c>
      <c r="E192" s="47">
        <v>0</v>
      </c>
      <c r="F192" s="47">
        <v>0</v>
      </c>
      <c r="G192" s="48">
        <v>0</v>
      </c>
      <c r="H192" s="57">
        <f t="shared" si="15"/>
        <v>0</v>
      </c>
      <c r="I192" s="119"/>
      <c r="J192" s="119"/>
      <c r="K192" s="119"/>
      <c r="L192" s="119"/>
      <c r="M192" s="119"/>
      <c r="N192" s="119"/>
      <c r="O192" s="119"/>
      <c r="P192" s="119"/>
      <c r="Q192" s="44" t="s">
        <v>474</v>
      </c>
      <c r="R192" s="19" t="s">
        <v>408</v>
      </c>
      <c r="S192" s="49">
        <v>2031</v>
      </c>
      <c r="T192" s="46">
        <v>158.12798219241742</v>
      </c>
      <c r="U192" s="47">
        <v>0</v>
      </c>
      <c r="V192" s="47">
        <v>0</v>
      </c>
      <c r="W192" s="48">
        <v>0</v>
      </c>
      <c r="X192" s="57">
        <f t="shared" si="14"/>
        <v>158.12798219241742</v>
      </c>
      <c r="Y192" s="119"/>
    </row>
    <row r="193" spans="1:25">
      <c r="A193" s="44" t="s">
        <v>474</v>
      </c>
      <c r="B193" s="19" t="s">
        <v>408</v>
      </c>
      <c r="C193" s="49">
        <v>2032</v>
      </c>
      <c r="D193" s="46">
        <v>0</v>
      </c>
      <c r="E193" s="47">
        <v>0</v>
      </c>
      <c r="F193" s="47">
        <v>0</v>
      </c>
      <c r="G193" s="48">
        <v>0</v>
      </c>
      <c r="H193" s="57">
        <f t="shared" si="15"/>
        <v>0</v>
      </c>
      <c r="I193" s="119"/>
      <c r="J193" s="119"/>
      <c r="K193" s="119"/>
      <c r="L193" s="119"/>
      <c r="M193" s="119"/>
      <c r="N193" s="119"/>
      <c r="O193" s="119"/>
      <c r="P193" s="119"/>
      <c r="Q193" s="44" t="s">
        <v>474</v>
      </c>
      <c r="R193" s="19" t="s">
        <v>408</v>
      </c>
      <c r="S193" s="49">
        <v>2032</v>
      </c>
      <c r="T193" s="46">
        <v>161.29054183626576</v>
      </c>
      <c r="U193" s="47">
        <v>0</v>
      </c>
      <c r="V193" s="47">
        <v>0</v>
      </c>
      <c r="W193" s="48">
        <v>0</v>
      </c>
      <c r="X193" s="57">
        <f t="shared" si="14"/>
        <v>161.29054183626576</v>
      </c>
      <c r="Y193" s="119"/>
    </row>
    <row r="194" spans="1:25">
      <c r="A194" s="44" t="s">
        <v>474</v>
      </c>
      <c r="B194" s="19" t="s">
        <v>408</v>
      </c>
      <c r="C194" s="49">
        <v>2033</v>
      </c>
      <c r="D194" s="46">
        <v>0</v>
      </c>
      <c r="E194" s="47">
        <v>0</v>
      </c>
      <c r="F194" s="47">
        <v>0</v>
      </c>
      <c r="G194" s="48">
        <v>0</v>
      </c>
      <c r="H194" s="57">
        <f t="shared" si="15"/>
        <v>0</v>
      </c>
      <c r="I194" s="119"/>
      <c r="J194" s="119"/>
      <c r="K194" s="119"/>
      <c r="L194" s="119"/>
      <c r="M194" s="119"/>
      <c r="N194" s="119"/>
      <c r="O194" s="119"/>
      <c r="P194" s="119"/>
      <c r="Q194" s="44" t="s">
        <v>474</v>
      </c>
      <c r="R194" s="19" t="s">
        <v>408</v>
      </c>
      <c r="S194" s="49">
        <v>2033</v>
      </c>
      <c r="T194" s="46">
        <v>164.51635267299108</v>
      </c>
      <c r="U194" s="47">
        <v>0</v>
      </c>
      <c r="V194" s="47">
        <v>0</v>
      </c>
      <c r="W194" s="48">
        <v>0</v>
      </c>
      <c r="X194" s="57">
        <f t="shared" si="14"/>
        <v>164.51635267299108</v>
      </c>
      <c r="Y194" s="119"/>
    </row>
    <row r="195" spans="1:25">
      <c r="A195" s="44" t="s">
        <v>474</v>
      </c>
      <c r="B195" s="19" t="s">
        <v>408</v>
      </c>
      <c r="C195" s="49">
        <v>2034</v>
      </c>
      <c r="D195" s="46">
        <v>0</v>
      </c>
      <c r="E195" s="47">
        <v>0</v>
      </c>
      <c r="F195" s="47">
        <v>0</v>
      </c>
      <c r="G195" s="48">
        <v>0</v>
      </c>
      <c r="H195" s="57">
        <f t="shared" si="15"/>
        <v>0</v>
      </c>
      <c r="I195" s="119"/>
      <c r="J195" s="119"/>
      <c r="K195" s="119"/>
      <c r="L195" s="119"/>
      <c r="M195" s="119"/>
      <c r="N195" s="119"/>
      <c r="O195" s="119"/>
      <c r="P195" s="119"/>
      <c r="Q195" s="44" t="s">
        <v>474</v>
      </c>
      <c r="R195" s="19" t="s">
        <v>408</v>
      </c>
      <c r="S195" s="49">
        <v>2034</v>
      </c>
      <c r="T195" s="46">
        <v>167.80667972645091</v>
      </c>
      <c r="U195" s="47">
        <v>0</v>
      </c>
      <c r="V195" s="47">
        <v>0</v>
      </c>
      <c r="W195" s="48">
        <v>0</v>
      </c>
      <c r="X195" s="57">
        <f t="shared" si="14"/>
        <v>167.80667972645091</v>
      </c>
      <c r="Y195" s="119"/>
    </row>
    <row r="196" spans="1:25">
      <c r="A196" s="44" t="s">
        <v>474</v>
      </c>
      <c r="B196" s="19" t="s">
        <v>408</v>
      </c>
      <c r="C196" s="49">
        <v>2035</v>
      </c>
      <c r="D196" s="46">
        <v>0</v>
      </c>
      <c r="E196" s="47">
        <v>0</v>
      </c>
      <c r="F196" s="47">
        <v>0</v>
      </c>
      <c r="G196" s="48">
        <v>0</v>
      </c>
      <c r="H196" s="57">
        <f t="shared" si="15"/>
        <v>0</v>
      </c>
      <c r="I196" s="119"/>
      <c r="J196" s="119"/>
      <c r="K196" s="119"/>
      <c r="L196" s="119"/>
      <c r="M196" s="119"/>
      <c r="N196" s="119"/>
      <c r="O196" s="119"/>
      <c r="P196" s="119"/>
      <c r="Q196" s="44" t="s">
        <v>474</v>
      </c>
      <c r="R196" s="19" t="s">
        <v>408</v>
      </c>
      <c r="S196" s="49">
        <v>2035</v>
      </c>
      <c r="T196" s="46">
        <v>171.16281332097992</v>
      </c>
      <c r="U196" s="47">
        <v>0</v>
      </c>
      <c r="V196" s="47">
        <v>0</v>
      </c>
      <c r="W196" s="48">
        <v>0</v>
      </c>
      <c r="X196" s="57">
        <f t="shared" si="14"/>
        <v>171.16281332097992</v>
      </c>
      <c r="Y196" s="119">
        <f>NPV($Y$10,X187:X196)/((1-(1+$Y$10)^-10)/$Y$10)</f>
        <v>84.104205845854423</v>
      </c>
    </row>
    <row r="197" spans="1:25">
      <c r="A197" s="44"/>
      <c r="B197" s="19" t="s">
        <v>401</v>
      </c>
      <c r="C197" s="49"/>
      <c r="D197" s="46" t="s">
        <v>401</v>
      </c>
      <c r="E197" s="47" t="s">
        <v>401</v>
      </c>
      <c r="F197" s="47" t="s">
        <v>401</v>
      </c>
      <c r="G197" s="48" t="s">
        <v>401</v>
      </c>
      <c r="H197" s="57">
        <f t="shared" si="15"/>
        <v>0</v>
      </c>
      <c r="I197" s="119"/>
      <c r="J197" s="119"/>
      <c r="K197" s="119"/>
      <c r="L197" s="119"/>
      <c r="M197" s="119"/>
      <c r="N197" s="119"/>
      <c r="O197" s="119"/>
      <c r="P197" s="119"/>
      <c r="Q197" s="44"/>
      <c r="R197" s="19" t="s">
        <v>401</v>
      </c>
      <c r="S197" s="49"/>
      <c r="T197" s="46"/>
      <c r="U197" s="47"/>
      <c r="V197" s="47"/>
      <c r="W197" s="48"/>
      <c r="X197" s="57">
        <f t="shared" si="14"/>
        <v>0</v>
      </c>
      <c r="Y197" s="119"/>
    </row>
    <row r="198" spans="1:25">
      <c r="A198" s="44" t="s">
        <v>474</v>
      </c>
      <c r="B198" s="19" t="s">
        <v>409</v>
      </c>
      <c r="C198" s="49">
        <v>2026</v>
      </c>
      <c r="D198" s="46">
        <v>0</v>
      </c>
      <c r="E198" s="47">
        <v>0</v>
      </c>
      <c r="F198" s="47">
        <v>0</v>
      </c>
      <c r="G198" s="48">
        <v>0</v>
      </c>
      <c r="H198" s="57">
        <f t="shared" si="15"/>
        <v>0</v>
      </c>
      <c r="I198" s="119"/>
      <c r="J198" s="119"/>
      <c r="K198" s="119"/>
      <c r="L198" s="119"/>
      <c r="M198" s="119"/>
      <c r="N198" s="119"/>
      <c r="O198" s="119"/>
      <c r="P198" s="119"/>
      <c r="Q198" s="44" t="s">
        <v>474</v>
      </c>
      <c r="R198" s="19" t="s">
        <v>409</v>
      </c>
      <c r="S198" s="49">
        <v>2026</v>
      </c>
      <c r="T198" s="46">
        <v>0</v>
      </c>
      <c r="U198" s="47">
        <v>0</v>
      </c>
      <c r="V198" s="47">
        <v>0</v>
      </c>
      <c r="W198" s="48">
        <v>0</v>
      </c>
      <c r="X198" s="57">
        <f t="shared" si="14"/>
        <v>0</v>
      </c>
      <c r="Y198" s="119"/>
    </row>
    <row r="199" spans="1:25">
      <c r="A199" s="44" t="s">
        <v>474</v>
      </c>
      <c r="B199" s="19" t="s">
        <v>409</v>
      </c>
      <c r="C199" s="49">
        <v>2027</v>
      </c>
      <c r="D199" s="46">
        <v>0</v>
      </c>
      <c r="E199" s="47">
        <v>0</v>
      </c>
      <c r="F199" s="47">
        <v>0</v>
      </c>
      <c r="G199" s="48">
        <v>0</v>
      </c>
      <c r="H199" s="57">
        <f t="shared" si="15"/>
        <v>0</v>
      </c>
      <c r="I199" s="119"/>
      <c r="J199" s="119"/>
      <c r="K199" s="119"/>
      <c r="L199" s="119"/>
      <c r="M199" s="119"/>
      <c r="N199" s="119"/>
      <c r="O199" s="119"/>
      <c r="P199" s="119"/>
      <c r="Q199" s="44" t="s">
        <v>474</v>
      </c>
      <c r="R199" s="19" t="s">
        <v>409</v>
      </c>
      <c r="S199" s="49">
        <v>2027</v>
      </c>
      <c r="T199" s="46">
        <v>0</v>
      </c>
      <c r="U199" s="47">
        <v>0</v>
      </c>
      <c r="V199" s="47">
        <v>0</v>
      </c>
      <c r="W199" s="48">
        <v>0</v>
      </c>
      <c r="X199" s="57">
        <f t="shared" si="14"/>
        <v>0</v>
      </c>
      <c r="Y199" s="119"/>
    </row>
    <row r="200" spans="1:25">
      <c r="A200" s="44" t="s">
        <v>474</v>
      </c>
      <c r="B200" s="19" t="s">
        <v>409</v>
      </c>
      <c r="C200" s="49">
        <v>2028</v>
      </c>
      <c r="D200" s="46">
        <v>0</v>
      </c>
      <c r="E200" s="47">
        <v>0</v>
      </c>
      <c r="F200" s="47">
        <v>0</v>
      </c>
      <c r="G200" s="48">
        <v>0</v>
      </c>
      <c r="H200" s="57">
        <f t="shared" si="15"/>
        <v>0</v>
      </c>
      <c r="I200" s="119"/>
      <c r="J200" s="119"/>
      <c r="K200" s="119"/>
      <c r="L200" s="119"/>
      <c r="M200" s="119"/>
      <c r="N200" s="119"/>
      <c r="O200" s="119"/>
      <c r="P200" s="119"/>
      <c r="Q200" s="44" t="s">
        <v>474</v>
      </c>
      <c r="R200" s="19" t="s">
        <v>409</v>
      </c>
      <c r="S200" s="49">
        <v>2028</v>
      </c>
      <c r="T200" s="46">
        <v>0</v>
      </c>
      <c r="U200" s="47">
        <v>0</v>
      </c>
      <c r="V200" s="47">
        <v>0</v>
      </c>
      <c r="W200" s="48">
        <v>0</v>
      </c>
      <c r="X200" s="57">
        <f t="shared" si="14"/>
        <v>0</v>
      </c>
      <c r="Y200" s="119"/>
    </row>
    <row r="201" spans="1:25">
      <c r="A201" s="44" t="s">
        <v>474</v>
      </c>
      <c r="B201" s="19" t="s">
        <v>409</v>
      </c>
      <c r="C201" s="49">
        <v>2029</v>
      </c>
      <c r="D201" s="46">
        <v>0</v>
      </c>
      <c r="E201" s="47">
        <v>0</v>
      </c>
      <c r="F201" s="47">
        <v>0</v>
      </c>
      <c r="G201" s="48">
        <v>0</v>
      </c>
      <c r="H201" s="57">
        <f t="shared" si="15"/>
        <v>0</v>
      </c>
      <c r="I201" s="119"/>
      <c r="J201" s="119"/>
      <c r="K201" s="119"/>
      <c r="L201" s="119"/>
      <c r="M201" s="119"/>
      <c r="N201" s="119"/>
      <c r="O201" s="119"/>
      <c r="P201" s="119"/>
      <c r="Q201" s="44" t="s">
        <v>474</v>
      </c>
      <c r="R201" s="19" t="s">
        <v>409</v>
      </c>
      <c r="S201" s="49">
        <v>2029</v>
      </c>
      <c r="T201" s="46">
        <v>0</v>
      </c>
      <c r="U201" s="47">
        <v>0</v>
      </c>
      <c r="V201" s="47">
        <v>0</v>
      </c>
      <c r="W201" s="48">
        <v>0</v>
      </c>
      <c r="X201" s="57">
        <f t="shared" si="14"/>
        <v>0</v>
      </c>
      <c r="Y201" s="119"/>
    </row>
    <row r="202" spans="1:25">
      <c r="A202" s="44" t="s">
        <v>474</v>
      </c>
      <c r="B202" s="19" t="s">
        <v>409</v>
      </c>
      <c r="C202" s="49">
        <v>2030</v>
      </c>
      <c r="D202" s="46">
        <v>0</v>
      </c>
      <c r="E202" s="47">
        <v>0</v>
      </c>
      <c r="F202" s="47">
        <v>0</v>
      </c>
      <c r="G202" s="48">
        <v>0</v>
      </c>
      <c r="H202" s="57">
        <f t="shared" si="15"/>
        <v>0</v>
      </c>
      <c r="I202" s="119"/>
      <c r="J202" s="119"/>
      <c r="K202" s="119"/>
      <c r="L202" s="119"/>
      <c r="M202" s="119"/>
      <c r="N202" s="119"/>
      <c r="O202" s="119"/>
      <c r="P202" s="119"/>
      <c r="Q202" s="44" t="s">
        <v>474</v>
      </c>
      <c r="R202" s="19" t="s">
        <v>409</v>
      </c>
      <c r="S202" s="49">
        <v>2030</v>
      </c>
      <c r="T202" s="46">
        <v>0</v>
      </c>
      <c r="U202" s="47">
        <v>0</v>
      </c>
      <c r="V202" s="47">
        <v>0</v>
      </c>
      <c r="W202" s="48">
        <v>0</v>
      </c>
      <c r="X202" s="57">
        <f t="shared" si="14"/>
        <v>0</v>
      </c>
      <c r="Y202" s="119"/>
    </row>
    <row r="203" spans="1:25">
      <c r="A203" s="44" t="s">
        <v>474</v>
      </c>
      <c r="B203" s="19" t="s">
        <v>409</v>
      </c>
      <c r="C203" s="49">
        <v>2031</v>
      </c>
      <c r="D203" s="46">
        <v>0</v>
      </c>
      <c r="E203" s="47">
        <v>0</v>
      </c>
      <c r="F203" s="47">
        <v>0</v>
      </c>
      <c r="G203" s="48">
        <v>0</v>
      </c>
      <c r="H203" s="57">
        <f t="shared" si="15"/>
        <v>0</v>
      </c>
      <c r="I203" s="119"/>
      <c r="J203" s="119"/>
      <c r="K203" s="119"/>
      <c r="L203" s="119"/>
      <c r="M203" s="119"/>
      <c r="N203" s="119"/>
      <c r="O203" s="119"/>
      <c r="P203" s="119"/>
      <c r="Q203" s="44" t="s">
        <v>474</v>
      </c>
      <c r="R203" s="19" t="s">
        <v>409</v>
      </c>
      <c r="S203" s="49">
        <v>2031</v>
      </c>
      <c r="T203" s="46">
        <v>0</v>
      </c>
      <c r="U203" s="47">
        <v>0</v>
      </c>
      <c r="V203" s="47">
        <v>0</v>
      </c>
      <c r="W203" s="48">
        <v>0</v>
      </c>
      <c r="X203" s="57">
        <f t="shared" si="14"/>
        <v>0</v>
      </c>
      <c r="Y203" s="119"/>
    </row>
    <row r="204" spans="1:25">
      <c r="A204" s="44" t="s">
        <v>474</v>
      </c>
      <c r="B204" s="19" t="s">
        <v>409</v>
      </c>
      <c r="C204" s="49">
        <v>2032</v>
      </c>
      <c r="D204" s="46">
        <v>0</v>
      </c>
      <c r="E204" s="47">
        <v>0</v>
      </c>
      <c r="F204" s="47">
        <v>0</v>
      </c>
      <c r="G204" s="48">
        <v>0</v>
      </c>
      <c r="H204" s="57">
        <f t="shared" si="15"/>
        <v>0</v>
      </c>
      <c r="I204" s="119"/>
      <c r="J204" s="119"/>
      <c r="K204" s="119"/>
      <c r="L204" s="119"/>
      <c r="M204" s="119"/>
      <c r="N204" s="119"/>
      <c r="O204" s="119"/>
      <c r="P204" s="119"/>
      <c r="Q204" s="44" t="s">
        <v>474</v>
      </c>
      <c r="R204" s="19" t="s">
        <v>409</v>
      </c>
      <c r="S204" s="49">
        <v>2032</v>
      </c>
      <c r="T204" s="46">
        <v>0</v>
      </c>
      <c r="U204" s="47">
        <v>0</v>
      </c>
      <c r="V204" s="47">
        <v>0</v>
      </c>
      <c r="W204" s="48">
        <v>0</v>
      </c>
      <c r="X204" s="57">
        <f t="shared" ref="X204:X267" si="16">SUM(T204:W204)</f>
        <v>0</v>
      </c>
      <c r="Y204" s="119"/>
    </row>
    <row r="205" spans="1:25">
      <c r="A205" s="44" t="s">
        <v>474</v>
      </c>
      <c r="B205" s="19" t="s">
        <v>409</v>
      </c>
      <c r="C205" s="49">
        <v>2033</v>
      </c>
      <c r="D205" s="46">
        <v>0</v>
      </c>
      <c r="E205" s="47">
        <v>0</v>
      </c>
      <c r="F205" s="47">
        <v>0</v>
      </c>
      <c r="G205" s="48">
        <v>0</v>
      </c>
      <c r="H205" s="57">
        <f t="shared" ref="H205:H268" si="17">SUM(D205:G205)/((1+$L$7)^(C205-C$11))</f>
        <v>0</v>
      </c>
      <c r="I205" s="119"/>
      <c r="J205" s="119"/>
      <c r="K205" s="119"/>
      <c r="L205" s="119"/>
      <c r="M205" s="119"/>
      <c r="N205" s="119"/>
      <c r="O205" s="119"/>
      <c r="P205" s="119"/>
      <c r="Q205" s="44" t="s">
        <v>474</v>
      </c>
      <c r="R205" s="19" t="s">
        <v>409</v>
      </c>
      <c r="S205" s="49">
        <v>2033</v>
      </c>
      <c r="T205" s="46">
        <v>0</v>
      </c>
      <c r="U205" s="47">
        <v>0</v>
      </c>
      <c r="V205" s="47">
        <v>0</v>
      </c>
      <c r="W205" s="48">
        <v>0</v>
      </c>
      <c r="X205" s="57">
        <f t="shared" si="16"/>
        <v>0</v>
      </c>
      <c r="Y205" s="119"/>
    </row>
    <row r="206" spans="1:25">
      <c r="A206" s="44" t="s">
        <v>474</v>
      </c>
      <c r="B206" s="19" t="s">
        <v>409</v>
      </c>
      <c r="C206" s="49">
        <v>2034</v>
      </c>
      <c r="D206" s="46">
        <v>0</v>
      </c>
      <c r="E206" s="47">
        <v>0</v>
      </c>
      <c r="F206" s="47">
        <v>30.771860372525889</v>
      </c>
      <c r="G206" s="48">
        <v>0</v>
      </c>
      <c r="H206" s="57">
        <f t="shared" si="17"/>
        <v>17.943013831420998</v>
      </c>
      <c r="I206" s="119"/>
      <c r="J206" s="119"/>
      <c r="K206" s="119"/>
      <c r="L206" s="119"/>
      <c r="M206" s="119"/>
      <c r="N206" s="119"/>
      <c r="O206" s="119"/>
      <c r="P206" s="119"/>
      <c r="Q206" s="44" t="s">
        <v>474</v>
      </c>
      <c r="R206" s="19" t="s">
        <v>409</v>
      </c>
      <c r="S206" s="49">
        <v>2034</v>
      </c>
      <c r="T206" s="46">
        <v>0</v>
      </c>
      <c r="U206" s="47">
        <v>0</v>
      </c>
      <c r="V206" s="47">
        <v>30.771860372525889</v>
      </c>
      <c r="W206" s="48">
        <v>0</v>
      </c>
      <c r="X206" s="57">
        <f t="shared" si="16"/>
        <v>30.771860372525889</v>
      </c>
      <c r="Y206" s="119"/>
    </row>
    <row r="207" spans="1:25">
      <c r="A207" s="44" t="s">
        <v>474</v>
      </c>
      <c r="B207" s="19" t="s">
        <v>409</v>
      </c>
      <c r="C207" s="49">
        <v>2035</v>
      </c>
      <c r="D207" s="46">
        <v>0</v>
      </c>
      <c r="E207" s="47">
        <v>0</v>
      </c>
      <c r="F207" s="47">
        <v>40.687768691991145</v>
      </c>
      <c r="G207" s="48">
        <v>0</v>
      </c>
      <c r="H207" s="57">
        <f t="shared" si="17"/>
        <v>22.178042812006169</v>
      </c>
      <c r="I207" s="119"/>
      <c r="J207" s="119"/>
      <c r="K207" s="119"/>
      <c r="L207" s="119"/>
      <c r="M207" s="119"/>
      <c r="N207" s="119"/>
      <c r="O207" s="119"/>
      <c r="P207" s="119"/>
      <c r="Q207" s="44" t="s">
        <v>474</v>
      </c>
      <c r="R207" s="19" t="s">
        <v>409</v>
      </c>
      <c r="S207" s="49">
        <v>2035</v>
      </c>
      <c r="T207" s="46">
        <v>0</v>
      </c>
      <c r="U207" s="47">
        <v>0</v>
      </c>
      <c r="V207" s="47">
        <v>72.075066271967557</v>
      </c>
      <c r="W207" s="48">
        <v>0</v>
      </c>
      <c r="X207" s="57">
        <f t="shared" si="16"/>
        <v>72.075066271967557</v>
      </c>
      <c r="Y207" s="119">
        <f>NPV($Y$10,X198:X207)/((1-(1+$Y$10)^-10)/$Y$10)</f>
        <v>7.6081281825253733</v>
      </c>
    </row>
    <row r="208" spans="1:25">
      <c r="A208" s="44"/>
      <c r="B208" s="19" t="s">
        <v>401</v>
      </c>
      <c r="C208" s="49"/>
      <c r="D208" s="42" t="s">
        <v>401</v>
      </c>
      <c r="E208" s="19" t="s">
        <v>401</v>
      </c>
      <c r="F208" s="19" t="s">
        <v>401</v>
      </c>
      <c r="G208" s="43" t="s">
        <v>401</v>
      </c>
      <c r="H208" s="57">
        <f t="shared" si="17"/>
        <v>0</v>
      </c>
      <c r="I208" s="119"/>
      <c r="J208" s="119"/>
      <c r="K208" s="119"/>
      <c r="L208" s="119"/>
      <c r="M208" s="119"/>
      <c r="N208" s="119"/>
      <c r="O208" s="119"/>
      <c r="P208" s="119"/>
      <c r="Q208" s="44"/>
      <c r="R208" s="19" t="s">
        <v>401</v>
      </c>
      <c r="S208" s="49"/>
      <c r="T208" s="42"/>
      <c r="U208" s="19"/>
      <c r="V208" s="19"/>
      <c r="W208" s="43"/>
      <c r="X208" s="57">
        <f t="shared" si="16"/>
        <v>0</v>
      </c>
      <c r="Y208" s="119"/>
    </row>
    <row r="209" spans="1:25">
      <c r="A209" s="44" t="s">
        <v>474</v>
      </c>
      <c r="B209" s="19" t="s">
        <v>410</v>
      </c>
      <c r="C209" s="49">
        <v>2026</v>
      </c>
      <c r="D209" s="46">
        <v>0</v>
      </c>
      <c r="E209" s="47">
        <v>0</v>
      </c>
      <c r="F209" s="47">
        <v>0</v>
      </c>
      <c r="G209" s="48">
        <v>0</v>
      </c>
      <c r="H209" s="57">
        <f t="shared" si="17"/>
        <v>0</v>
      </c>
      <c r="I209" s="119"/>
      <c r="J209" s="119"/>
      <c r="K209" s="119"/>
      <c r="L209" s="119"/>
      <c r="M209" s="119"/>
      <c r="N209" s="119"/>
      <c r="O209" s="119"/>
      <c r="P209" s="119"/>
      <c r="Q209" s="44" t="s">
        <v>474</v>
      </c>
      <c r="R209" s="19" t="s">
        <v>410</v>
      </c>
      <c r="S209" s="49">
        <v>2026</v>
      </c>
      <c r="T209" s="46">
        <v>0</v>
      </c>
      <c r="U209" s="47">
        <v>0</v>
      </c>
      <c r="V209" s="47">
        <v>0</v>
      </c>
      <c r="W209" s="48">
        <v>0</v>
      </c>
      <c r="X209" s="57">
        <f t="shared" si="16"/>
        <v>0</v>
      </c>
      <c r="Y209" s="119"/>
    </row>
    <row r="210" spans="1:25">
      <c r="A210" s="44" t="s">
        <v>474</v>
      </c>
      <c r="B210" s="19" t="s">
        <v>410</v>
      </c>
      <c r="C210" s="49">
        <v>2027</v>
      </c>
      <c r="D210" s="46">
        <v>0</v>
      </c>
      <c r="E210" s="47">
        <v>0</v>
      </c>
      <c r="F210" s="47">
        <v>0</v>
      </c>
      <c r="G210" s="48">
        <v>0</v>
      </c>
      <c r="H210" s="57">
        <f t="shared" si="17"/>
        <v>0</v>
      </c>
      <c r="I210" s="119"/>
      <c r="J210" s="119"/>
      <c r="K210" s="119"/>
      <c r="L210" s="119"/>
      <c r="M210" s="119"/>
      <c r="N210" s="119"/>
      <c r="O210" s="119"/>
      <c r="P210" s="119"/>
      <c r="Q210" s="44" t="s">
        <v>474</v>
      </c>
      <c r="R210" s="19" t="s">
        <v>410</v>
      </c>
      <c r="S210" s="49">
        <v>2027</v>
      </c>
      <c r="T210" s="46">
        <v>0</v>
      </c>
      <c r="U210" s="47">
        <v>0</v>
      </c>
      <c r="V210" s="47">
        <v>0</v>
      </c>
      <c r="W210" s="48">
        <v>0</v>
      </c>
      <c r="X210" s="57">
        <f t="shared" si="16"/>
        <v>0</v>
      </c>
      <c r="Y210" s="119"/>
    </row>
    <row r="211" spans="1:25">
      <c r="A211" s="44" t="s">
        <v>474</v>
      </c>
      <c r="B211" s="19" t="s">
        <v>410</v>
      </c>
      <c r="C211" s="49">
        <v>2028</v>
      </c>
      <c r="D211" s="46">
        <v>0</v>
      </c>
      <c r="E211" s="47">
        <v>0</v>
      </c>
      <c r="F211" s="47">
        <v>0</v>
      </c>
      <c r="G211" s="48">
        <v>0</v>
      </c>
      <c r="H211" s="57">
        <f t="shared" si="17"/>
        <v>0</v>
      </c>
      <c r="I211" s="119"/>
      <c r="J211" s="119"/>
      <c r="K211" s="119"/>
      <c r="L211" s="119"/>
      <c r="M211" s="119"/>
      <c r="N211" s="119"/>
      <c r="O211" s="119"/>
      <c r="P211" s="119"/>
      <c r="Q211" s="44" t="s">
        <v>474</v>
      </c>
      <c r="R211" s="19" t="s">
        <v>410</v>
      </c>
      <c r="S211" s="49">
        <v>2028</v>
      </c>
      <c r="T211" s="46">
        <v>0</v>
      </c>
      <c r="U211" s="47">
        <v>0</v>
      </c>
      <c r="V211" s="47">
        <v>0</v>
      </c>
      <c r="W211" s="48">
        <v>0</v>
      </c>
      <c r="X211" s="57">
        <f t="shared" si="16"/>
        <v>0</v>
      </c>
      <c r="Y211" s="119"/>
    </row>
    <row r="212" spans="1:25">
      <c r="A212" s="44" t="s">
        <v>474</v>
      </c>
      <c r="B212" s="19" t="s">
        <v>410</v>
      </c>
      <c r="C212" s="49">
        <v>2029</v>
      </c>
      <c r="D212" s="46">
        <v>0</v>
      </c>
      <c r="E212" s="47">
        <v>0</v>
      </c>
      <c r="F212" s="47">
        <v>0</v>
      </c>
      <c r="G212" s="48">
        <v>0</v>
      </c>
      <c r="H212" s="57">
        <f t="shared" si="17"/>
        <v>0</v>
      </c>
      <c r="I212" s="119"/>
      <c r="J212" s="119"/>
      <c r="K212" s="119"/>
      <c r="L212" s="119"/>
      <c r="M212" s="119"/>
      <c r="N212" s="119"/>
      <c r="O212" s="119"/>
      <c r="P212" s="119"/>
      <c r="Q212" s="44" t="s">
        <v>474</v>
      </c>
      <c r="R212" s="19" t="s">
        <v>410</v>
      </c>
      <c r="S212" s="49">
        <v>2029</v>
      </c>
      <c r="T212" s="46">
        <v>0</v>
      </c>
      <c r="U212" s="47">
        <v>0</v>
      </c>
      <c r="V212" s="47">
        <v>0</v>
      </c>
      <c r="W212" s="48">
        <v>0</v>
      </c>
      <c r="X212" s="57">
        <f t="shared" si="16"/>
        <v>0</v>
      </c>
      <c r="Y212" s="119"/>
    </row>
    <row r="213" spans="1:25">
      <c r="A213" s="44" t="s">
        <v>474</v>
      </c>
      <c r="B213" s="19" t="s">
        <v>410</v>
      </c>
      <c r="C213" s="49">
        <v>2030</v>
      </c>
      <c r="D213" s="46">
        <v>0</v>
      </c>
      <c r="E213" s="47">
        <v>0</v>
      </c>
      <c r="F213" s="47">
        <v>0</v>
      </c>
      <c r="G213" s="48">
        <v>0</v>
      </c>
      <c r="H213" s="57">
        <f t="shared" si="17"/>
        <v>0</v>
      </c>
      <c r="I213" s="119"/>
      <c r="J213" s="119"/>
      <c r="K213" s="119"/>
      <c r="L213" s="119"/>
      <c r="M213" s="119"/>
      <c r="N213" s="119"/>
      <c r="O213" s="119"/>
      <c r="P213" s="119"/>
      <c r="Q213" s="44" t="s">
        <v>474</v>
      </c>
      <c r="R213" s="19" t="s">
        <v>410</v>
      </c>
      <c r="S213" s="49">
        <v>2030</v>
      </c>
      <c r="T213" s="46">
        <v>0</v>
      </c>
      <c r="U213" s="47">
        <v>0</v>
      </c>
      <c r="V213" s="47">
        <v>0</v>
      </c>
      <c r="W213" s="48">
        <v>0</v>
      </c>
      <c r="X213" s="57">
        <f t="shared" si="16"/>
        <v>0</v>
      </c>
      <c r="Y213" s="119"/>
    </row>
    <row r="214" spans="1:25">
      <c r="A214" s="44" t="s">
        <v>474</v>
      </c>
      <c r="B214" s="19" t="s">
        <v>410</v>
      </c>
      <c r="C214" s="49">
        <v>2031</v>
      </c>
      <c r="D214" s="46">
        <v>0</v>
      </c>
      <c r="E214" s="47">
        <v>0</v>
      </c>
      <c r="F214" s="47">
        <v>0</v>
      </c>
      <c r="G214" s="48">
        <v>0</v>
      </c>
      <c r="H214" s="57">
        <f t="shared" si="17"/>
        <v>0</v>
      </c>
      <c r="I214" s="119"/>
      <c r="J214" s="119"/>
      <c r="K214" s="119"/>
      <c r="L214" s="119"/>
      <c r="M214" s="119"/>
      <c r="N214" s="119"/>
      <c r="O214" s="119"/>
      <c r="P214" s="119"/>
      <c r="Q214" s="44" t="s">
        <v>474</v>
      </c>
      <c r="R214" s="19" t="s">
        <v>410</v>
      </c>
      <c r="S214" s="49">
        <v>2031</v>
      </c>
      <c r="T214" s="46">
        <v>0</v>
      </c>
      <c r="U214" s="47">
        <v>0</v>
      </c>
      <c r="V214" s="47">
        <v>0</v>
      </c>
      <c r="W214" s="48">
        <v>0</v>
      </c>
      <c r="X214" s="57">
        <f t="shared" si="16"/>
        <v>0</v>
      </c>
      <c r="Y214" s="119"/>
    </row>
    <row r="215" spans="1:25">
      <c r="A215" s="44" t="s">
        <v>474</v>
      </c>
      <c r="B215" s="19" t="s">
        <v>410</v>
      </c>
      <c r="C215" s="49">
        <v>2032</v>
      </c>
      <c r="D215" s="46">
        <v>0</v>
      </c>
      <c r="E215" s="47">
        <v>0</v>
      </c>
      <c r="F215" s="47">
        <v>0</v>
      </c>
      <c r="G215" s="48">
        <v>0</v>
      </c>
      <c r="H215" s="57">
        <f t="shared" si="17"/>
        <v>0</v>
      </c>
      <c r="I215" s="119"/>
      <c r="J215" s="119"/>
      <c r="K215" s="119"/>
      <c r="L215" s="119"/>
      <c r="M215" s="119"/>
      <c r="N215" s="119"/>
      <c r="O215" s="119"/>
      <c r="P215" s="119"/>
      <c r="Q215" s="44" t="s">
        <v>474</v>
      </c>
      <c r="R215" s="19" t="s">
        <v>410</v>
      </c>
      <c r="S215" s="49">
        <v>2032</v>
      </c>
      <c r="T215" s="46">
        <v>0</v>
      </c>
      <c r="U215" s="47">
        <v>0</v>
      </c>
      <c r="V215" s="47">
        <v>0</v>
      </c>
      <c r="W215" s="48">
        <v>0</v>
      </c>
      <c r="X215" s="57">
        <f t="shared" si="16"/>
        <v>0</v>
      </c>
      <c r="Y215" s="119"/>
    </row>
    <row r="216" spans="1:25">
      <c r="A216" s="44" t="s">
        <v>474</v>
      </c>
      <c r="B216" s="19" t="s">
        <v>410</v>
      </c>
      <c r="C216" s="49">
        <v>2033</v>
      </c>
      <c r="D216" s="46">
        <v>0</v>
      </c>
      <c r="E216" s="47">
        <v>0</v>
      </c>
      <c r="F216" s="47">
        <v>0</v>
      </c>
      <c r="G216" s="48">
        <v>0</v>
      </c>
      <c r="H216" s="57">
        <f t="shared" si="17"/>
        <v>0</v>
      </c>
      <c r="I216" s="119"/>
      <c r="J216" s="119"/>
      <c r="K216" s="119"/>
      <c r="L216" s="119"/>
      <c r="M216" s="119"/>
      <c r="N216" s="119"/>
      <c r="O216" s="119"/>
      <c r="P216" s="119"/>
      <c r="Q216" s="44" t="s">
        <v>474</v>
      </c>
      <c r="R216" s="19" t="s">
        <v>410</v>
      </c>
      <c r="S216" s="49">
        <v>2033</v>
      </c>
      <c r="T216" s="46">
        <v>0</v>
      </c>
      <c r="U216" s="47">
        <v>0</v>
      </c>
      <c r="V216" s="47">
        <v>0</v>
      </c>
      <c r="W216" s="48">
        <v>0</v>
      </c>
      <c r="X216" s="57">
        <f t="shared" si="16"/>
        <v>0</v>
      </c>
      <c r="Y216" s="119"/>
    </row>
    <row r="217" spans="1:25">
      <c r="A217" s="44" t="s">
        <v>474</v>
      </c>
      <c r="B217" s="19" t="s">
        <v>410</v>
      </c>
      <c r="C217" s="49">
        <v>2034</v>
      </c>
      <c r="D217" s="46">
        <v>68.68718833153099</v>
      </c>
      <c r="E217" s="47">
        <v>0</v>
      </c>
      <c r="F217" s="47">
        <v>0</v>
      </c>
      <c r="G217" s="48">
        <v>61.311324901452174</v>
      </c>
      <c r="H217" s="57">
        <f t="shared" si="17"/>
        <v>75.801888243525624</v>
      </c>
      <c r="I217" s="119"/>
      <c r="J217" s="119"/>
      <c r="K217" s="119"/>
      <c r="L217" s="119"/>
      <c r="M217" s="119"/>
      <c r="N217" s="119"/>
      <c r="O217" s="119"/>
      <c r="P217" s="119"/>
      <c r="Q217" s="44" t="s">
        <v>474</v>
      </c>
      <c r="R217" s="19" t="s">
        <v>410</v>
      </c>
      <c r="S217" s="49">
        <v>2034</v>
      </c>
      <c r="T217" s="46">
        <v>68.68718833153099</v>
      </c>
      <c r="U217" s="47">
        <v>0</v>
      </c>
      <c r="V217" s="47">
        <v>0</v>
      </c>
      <c r="W217" s="48">
        <v>61.311324901452174</v>
      </c>
      <c r="X217" s="57">
        <f t="shared" si="16"/>
        <v>129.99851323298316</v>
      </c>
      <c r="Y217" s="119"/>
    </row>
    <row r="218" spans="1:25">
      <c r="A218" s="44" t="s">
        <v>474</v>
      </c>
      <c r="B218" s="19" t="s">
        <v>410</v>
      </c>
      <c r="C218" s="49">
        <v>2035</v>
      </c>
      <c r="D218" s="46">
        <v>90.820912258908805</v>
      </c>
      <c r="E218" s="47">
        <v>0</v>
      </c>
      <c r="F218" s="47">
        <v>0</v>
      </c>
      <c r="G218" s="48">
        <v>81.068254424327307</v>
      </c>
      <c r="H218" s="57">
        <f t="shared" si="17"/>
        <v>93.693152025101085</v>
      </c>
      <c r="I218" s="119"/>
      <c r="J218" s="119"/>
      <c r="K218" s="119"/>
      <c r="L218" s="119"/>
      <c r="M218" s="119"/>
      <c r="N218" s="119"/>
      <c r="O218" s="119"/>
      <c r="P218" s="119"/>
      <c r="Q218" s="44" t="s">
        <v>474</v>
      </c>
      <c r="R218" s="19" t="s">
        <v>410</v>
      </c>
      <c r="S218" s="49">
        <v>2035</v>
      </c>
      <c r="T218" s="46">
        <v>160.88184435707041</v>
      </c>
      <c r="U218" s="47">
        <v>0</v>
      </c>
      <c r="V218" s="47">
        <v>0</v>
      </c>
      <c r="W218" s="48">
        <v>143.60580582380851</v>
      </c>
      <c r="X218" s="57">
        <f t="shared" si="16"/>
        <v>304.48765018087892</v>
      </c>
      <c r="Y218" s="119">
        <f>NPV($Y$10,X209:X218)/((1-(1+$Y$10)^-10)/$Y$10)</f>
        <v>32.141227089971736</v>
      </c>
    </row>
    <row r="219" spans="1:25">
      <c r="A219" s="44"/>
      <c r="B219" s="19" t="s">
        <v>401</v>
      </c>
      <c r="C219" s="49"/>
      <c r="D219" s="46" t="s">
        <v>401</v>
      </c>
      <c r="E219" s="47" t="s">
        <v>401</v>
      </c>
      <c r="F219" s="47" t="s">
        <v>401</v>
      </c>
      <c r="G219" s="48" t="s">
        <v>401</v>
      </c>
      <c r="H219" s="57">
        <f t="shared" si="17"/>
        <v>0</v>
      </c>
      <c r="I219" s="119"/>
      <c r="J219" s="119"/>
      <c r="K219" s="119"/>
      <c r="L219" s="119"/>
      <c r="M219" s="119"/>
      <c r="N219" s="119"/>
      <c r="O219" s="119"/>
      <c r="P219" s="119"/>
      <c r="Q219" s="44"/>
      <c r="R219" s="19" t="s">
        <v>401</v>
      </c>
      <c r="S219" s="49"/>
      <c r="T219" s="46"/>
      <c r="U219" s="47"/>
      <c r="V219" s="47"/>
      <c r="W219" s="48"/>
      <c r="X219" s="57">
        <f t="shared" si="16"/>
        <v>0</v>
      </c>
      <c r="Y219" s="119"/>
    </row>
    <row r="220" spans="1:25">
      <c r="A220" s="44" t="s">
        <v>474</v>
      </c>
      <c r="B220" s="19" t="s">
        <v>411</v>
      </c>
      <c r="C220" s="49">
        <v>2026</v>
      </c>
      <c r="D220" s="46">
        <v>0</v>
      </c>
      <c r="E220" s="47">
        <v>0</v>
      </c>
      <c r="F220" s="47">
        <v>0</v>
      </c>
      <c r="G220" s="48">
        <v>0</v>
      </c>
      <c r="H220" s="57">
        <f t="shared" si="17"/>
        <v>0</v>
      </c>
      <c r="I220" s="119"/>
      <c r="J220" s="119"/>
      <c r="K220" s="119"/>
      <c r="L220" s="119"/>
      <c r="M220" s="119"/>
      <c r="N220" s="119"/>
      <c r="O220" s="119"/>
      <c r="P220" s="119"/>
      <c r="Q220" s="44" t="s">
        <v>474</v>
      </c>
      <c r="R220" s="19" t="s">
        <v>411</v>
      </c>
      <c r="S220" s="49">
        <v>2026</v>
      </c>
      <c r="T220" s="46">
        <v>0</v>
      </c>
      <c r="U220" s="47">
        <v>0</v>
      </c>
      <c r="V220" s="47">
        <v>0</v>
      </c>
      <c r="W220" s="48">
        <v>0</v>
      </c>
      <c r="X220" s="57">
        <f t="shared" si="16"/>
        <v>0</v>
      </c>
      <c r="Y220" s="119"/>
    </row>
    <row r="221" spans="1:25">
      <c r="A221" s="44" t="s">
        <v>474</v>
      </c>
      <c r="B221" s="19" t="s">
        <v>411</v>
      </c>
      <c r="C221" s="49">
        <v>2027</v>
      </c>
      <c r="D221" s="46">
        <v>0</v>
      </c>
      <c r="E221" s="47">
        <v>0</v>
      </c>
      <c r="F221" s="47">
        <v>0</v>
      </c>
      <c r="G221" s="48">
        <v>0</v>
      </c>
      <c r="H221" s="57">
        <f t="shared" si="17"/>
        <v>0</v>
      </c>
      <c r="I221" s="119"/>
      <c r="J221" s="119"/>
      <c r="K221" s="119"/>
      <c r="L221" s="119"/>
      <c r="M221" s="119"/>
      <c r="N221" s="119"/>
      <c r="O221" s="119"/>
      <c r="P221" s="119"/>
      <c r="Q221" s="44" t="s">
        <v>474</v>
      </c>
      <c r="R221" s="19" t="s">
        <v>411</v>
      </c>
      <c r="S221" s="49">
        <v>2027</v>
      </c>
      <c r="T221" s="46">
        <v>0</v>
      </c>
      <c r="U221" s="47">
        <v>0</v>
      </c>
      <c r="V221" s="47">
        <v>0</v>
      </c>
      <c r="W221" s="48">
        <v>0</v>
      </c>
      <c r="X221" s="57">
        <f t="shared" si="16"/>
        <v>0</v>
      </c>
      <c r="Y221" s="119"/>
    </row>
    <row r="222" spans="1:25">
      <c r="A222" s="44" t="s">
        <v>474</v>
      </c>
      <c r="B222" s="19" t="s">
        <v>411</v>
      </c>
      <c r="C222" s="49">
        <v>2028</v>
      </c>
      <c r="D222" s="46">
        <v>0</v>
      </c>
      <c r="E222" s="47">
        <v>0</v>
      </c>
      <c r="F222" s="47">
        <v>0</v>
      </c>
      <c r="G222" s="48">
        <v>0</v>
      </c>
      <c r="H222" s="57">
        <f t="shared" si="17"/>
        <v>0</v>
      </c>
      <c r="I222" s="119"/>
      <c r="J222" s="119"/>
      <c r="K222" s="119"/>
      <c r="L222" s="119"/>
      <c r="M222" s="119"/>
      <c r="N222" s="119"/>
      <c r="O222" s="119"/>
      <c r="P222" s="119"/>
      <c r="Q222" s="44" t="s">
        <v>474</v>
      </c>
      <c r="R222" s="19" t="s">
        <v>411</v>
      </c>
      <c r="S222" s="49">
        <v>2028</v>
      </c>
      <c r="T222" s="46">
        <v>0</v>
      </c>
      <c r="U222" s="47">
        <v>0</v>
      </c>
      <c r="V222" s="47">
        <v>0</v>
      </c>
      <c r="W222" s="48">
        <v>0</v>
      </c>
      <c r="X222" s="57">
        <f t="shared" si="16"/>
        <v>0</v>
      </c>
      <c r="Y222" s="119"/>
    </row>
    <row r="223" spans="1:25">
      <c r="A223" s="44" t="s">
        <v>474</v>
      </c>
      <c r="B223" s="19" t="s">
        <v>411</v>
      </c>
      <c r="C223" s="49">
        <v>2029</v>
      </c>
      <c r="D223" s="46">
        <v>0</v>
      </c>
      <c r="E223" s="47">
        <v>0</v>
      </c>
      <c r="F223" s="47">
        <v>0</v>
      </c>
      <c r="G223" s="48">
        <v>0</v>
      </c>
      <c r="H223" s="57">
        <f t="shared" si="17"/>
        <v>0</v>
      </c>
      <c r="I223" s="119"/>
      <c r="J223" s="119"/>
      <c r="K223" s="119"/>
      <c r="L223" s="119"/>
      <c r="M223" s="119"/>
      <c r="N223" s="119"/>
      <c r="O223" s="119"/>
      <c r="P223" s="119"/>
      <c r="Q223" s="44" t="s">
        <v>474</v>
      </c>
      <c r="R223" s="19" t="s">
        <v>411</v>
      </c>
      <c r="S223" s="49">
        <v>2029</v>
      </c>
      <c r="T223" s="46">
        <v>0</v>
      </c>
      <c r="U223" s="47">
        <v>0</v>
      </c>
      <c r="V223" s="47">
        <v>0</v>
      </c>
      <c r="W223" s="48">
        <v>0</v>
      </c>
      <c r="X223" s="57">
        <f t="shared" si="16"/>
        <v>0</v>
      </c>
      <c r="Y223" s="119"/>
    </row>
    <row r="224" spans="1:25">
      <c r="A224" s="44" t="s">
        <v>474</v>
      </c>
      <c r="B224" s="19" t="s">
        <v>411</v>
      </c>
      <c r="C224" s="49">
        <v>2030</v>
      </c>
      <c r="D224" s="46">
        <v>0</v>
      </c>
      <c r="E224" s="47">
        <v>0</v>
      </c>
      <c r="F224" s="47">
        <v>0</v>
      </c>
      <c r="G224" s="48">
        <v>0</v>
      </c>
      <c r="H224" s="57">
        <f t="shared" si="17"/>
        <v>0</v>
      </c>
      <c r="I224" s="119"/>
      <c r="J224" s="119"/>
      <c r="K224" s="119"/>
      <c r="L224" s="119"/>
      <c r="M224" s="119"/>
      <c r="N224" s="119"/>
      <c r="O224" s="119"/>
      <c r="P224" s="119"/>
      <c r="Q224" s="44" t="s">
        <v>474</v>
      </c>
      <c r="R224" s="19" t="s">
        <v>411</v>
      </c>
      <c r="S224" s="49">
        <v>2030</v>
      </c>
      <c r="T224" s="46">
        <v>0</v>
      </c>
      <c r="U224" s="47">
        <v>0</v>
      </c>
      <c r="V224" s="47">
        <v>0</v>
      </c>
      <c r="W224" s="48">
        <v>0</v>
      </c>
      <c r="X224" s="57">
        <f t="shared" si="16"/>
        <v>0</v>
      </c>
      <c r="Y224" s="119"/>
    </row>
    <row r="225" spans="1:25">
      <c r="A225" s="44" t="s">
        <v>474</v>
      </c>
      <c r="B225" s="19" t="s">
        <v>411</v>
      </c>
      <c r="C225" s="49">
        <v>2031</v>
      </c>
      <c r="D225" s="46">
        <v>0</v>
      </c>
      <c r="E225" s="47">
        <v>0</v>
      </c>
      <c r="F225" s="47">
        <v>0</v>
      </c>
      <c r="G225" s="48">
        <v>0</v>
      </c>
      <c r="H225" s="57">
        <f t="shared" si="17"/>
        <v>0</v>
      </c>
      <c r="I225" s="119"/>
      <c r="J225" s="119"/>
      <c r="K225" s="119"/>
      <c r="L225" s="119"/>
      <c r="M225" s="119"/>
      <c r="N225" s="119"/>
      <c r="O225" s="119"/>
      <c r="P225" s="119"/>
      <c r="Q225" s="44" t="s">
        <v>474</v>
      </c>
      <c r="R225" s="19" t="s">
        <v>411</v>
      </c>
      <c r="S225" s="49">
        <v>2031</v>
      </c>
      <c r="T225" s="46">
        <v>0</v>
      </c>
      <c r="U225" s="47">
        <v>0</v>
      </c>
      <c r="V225" s="47">
        <v>0</v>
      </c>
      <c r="W225" s="48">
        <v>0</v>
      </c>
      <c r="X225" s="57">
        <f t="shared" si="16"/>
        <v>0</v>
      </c>
      <c r="Y225" s="119"/>
    </row>
    <row r="226" spans="1:25">
      <c r="A226" s="44" t="s">
        <v>474</v>
      </c>
      <c r="B226" s="19" t="s">
        <v>411</v>
      </c>
      <c r="C226" s="49">
        <v>2032</v>
      </c>
      <c r="D226" s="46">
        <v>0</v>
      </c>
      <c r="E226" s="47">
        <v>0</v>
      </c>
      <c r="F226" s="47">
        <v>0</v>
      </c>
      <c r="G226" s="48">
        <v>0</v>
      </c>
      <c r="H226" s="57">
        <f t="shared" si="17"/>
        <v>0</v>
      </c>
      <c r="I226" s="119"/>
      <c r="J226" s="119"/>
      <c r="K226" s="119"/>
      <c r="L226" s="119"/>
      <c r="M226" s="119"/>
      <c r="N226" s="119"/>
      <c r="O226" s="119"/>
      <c r="P226" s="119"/>
      <c r="Q226" s="44" t="s">
        <v>474</v>
      </c>
      <c r="R226" s="19" t="s">
        <v>411</v>
      </c>
      <c r="S226" s="49">
        <v>2032</v>
      </c>
      <c r="T226" s="46">
        <v>0</v>
      </c>
      <c r="U226" s="47">
        <v>0</v>
      </c>
      <c r="V226" s="47">
        <v>0</v>
      </c>
      <c r="W226" s="48">
        <v>0</v>
      </c>
      <c r="X226" s="57">
        <f t="shared" si="16"/>
        <v>0</v>
      </c>
      <c r="Y226" s="119"/>
    </row>
    <row r="227" spans="1:25">
      <c r="A227" s="44" t="s">
        <v>474</v>
      </c>
      <c r="B227" s="19" t="s">
        <v>411</v>
      </c>
      <c r="C227" s="49">
        <v>2033</v>
      </c>
      <c r="D227" s="46">
        <v>0</v>
      </c>
      <c r="E227" s="47">
        <v>0</v>
      </c>
      <c r="F227" s="47">
        <v>0</v>
      </c>
      <c r="G227" s="48">
        <v>0</v>
      </c>
      <c r="H227" s="57">
        <f t="shared" si="17"/>
        <v>0</v>
      </c>
      <c r="I227" s="119"/>
      <c r="J227" s="119"/>
      <c r="K227" s="119"/>
      <c r="L227" s="119"/>
      <c r="M227" s="119"/>
      <c r="N227" s="119"/>
      <c r="O227" s="119"/>
      <c r="P227" s="119"/>
      <c r="Q227" s="44" t="s">
        <v>474</v>
      </c>
      <c r="R227" s="19" t="s">
        <v>411</v>
      </c>
      <c r="S227" s="49">
        <v>2033</v>
      </c>
      <c r="T227" s="46">
        <v>0</v>
      </c>
      <c r="U227" s="47">
        <v>0</v>
      </c>
      <c r="V227" s="47">
        <v>0</v>
      </c>
      <c r="W227" s="48">
        <v>0</v>
      </c>
      <c r="X227" s="57">
        <f t="shared" si="16"/>
        <v>0</v>
      </c>
      <c r="Y227" s="119"/>
    </row>
    <row r="228" spans="1:25">
      <c r="A228" s="44" t="s">
        <v>474</v>
      </c>
      <c r="B228" s="19" t="s">
        <v>411</v>
      </c>
      <c r="C228" s="49">
        <v>2034</v>
      </c>
      <c r="D228" s="46">
        <v>68.68718833153099</v>
      </c>
      <c r="E228" s="47">
        <v>0</v>
      </c>
      <c r="F228" s="47">
        <v>0</v>
      </c>
      <c r="G228" s="48">
        <v>0</v>
      </c>
      <c r="H228" s="57">
        <f t="shared" si="17"/>
        <v>40.051370159421865</v>
      </c>
      <c r="I228" s="119"/>
      <c r="J228" s="119"/>
      <c r="K228" s="119"/>
      <c r="L228" s="119"/>
      <c r="M228" s="119"/>
      <c r="N228" s="119"/>
      <c r="O228" s="119"/>
      <c r="P228" s="119"/>
      <c r="Q228" s="44" t="s">
        <v>474</v>
      </c>
      <c r="R228" s="19" t="s">
        <v>411</v>
      </c>
      <c r="S228" s="49">
        <v>2034</v>
      </c>
      <c r="T228" s="46">
        <v>68.68718833153099</v>
      </c>
      <c r="U228" s="47">
        <v>0</v>
      </c>
      <c r="V228" s="47">
        <v>0</v>
      </c>
      <c r="W228" s="48">
        <v>0</v>
      </c>
      <c r="X228" s="57">
        <f t="shared" si="16"/>
        <v>68.68718833153099</v>
      </c>
      <c r="Y228" s="119"/>
    </row>
    <row r="229" spans="1:25">
      <c r="A229" s="44" t="s">
        <v>474</v>
      </c>
      <c r="B229" s="19" t="s">
        <v>411</v>
      </c>
      <c r="C229" s="49">
        <v>2035</v>
      </c>
      <c r="D229" s="46">
        <v>90.820912258908805</v>
      </c>
      <c r="E229" s="47">
        <v>0</v>
      </c>
      <c r="F229" s="47">
        <v>0</v>
      </c>
      <c r="G229" s="48">
        <v>0</v>
      </c>
      <c r="H229" s="57">
        <f t="shared" si="17"/>
        <v>49.504559848228048</v>
      </c>
      <c r="I229" s="119"/>
      <c r="J229" s="119"/>
      <c r="K229" s="119"/>
      <c r="L229" s="119"/>
      <c r="M229" s="119"/>
      <c r="N229" s="119"/>
      <c r="O229" s="119"/>
      <c r="P229" s="119"/>
      <c r="Q229" s="44" t="s">
        <v>474</v>
      </c>
      <c r="R229" s="19" t="s">
        <v>411</v>
      </c>
      <c r="S229" s="49">
        <v>2035</v>
      </c>
      <c r="T229" s="46">
        <v>160.88184435707041</v>
      </c>
      <c r="U229" s="47">
        <v>0</v>
      </c>
      <c r="V229" s="47">
        <v>0</v>
      </c>
      <c r="W229" s="48">
        <v>0</v>
      </c>
      <c r="X229" s="57">
        <f t="shared" si="16"/>
        <v>160.88184435707041</v>
      </c>
      <c r="Y229" s="119">
        <f>NPV($Y$10,X220:X229)/((1-(1+$Y$10)^-10)/$Y$10)</f>
        <v>16.982428978851278</v>
      </c>
    </row>
    <row r="230" spans="1:25">
      <c r="A230" s="44"/>
      <c r="B230" s="19" t="s">
        <v>401</v>
      </c>
      <c r="C230" s="49"/>
      <c r="D230" s="42" t="s">
        <v>401</v>
      </c>
      <c r="E230" s="19" t="s">
        <v>401</v>
      </c>
      <c r="F230" s="19" t="s">
        <v>401</v>
      </c>
      <c r="G230" s="43" t="s">
        <v>401</v>
      </c>
      <c r="H230" s="57">
        <f t="shared" si="17"/>
        <v>0</v>
      </c>
      <c r="I230" s="119"/>
      <c r="J230" s="119"/>
      <c r="K230" s="119"/>
      <c r="L230" s="119"/>
      <c r="M230" s="119"/>
      <c r="N230" s="119"/>
      <c r="O230" s="119"/>
      <c r="P230" s="119"/>
      <c r="Q230" s="44"/>
      <c r="R230" s="19" t="s">
        <v>401</v>
      </c>
      <c r="S230" s="49"/>
      <c r="T230" s="42"/>
      <c r="U230" s="19"/>
      <c r="V230" s="19"/>
      <c r="W230" s="43"/>
      <c r="X230" s="57">
        <f t="shared" si="16"/>
        <v>0</v>
      </c>
      <c r="Y230" s="119"/>
    </row>
    <row r="231" spans="1:25">
      <c r="A231" s="44" t="s">
        <v>474</v>
      </c>
      <c r="B231" s="19" t="s">
        <v>412</v>
      </c>
      <c r="C231" s="49">
        <v>2026</v>
      </c>
      <c r="D231" s="46">
        <v>0</v>
      </c>
      <c r="E231" s="47">
        <v>0</v>
      </c>
      <c r="F231" s="47">
        <v>0</v>
      </c>
      <c r="G231" s="48">
        <v>0</v>
      </c>
      <c r="H231" s="57">
        <f t="shared" si="17"/>
        <v>0</v>
      </c>
      <c r="I231" s="119"/>
      <c r="J231" s="119"/>
      <c r="K231" s="119"/>
      <c r="L231" s="119"/>
      <c r="M231" s="119"/>
      <c r="N231" s="119"/>
      <c r="O231" s="119"/>
      <c r="P231" s="119"/>
      <c r="Q231" s="44" t="s">
        <v>474</v>
      </c>
      <c r="R231" s="19" t="s">
        <v>412</v>
      </c>
      <c r="S231" s="49">
        <v>2026</v>
      </c>
      <c r="T231" s="46">
        <v>0</v>
      </c>
      <c r="U231" s="47">
        <v>0</v>
      </c>
      <c r="V231" s="47">
        <v>0</v>
      </c>
      <c r="W231" s="48">
        <v>0</v>
      </c>
      <c r="X231" s="57">
        <f t="shared" si="16"/>
        <v>0</v>
      </c>
      <c r="Y231" s="119"/>
    </row>
    <row r="232" spans="1:25">
      <c r="A232" s="44" t="s">
        <v>474</v>
      </c>
      <c r="B232" s="19" t="s">
        <v>412</v>
      </c>
      <c r="C232" s="49">
        <v>2027</v>
      </c>
      <c r="D232" s="46">
        <v>0</v>
      </c>
      <c r="E232" s="47">
        <v>0</v>
      </c>
      <c r="F232" s="47">
        <v>0</v>
      </c>
      <c r="G232" s="48">
        <v>0</v>
      </c>
      <c r="H232" s="57">
        <f t="shared" si="17"/>
        <v>0</v>
      </c>
      <c r="I232" s="119"/>
      <c r="J232" s="119"/>
      <c r="K232" s="119"/>
      <c r="L232" s="119"/>
      <c r="M232" s="119"/>
      <c r="N232" s="119"/>
      <c r="O232" s="119"/>
      <c r="P232" s="119"/>
      <c r="Q232" s="44" t="s">
        <v>474</v>
      </c>
      <c r="R232" s="19" t="s">
        <v>412</v>
      </c>
      <c r="S232" s="49">
        <v>2027</v>
      </c>
      <c r="T232" s="46">
        <v>0</v>
      </c>
      <c r="U232" s="47">
        <v>0</v>
      </c>
      <c r="V232" s="47">
        <v>0</v>
      </c>
      <c r="W232" s="48">
        <v>0</v>
      </c>
      <c r="X232" s="57">
        <f t="shared" si="16"/>
        <v>0</v>
      </c>
      <c r="Y232" s="119"/>
    </row>
    <row r="233" spans="1:25">
      <c r="A233" s="44" t="s">
        <v>474</v>
      </c>
      <c r="B233" s="19" t="s">
        <v>412</v>
      </c>
      <c r="C233" s="49">
        <v>2028</v>
      </c>
      <c r="D233" s="46">
        <v>0</v>
      </c>
      <c r="E233" s="47">
        <v>0</v>
      </c>
      <c r="F233" s="47">
        <v>0</v>
      </c>
      <c r="G233" s="48">
        <v>0</v>
      </c>
      <c r="H233" s="57">
        <f t="shared" si="17"/>
        <v>0</v>
      </c>
      <c r="I233" s="119"/>
      <c r="J233" s="119"/>
      <c r="K233" s="119"/>
      <c r="L233" s="119"/>
      <c r="M233" s="119"/>
      <c r="N233" s="119"/>
      <c r="O233" s="119"/>
      <c r="P233" s="119"/>
      <c r="Q233" s="44" t="s">
        <v>474</v>
      </c>
      <c r="R233" s="19" t="s">
        <v>412</v>
      </c>
      <c r="S233" s="49">
        <v>2028</v>
      </c>
      <c r="T233" s="46">
        <v>0</v>
      </c>
      <c r="U233" s="47">
        <v>0</v>
      </c>
      <c r="V233" s="47">
        <v>0</v>
      </c>
      <c r="W233" s="48">
        <v>0</v>
      </c>
      <c r="X233" s="57">
        <f t="shared" si="16"/>
        <v>0</v>
      </c>
      <c r="Y233" s="119"/>
    </row>
    <row r="234" spans="1:25">
      <c r="A234" s="44" t="s">
        <v>474</v>
      </c>
      <c r="B234" s="19" t="s">
        <v>412</v>
      </c>
      <c r="C234" s="49">
        <v>2029</v>
      </c>
      <c r="D234" s="46">
        <v>0</v>
      </c>
      <c r="E234" s="47">
        <v>0</v>
      </c>
      <c r="F234" s="47">
        <v>0</v>
      </c>
      <c r="G234" s="48">
        <v>0</v>
      </c>
      <c r="H234" s="57">
        <f t="shared" si="17"/>
        <v>0</v>
      </c>
      <c r="I234" s="119"/>
      <c r="J234" s="119"/>
      <c r="K234" s="119"/>
      <c r="L234" s="119"/>
      <c r="M234" s="119"/>
      <c r="N234" s="119"/>
      <c r="O234" s="119"/>
      <c r="P234" s="119"/>
      <c r="Q234" s="44" t="s">
        <v>474</v>
      </c>
      <c r="R234" s="19" t="s">
        <v>412</v>
      </c>
      <c r="S234" s="49">
        <v>2029</v>
      </c>
      <c r="T234" s="46">
        <v>0</v>
      </c>
      <c r="U234" s="47">
        <v>0</v>
      </c>
      <c r="V234" s="47">
        <v>0</v>
      </c>
      <c r="W234" s="48">
        <v>0</v>
      </c>
      <c r="X234" s="57">
        <f t="shared" si="16"/>
        <v>0</v>
      </c>
      <c r="Y234" s="119"/>
    </row>
    <row r="235" spans="1:25">
      <c r="A235" s="44" t="s">
        <v>474</v>
      </c>
      <c r="B235" s="19" t="s">
        <v>412</v>
      </c>
      <c r="C235" s="49">
        <v>2030</v>
      </c>
      <c r="D235" s="46">
        <v>0</v>
      </c>
      <c r="E235" s="47">
        <v>0</v>
      </c>
      <c r="F235" s="47">
        <v>0</v>
      </c>
      <c r="G235" s="48">
        <v>0</v>
      </c>
      <c r="H235" s="57">
        <f t="shared" si="17"/>
        <v>0</v>
      </c>
      <c r="I235" s="119"/>
      <c r="J235" s="119"/>
      <c r="K235" s="119"/>
      <c r="L235" s="119"/>
      <c r="M235" s="119"/>
      <c r="N235" s="119"/>
      <c r="O235" s="119"/>
      <c r="P235" s="119"/>
      <c r="Q235" s="44" t="s">
        <v>474</v>
      </c>
      <c r="R235" s="19" t="s">
        <v>412</v>
      </c>
      <c r="S235" s="49">
        <v>2030</v>
      </c>
      <c r="T235" s="46">
        <v>0</v>
      </c>
      <c r="U235" s="47">
        <v>0</v>
      </c>
      <c r="V235" s="47">
        <v>0</v>
      </c>
      <c r="W235" s="48">
        <v>0</v>
      </c>
      <c r="X235" s="57">
        <f t="shared" si="16"/>
        <v>0</v>
      </c>
      <c r="Y235" s="119"/>
    </row>
    <row r="236" spans="1:25">
      <c r="A236" s="44" t="s">
        <v>474</v>
      </c>
      <c r="B236" s="19" t="s">
        <v>412</v>
      </c>
      <c r="C236" s="49">
        <v>2031</v>
      </c>
      <c r="D236" s="46">
        <v>0</v>
      </c>
      <c r="E236" s="47">
        <v>0</v>
      </c>
      <c r="F236" s="47">
        <v>0</v>
      </c>
      <c r="G236" s="48">
        <v>0</v>
      </c>
      <c r="H236" s="57">
        <f t="shared" si="17"/>
        <v>0</v>
      </c>
      <c r="I236" s="119"/>
      <c r="J236" s="119"/>
      <c r="K236" s="119"/>
      <c r="L236" s="119"/>
      <c r="M236" s="119"/>
      <c r="N236" s="119"/>
      <c r="O236" s="119"/>
      <c r="P236" s="119"/>
      <c r="Q236" s="44" t="s">
        <v>474</v>
      </c>
      <c r="R236" s="19" t="s">
        <v>412</v>
      </c>
      <c r="S236" s="49">
        <v>2031</v>
      </c>
      <c r="T236" s="46">
        <v>0</v>
      </c>
      <c r="U236" s="47">
        <v>0</v>
      </c>
      <c r="V236" s="47">
        <v>0</v>
      </c>
      <c r="W236" s="48">
        <v>0</v>
      </c>
      <c r="X236" s="57">
        <f t="shared" si="16"/>
        <v>0</v>
      </c>
      <c r="Y236" s="119"/>
    </row>
    <row r="237" spans="1:25">
      <c r="A237" s="44" t="s">
        <v>474</v>
      </c>
      <c r="B237" s="19" t="s">
        <v>412</v>
      </c>
      <c r="C237" s="49">
        <v>2032</v>
      </c>
      <c r="D237" s="46">
        <v>0</v>
      </c>
      <c r="E237" s="47">
        <v>0</v>
      </c>
      <c r="F237" s="47">
        <v>0</v>
      </c>
      <c r="G237" s="48">
        <v>0</v>
      </c>
      <c r="H237" s="57">
        <f t="shared" si="17"/>
        <v>0</v>
      </c>
      <c r="I237" s="119"/>
      <c r="J237" s="119"/>
      <c r="K237" s="119"/>
      <c r="L237" s="119"/>
      <c r="M237" s="119"/>
      <c r="N237" s="119"/>
      <c r="O237" s="119"/>
      <c r="P237" s="119"/>
      <c r="Q237" s="44" t="s">
        <v>474</v>
      </c>
      <c r="R237" s="19" t="s">
        <v>412</v>
      </c>
      <c r="S237" s="49">
        <v>2032</v>
      </c>
      <c r="T237" s="46">
        <v>0</v>
      </c>
      <c r="U237" s="47">
        <v>0</v>
      </c>
      <c r="V237" s="47">
        <v>0</v>
      </c>
      <c r="W237" s="48">
        <v>0</v>
      </c>
      <c r="X237" s="57">
        <f t="shared" si="16"/>
        <v>0</v>
      </c>
      <c r="Y237" s="119"/>
    </row>
    <row r="238" spans="1:25">
      <c r="A238" s="44" t="s">
        <v>474</v>
      </c>
      <c r="B238" s="19" t="s">
        <v>412</v>
      </c>
      <c r="C238" s="49">
        <v>2033</v>
      </c>
      <c r="D238" s="46">
        <v>0</v>
      </c>
      <c r="E238" s="47">
        <v>0</v>
      </c>
      <c r="F238" s="47">
        <v>0</v>
      </c>
      <c r="G238" s="48">
        <v>0</v>
      </c>
      <c r="H238" s="57">
        <f t="shared" si="17"/>
        <v>0</v>
      </c>
      <c r="I238" s="119"/>
      <c r="J238" s="119"/>
      <c r="K238" s="119"/>
      <c r="L238" s="119"/>
      <c r="M238" s="119"/>
      <c r="N238" s="119"/>
      <c r="O238" s="119"/>
      <c r="P238" s="119"/>
      <c r="Q238" s="44" t="s">
        <v>474</v>
      </c>
      <c r="R238" s="19" t="s">
        <v>412</v>
      </c>
      <c r="S238" s="49">
        <v>2033</v>
      </c>
      <c r="T238" s="46">
        <v>0</v>
      </c>
      <c r="U238" s="47">
        <v>0</v>
      </c>
      <c r="V238" s="47">
        <v>0</v>
      </c>
      <c r="W238" s="48">
        <v>0</v>
      </c>
      <c r="X238" s="57">
        <f t="shared" si="16"/>
        <v>0</v>
      </c>
      <c r="Y238" s="119"/>
    </row>
    <row r="239" spans="1:25">
      <c r="A239" s="44" t="s">
        <v>474</v>
      </c>
      <c r="B239" s="19" t="s">
        <v>412</v>
      </c>
      <c r="C239" s="49">
        <v>2034</v>
      </c>
      <c r="D239" s="46">
        <v>68.68718833153099</v>
      </c>
      <c r="E239" s="47">
        <v>0</v>
      </c>
      <c r="F239" s="47">
        <v>0</v>
      </c>
      <c r="G239" s="48">
        <v>0</v>
      </c>
      <c r="H239" s="57">
        <f t="shared" si="17"/>
        <v>40.051370159421865</v>
      </c>
      <c r="I239" s="119"/>
      <c r="J239" s="119"/>
      <c r="K239" s="119"/>
      <c r="L239" s="119"/>
      <c r="M239" s="119"/>
      <c r="N239" s="119"/>
      <c r="O239" s="119"/>
      <c r="P239" s="119"/>
      <c r="Q239" s="44" t="s">
        <v>474</v>
      </c>
      <c r="R239" s="19" t="s">
        <v>412</v>
      </c>
      <c r="S239" s="49">
        <v>2034</v>
      </c>
      <c r="T239" s="46">
        <v>68.68718833153099</v>
      </c>
      <c r="U239" s="47">
        <v>0</v>
      </c>
      <c r="V239" s="47">
        <v>0</v>
      </c>
      <c r="W239" s="48">
        <v>0</v>
      </c>
      <c r="X239" s="57">
        <f t="shared" si="16"/>
        <v>68.68718833153099</v>
      </c>
      <c r="Y239" s="119"/>
    </row>
    <row r="240" spans="1:25">
      <c r="A240" s="44" t="s">
        <v>474</v>
      </c>
      <c r="B240" s="19" t="s">
        <v>412</v>
      </c>
      <c r="C240" s="49">
        <v>2035</v>
      </c>
      <c r="D240" s="46">
        <v>90.820912258908805</v>
      </c>
      <c r="E240" s="47">
        <v>0</v>
      </c>
      <c r="F240" s="47">
        <v>0</v>
      </c>
      <c r="G240" s="48">
        <v>0</v>
      </c>
      <c r="H240" s="57">
        <f t="shared" si="17"/>
        <v>49.504559848228048</v>
      </c>
      <c r="I240" s="119"/>
      <c r="J240" s="119"/>
      <c r="K240" s="119"/>
      <c r="L240" s="119"/>
      <c r="M240" s="119"/>
      <c r="N240" s="119"/>
      <c r="O240" s="119"/>
      <c r="P240" s="119"/>
      <c r="Q240" s="44" t="s">
        <v>474</v>
      </c>
      <c r="R240" s="19" t="s">
        <v>412</v>
      </c>
      <c r="S240" s="49">
        <v>2035</v>
      </c>
      <c r="T240" s="46">
        <v>160.88184435707041</v>
      </c>
      <c r="U240" s="47">
        <v>0</v>
      </c>
      <c r="V240" s="47">
        <v>0</v>
      </c>
      <c r="W240" s="48">
        <v>0</v>
      </c>
      <c r="X240" s="57">
        <f t="shared" si="16"/>
        <v>160.88184435707041</v>
      </c>
      <c r="Y240" s="119">
        <f>NPV($Y$10,X231:X240)/((1-(1+$Y$10)^-10)/$Y$10)</f>
        <v>16.982428978851278</v>
      </c>
    </row>
    <row r="241" spans="1:25">
      <c r="A241" s="44"/>
      <c r="B241" s="19" t="s">
        <v>401</v>
      </c>
      <c r="C241" s="49"/>
      <c r="D241" s="46" t="s">
        <v>401</v>
      </c>
      <c r="E241" s="47" t="s">
        <v>401</v>
      </c>
      <c r="F241" s="47" t="s">
        <v>401</v>
      </c>
      <c r="G241" s="48" t="s">
        <v>401</v>
      </c>
      <c r="H241" s="57">
        <f t="shared" si="17"/>
        <v>0</v>
      </c>
      <c r="I241" s="119"/>
      <c r="J241" s="119"/>
      <c r="K241" s="119"/>
      <c r="L241" s="119"/>
      <c r="M241" s="119"/>
      <c r="N241" s="119"/>
      <c r="O241" s="119"/>
      <c r="P241" s="119"/>
      <c r="Q241" s="44"/>
      <c r="R241" s="19" t="s">
        <v>401</v>
      </c>
      <c r="S241" s="49"/>
      <c r="T241" s="46"/>
      <c r="U241" s="47"/>
      <c r="V241" s="47"/>
      <c r="W241" s="48"/>
      <c r="X241" s="57">
        <f t="shared" si="16"/>
        <v>0</v>
      </c>
      <c r="Y241" s="119"/>
    </row>
    <row r="242" spans="1:25">
      <c r="A242" s="44" t="s">
        <v>475</v>
      </c>
      <c r="B242" s="19" t="s">
        <v>413</v>
      </c>
      <c r="C242" s="49">
        <v>2026</v>
      </c>
      <c r="D242" s="46">
        <v>0</v>
      </c>
      <c r="E242" s="47">
        <v>0</v>
      </c>
      <c r="F242" s="47">
        <v>0</v>
      </c>
      <c r="G242" s="48">
        <v>0</v>
      </c>
      <c r="H242" s="57">
        <f t="shared" si="17"/>
        <v>0</v>
      </c>
      <c r="I242" s="119"/>
      <c r="J242" s="119"/>
      <c r="K242" s="119"/>
      <c r="L242" s="119"/>
      <c r="M242" s="119"/>
      <c r="N242" s="119"/>
      <c r="O242" s="119"/>
      <c r="P242" s="119"/>
      <c r="Q242" s="44" t="s">
        <v>475</v>
      </c>
      <c r="R242" s="19" t="s">
        <v>413</v>
      </c>
      <c r="S242" s="49">
        <v>2026</v>
      </c>
      <c r="T242" s="46">
        <v>0</v>
      </c>
      <c r="U242" s="47">
        <v>0</v>
      </c>
      <c r="V242" s="47">
        <v>0</v>
      </c>
      <c r="W242" s="48">
        <v>0</v>
      </c>
      <c r="X242" s="57">
        <f t="shared" si="16"/>
        <v>0</v>
      </c>
      <c r="Y242" s="119"/>
    </row>
    <row r="243" spans="1:25">
      <c r="A243" s="44" t="s">
        <v>475</v>
      </c>
      <c r="B243" s="19" t="s">
        <v>413</v>
      </c>
      <c r="C243" s="49">
        <v>2027</v>
      </c>
      <c r="D243" s="46">
        <v>0</v>
      </c>
      <c r="E243" s="47">
        <v>0</v>
      </c>
      <c r="F243" s="47">
        <v>0</v>
      </c>
      <c r="G243" s="48">
        <v>0</v>
      </c>
      <c r="H243" s="57">
        <f t="shared" si="17"/>
        <v>0</v>
      </c>
      <c r="I243" s="119"/>
      <c r="J243" s="119"/>
      <c r="K243" s="119"/>
      <c r="L243" s="119"/>
      <c r="M243" s="119"/>
      <c r="N243" s="119"/>
      <c r="O243" s="119"/>
      <c r="P243" s="119"/>
      <c r="Q243" s="44" t="s">
        <v>475</v>
      </c>
      <c r="R243" s="19" t="s">
        <v>413</v>
      </c>
      <c r="S243" s="49">
        <v>2027</v>
      </c>
      <c r="T243" s="46">
        <v>0</v>
      </c>
      <c r="U243" s="47">
        <v>0</v>
      </c>
      <c r="V243" s="47">
        <v>0</v>
      </c>
      <c r="W243" s="48">
        <v>0</v>
      </c>
      <c r="X243" s="57">
        <f t="shared" si="16"/>
        <v>0</v>
      </c>
      <c r="Y243" s="119"/>
    </row>
    <row r="244" spans="1:25">
      <c r="A244" s="44" t="s">
        <v>475</v>
      </c>
      <c r="B244" s="19" t="s">
        <v>413</v>
      </c>
      <c r="C244" s="49">
        <v>2028</v>
      </c>
      <c r="D244" s="46">
        <v>0</v>
      </c>
      <c r="E244" s="47">
        <v>0</v>
      </c>
      <c r="F244" s="47">
        <v>0</v>
      </c>
      <c r="G244" s="48">
        <v>34.776425427871992</v>
      </c>
      <c r="H244" s="57">
        <f t="shared" si="17"/>
        <v>30.389275736799238</v>
      </c>
      <c r="I244" s="119"/>
      <c r="J244" s="119"/>
      <c r="K244" s="119"/>
      <c r="L244" s="119"/>
      <c r="M244" s="119"/>
      <c r="N244" s="119"/>
      <c r="O244" s="119"/>
      <c r="P244" s="119"/>
      <c r="Q244" s="44" t="s">
        <v>475</v>
      </c>
      <c r="R244" s="19" t="s">
        <v>413</v>
      </c>
      <c r="S244" s="49">
        <v>2028</v>
      </c>
      <c r="T244" s="46">
        <v>0</v>
      </c>
      <c r="U244" s="47">
        <v>0</v>
      </c>
      <c r="V244" s="47">
        <v>0</v>
      </c>
      <c r="W244" s="48">
        <v>34.776425427871992</v>
      </c>
      <c r="X244" s="57">
        <f t="shared" si="16"/>
        <v>34.776425427871992</v>
      </c>
      <c r="Y244" s="119"/>
    </row>
    <row r="245" spans="1:25">
      <c r="A245" s="44" t="s">
        <v>475</v>
      </c>
      <c r="B245" s="19" t="s">
        <v>413</v>
      </c>
      <c r="C245" s="49">
        <v>2029</v>
      </c>
      <c r="D245" s="46">
        <v>0</v>
      </c>
      <c r="E245" s="47">
        <v>0</v>
      </c>
      <c r="F245" s="47">
        <v>0</v>
      </c>
      <c r="G245" s="48">
        <v>0</v>
      </c>
      <c r="H245" s="57">
        <f t="shared" si="17"/>
        <v>0</v>
      </c>
      <c r="I245" s="119"/>
      <c r="J245" s="119"/>
      <c r="K245" s="119"/>
      <c r="L245" s="119"/>
      <c r="M245" s="119"/>
      <c r="N245" s="119"/>
      <c r="O245" s="119"/>
      <c r="P245" s="119"/>
      <c r="Q245" s="44" t="s">
        <v>475</v>
      </c>
      <c r="R245" s="19" t="s">
        <v>413</v>
      </c>
      <c r="S245" s="49">
        <v>2029</v>
      </c>
      <c r="T245" s="46">
        <v>0</v>
      </c>
      <c r="U245" s="47">
        <v>0</v>
      </c>
      <c r="V245" s="47">
        <v>0</v>
      </c>
      <c r="W245" s="48">
        <v>35.471953936429429</v>
      </c>
      <c r="X245" s="57">
        <f t="shared" si="16"/>
        <v>35.471953936429429</v>
      </c>
      <c r="Y245" s="119"/>
    </row>
    <row r="246" spans="1:25">
      <c r="A246" s="44" t="s">
        <v>475</v>
      </c>
      <c r="B246" s="19" t="s">
        <v>413</v>
      </c>
      <c r="C246" s="49">
        <v>2030</v>
      </c>
      <c r="D246" s="46">
        <v>0</v>
      </c>
      <c r="E246" s="47">
        <v>0</v>
      </c>
      <c r="F246" s="47">
        <v>0</v>
      </c>
      <c r="G246" s="48">
        <v>0</v>
      </c>
      <c r="H246" s="57">
        <f t="shared" si="17"/>
        <v>0</v>
      </c>
      <c r="I246" s="119"/>
      <c r="J246" s="119"/>
      <c r="K246" s="119"/>
      <c r="L246" s="119"/>
      <c r="M246" s="119"/>
      <c r="N246" s="119"/>
      <c r="O246" s="119"/>
      <c r="P246" s="119"/>
      <c r="Q246" s="44" t="s">
        <v>475</v>
      </c>
      <c r="R246" s="19" t="s">
        <v>413</v>
      </c>
      <c r="S246" s="49">
        <v>2030</v>
      </c>
      <c r="T246" s="46">
        <v>0</v>
      </c>
      <c r="U246" s="47">
        <v>0</v>
      </c>
      <c r="V246" s="47">
        <v>0</v>
      </c>
      <c r="W246" s="48">
        <v>36.181393015158015</v>
      </c>
      <c r="X246" s="57">
        <f t="shared" si="16"/>
        <v>36.181393015158015</v>
      </c>
      <c r="Y246" s="119"/>
    </row>
    <row r="247" spans="1:25">
      <c r="A247" s="44" t="s">
        <v>475</v>
      </c>
      <c r="B247" s="19" t="s">
        <v>413</v>
      </c>
      <c r="C247" s="49">
        <v>2031</v>
      </c>
      <c r="D247" s="46">
        <v>0</v>
      </c>
      <c r="E247" s="47">
        <v>0</v>
      </c>
      <c r="F247" s="47">
        <v>0</v>
      </c>
      <c r="G247" s="48">
        <v>0</v>
      </c>
      <c r="H247" s="57">
        <f t="shared" si="17"/>
        <v>0</v>
      </c>
      <c r="I247" s="119"/>
      <c r="J247" s="119"/>
      <c r="K247" s="119"/>
      <c r="L247" s="119"/>
      <c r="M247" s="119"/>
      <c r="N247" s="119"/>
      <c r="O247" s="119"/>
      <c r="P247" s="119"/>
      <c r="Q247" s="44" t="s">
        <v>475</v>
      </c>
      <c r="R247" s="19" t="s">
        <v>413</v>
      </c>
      <c r="S247" s="49">
        <v>2031</v>
      </c>
      <c r="T247" s="46">
        <v>0</v>
      </c>
      <c r="U247" s="47">
        <v>0</v>
      </c>
      <c r="V247" s="47">
        <v>0</v>
      </c>
      <c r="W247" s="48">
        <v>36.905020875461176</v>
      </c>
      <c r="X247" s="57">
        <f t="shared" si="16"/>
        <v>36.905020875461176</v>
      </c>
      <c r="Y247" s="119"/>
    </row>
    <row r="248" spans="1:25">
      <c r="A248" s="44" t="s">
        <v>475</v>
      </c>
      <c r="B248" s="19" t="s">
        <v>413</v>
      </c>
      <c r="C248" s="49">
        <v>2032</v>
      </c>
      <c r="D248" s="46">
        <v>0</v>
      </c>
      <c r="E248" s="47">
        <v>0</v>
      </c>
      <c r="F248" s="47">
        <v>0</v>
      </c>
      <c r="G248" s="48">
        <v>0</v>
      </c>
      <c r="H248" s="57">
        <f t="shared" si="17"/>
        <v>0</v>
      </c>
      <c r="I248" s="119"/>
      <c r="J248" s="119"/>
      <c r="K248" s="119"/>
      <c r="L248" s="119"/>
      <c r="M248" s="119"/>
      <c r="N248" s="119"/>
      <c r="O248" s="119"/>
      <c r="P248" s="119"/>
      <c r="Q248" s="44" t="s">
        <v>475</v>
      </c>
      <c r="R248" s="19" t="s">
        <v>413</v>
      </c>
      <c r="S248" s="49">
        <v>2032</v>
      </c>
      <c r="T248" s="46">
        <v>0</v>
      </c>
      <c r="U248" s="47">
        <v>0</v>
      </c>
      <c r="V248" s="47">
        <v>0</v>
      </c>
      <c r="W248" s="48">
        <v>37.643121292970399</v>
      </c>
      <c r="X248" s="57">
        <f t="shared" si="16"/>
        <v>37.643121292970399</v>
      </c>
      <c r="Y248" s="119"/>
    </row>
    <row r="249" spans="1:25">
      <c r="A249" s="44" t="s">
        <v>475</v>
      </c>
      <c r="B249" s="19" t="s">
        <v>413</v>
      </c>
      <c r="C249" s="49">
        <v>2033</v>
      </c>
      <c r="D249" s="46">
        <v>0</v>
      </c>
      <c r="E249" s="47">
        <v>0</v>
      </c>
      <c r="F249" s="47">
        <v>0</v>
      </c>
      <c r="G249" s="48">
        <v>0</v>
      </c>
      <c r="H249" s="57">
        <f t="shared" si="17"/>
        <v>0</v>
      </c>
      <c r="I249" s="119"/>
      <c r="J249" s="119"/>
      <c r="K249" s="119"/>
      <c r="L249" s="119"/>
      <c r="M249" s="119"/>
      <c r="N249" s="119"/>
      <c r="O249" s="119"/>
      <c r="P249" s="119"/>
      <c r="Q249" s="44" t="s">
        <v>475</v>
      </c>
      <c r="R249" s="19" t="s">
        <v>413</v>
      </c>
      <c r="S249" s="49">
        <v>2033</v>
      </c>
      <c r="T249" s="46">
        <v>0</v>
      </c>
      <c r="U249" s="47">
        <v>0</v>
      </c>
      <c r="V249" s="47">
        <v>0</v>
      </c>
      <c r="W249" s="48">
        <v>38.395983718829811</v>
      </c>
      <c r="X249" s="57">
        <f t="shared" si="16"/>
        <v>38.395983718829811</v>
      </c>
      <c r="Y249" s="119"/>
    </row>
    <row r="250" spans="1:25">
      <c r="A250" s="44" t="s">
        <v>475</v>
      </c>
      <c r="B250" s="19" t="s">
        <v>413</v>
      </c>
      <c r="C250" s="49">
        <v>2034</v>
      </c>
      <c r="D250" s="46">
        <v>0</v>
      </c>
      <c r="E250" s="47">
        <v>0</v>
      </c>
      <c r="F250" s="47">
        <v>0</v>
      </c>
      <c r="G250" s="48">
        <v>0</v>
      </c>
      <c r="H250" s="57">
        <f t="shared" si="17"/>
        <v>0</v>
      </c>
      <c r="I250" s="119"/>
      <c r="J250" s="119"/>
      <c r="K250" s="119"/>
      <c r="L250" s="119"/>
      <c r="M250" s="119"/>
      <c r="N250" s="119"/>
      <c r="O250" s="119"/>
      <c r="P250" s="119"/>
      <c r="Q250" s="44" t="s">
        <v>475</v>
      </c>
      <c r="R250" s="19" t="s">
        <v>413</v>
      </c>
      <c r="S250" s="49">
        <v>2034</v>
      </c>
      <c r="T250" s="46">
        <v>0</v>
      </c>
      <c r="U250" s="47">
        <v>0</v>
      </c>
      <c r="V250" s="47">
        <v>0</v>
      </c>
      <c r="W250" s="48">
        <v>39.163903393206411</v>
      </c>
      <c r="X250" s="57">
        <f t="shared" si="16"/>
        <v>39.163903393206411</v>
      </c>
      <c r="Y250" s="119"/>
    </row>
    <row r="251" spans="1:25">
      <c r="A251" s="44" t="s">
        <v>475</v>
      </c>
      <c r="B251" s="19" t="s">
        <v>413</v>
      </c>
      <c r="C251" s="49">
        <v>2035</v>
      </c>
      <c r="D251" s="46">
        <v>0</v>
      </c>
      <c r="E251" s="47">
        <v>0</v>
      </c>
      <c r="F251" s="47">
        <v>0</v>
      </c>
      <c r="G251" s="48">
        <v>0</v>
      </c>
      <c r="H251" s="57">
        <f t="shared" si="17"/>
        <v>0</v>
      </c>
      <c r="I251" s="119"/>
      <c r="J251" s="119"/>
      <c r="K251" s="119"/>
      <c r="L251" s="119"/>
      <c r="M251" s="119"/>
      <c r="N251" s="119"/>
      <c r="O251" s="119"/>
      <c r="P251" s="119"/>
      <c r="Q251" s="44" t="s">
        <v>475</v>
      </c>
      <c r="R251" s="19" t="s">
        <v>413</v>
      </c>
      <c r="S251" s="49">
        <v>2035</v>
      </c>
      <c r="T251" s="46">
        <v>0</v>
      </c>
      <c r="U251" s="47">
        <v>0</v>
      </c>
      <c r="V251" s="47">
        <v>0</v>
      </c>
      <c r="W251" s="48">
        <v>39.947181461070542</v>
      </c>
      <c r="X251" s="57">
        <f t="shared" si="16"/>
        <v>39.947181461070542</v>
      </c>
      <c r="Y251" s="119">
        <f>NPV($Y$10,X242:X251)/((1-(1+$Y$10)^-10)/$Y$10)</f>
        <v>27.520873963610754</v>
      </c>
    </row>
    <row r="252" spans="1:25">
      <c r="A252" s="44"/>
      <c r="B252" s="19" t="s">
        <v>401</v>
      </c>
      <c r="C252" s="49"/>
      <c r="D252" s="42" t="s">
        <v>401</v>
      </c>
      <c r="E252" s="19" t="s">
        <v>401</v>
      </c>
      <c r="F252" s="19" t="s">
        <v>401</v>
      </c>
      <c r="G252" s="43" t="s">
        <v>401</v>
      </c>
      <c r="H252" s="57">
        <f t="shared" si="17"/>
        <v>0</v>
      </c>
      <c r="I252" s="119"/>
      <c r="J252" s="119"/>
      <c r="K252" s="119"/>
      <c r="L252" s="119"/>
      <c r="M252" s="119"/>
      <c r="N252" s="119"/>
      <c r="O252" s="119"/>
      <c r="P252" s="119"/>
      <c r="Q252" s="44"/>
      <c r="R252" s="19" t="s">
        <v>401</v>
      </c>
      <c r="S252" s="49"/>
      <c r="T252" s="42"/>
      <c r="U252" s="19"/>
      <c r="V252" s="19"/>
      <c r="W252" s="43"/>
      <c r="X252" s="57">
        <f t="shared" si="16"/>
        <v>0</v>
      </c>
      <c r="Y252" s="119"/>
    </row>
    <row r="253" spans="1:25">
      <c r="A253" s="44" t="s">
        <v>475</v>
      </c>
      <c r="B253" s="19" t="s">
        <v>414</v>
      </c>
      <c r="C253" s="49">
        <v>2026</v>
      </c>
      <c r="D253" s="46">
        <v>0</v>
      </c>
      <c r="E253" s="47">
        <v>0</v>
      </c>
      <c r="F253" s="47">
        <v>0</v>
      </c>
      <c r="G253" s="48">
        <v>0</v>
      </c>
      <c r="H253" s="57">
        <f t="shared" si="17"/>
        <v>0</v>
      </c>
      <c r="I253" s="119"/>
      <c r="J253" s="119"/>
      <c r="K253" s="119"/>
      <c r="L253" s="119"/>
      <c r="M253" s="119"/>
      <c r="N253" s="119"/>
      <c r="O253" s="119"/>
      <c r="P253" s="119"/>
      <c r="Q253" s="44" t="s">
        <v>475</v>
      </c>
      <c r="R253" s="19" t="s">
        <v>414</v>
      </c>
      <c r="S253" s="49">
        <v>2026</v>
      </c>
      <c r="T253" s="46">
        <v>0</v>
      </c>
      <c r="U253" s="47">
        <v>0</v>
      </c>
      <c r="V253" s="47">
        <v>0</v>
      </c>
      <c r="W253" s="48">
        <v>0</v>
      </c>
      <c r="X253" s="57">
        <f t="shared" si="16"/>
        <v>0</v>
      </c>
      <c r="Y253" s="119"/>
    </row>
    <row r="254" spans="1:25">
      <c r="A254" s="44" t="s">
        <v>475</v>
      </c>
      <c r="B254" s="19" t="s">
        <v>414</v>
      </c>
      <c r="C254" s="49">
        <v>2027</v>
      </c>
      <c r="D254" s="46">
        <v>0</v>
      </c>
      <c r="E254" s="47">
        <v>0</v>
      </c>
      <c r="F254" s="47">
        <v>0</v>
      </c>
      <c r="G254" s="48">
        <v>0</v>
      </c>
      <c r="H254" s="57">
        <f t="shared" si="17"/>
        <v>0</v>
      </c>
      <c r="I254" s="119"/>
      <c r="J254" s="119"/>
      <c r="K254" s="119"/>
      <c r="L254" s="119"/>
      <c r="M254" s="119"/>
      <c r="N254" s="119"/>
      <c r="O254" s="119"/>
      <c r="P254" s="119"/>
      <c r="Q254" s="44" t="s">
        <v>475</v>
      </c>
      <c r="R254" s="19" t="s">
        <v>414</v>
      </c>
      <c r="S254" s="49">
        <v>2027</v>
      </c>
      <c r="T254" s="46">
        <v>0</v>
      </c>
      <c r="U254" s="47">
        <v>0</v>
      </c>
      <c r="V254" s="47">
        <v>0</v>
      </c>
      <c r="W254" s="48">
        <v>0</v>
      </c>
      <c r="X254" s="57">
        <f t="shared" si="16"/>
        <v>0</v>
      </c>
      <c r="Y254" s="119"/>
    </row>
    <row r="255" spans="1:25">
      <c r="A255" s="44" t="s">
        <v>475</v>
      </c>
      <c r="B255" s="19" t="s">
        <v>414</v>
      </c>
      <c r="C255" s="49">
        <v>2028</v>
      </c>
      <c r="D255" s="46">
        <v>0</v>
      </c>
      <c r="E255" s="47">
        <v>0</v>
      </c>
      <c r="F255" s="47">
        <v>0</v>
      </c>
      <c r="G255" s="48">
        <v>0</v>
      </c>
      <c r="H255" s="57">
        <f t="shared" si="17"/>
        <v>0</v>
      </c>
      <c r="I255" s="119"/>
      <c r="J255" s="119"/>
      <c r="K255" s="119"/>
      <c r="L255" s="119"/>
      <c r="M255" s="119"/>
      <c r="N255" s="119"/>
      <c r="O255" s="119"/>
      <c r="P255" s="119"/>
      <c r="Q255" s="44" t="s">
        <v>475</v>
      </c>
      <c r="R255" s="19" t="s">
        <v>414</v>
      </c>
      <c r="S255" s="49">
        <v>2028</v>
      </c>
      <c r="T255" s="46">
        <v>0</v>
      </c>
      <c r="U255" s="47">
        <v>0</v>
      </c>
      <c r="V255" s="47">
        <v>0</v>
      </c>
      <c r="W255" s="48">
        <v>0</v>
      </c>
      <c r="X255" s="57">
        <f t="shared" si="16"/>
        <v>0</v>
      </c>
      <c r="Y255" s="119"/>
    </row>
    <row r="256" spans="1:25">
      <c r="A256" s="44" t="s">
        <v>475</v>
      </c>
      <c r="B256" s="19" t="s">
        <v>414</v>
      </c>
      <c r="C256" s="49">
        <v>2029</v>
      </c>
      <c r="D256" s="46">
        <v>0</v>
      </c>
      <c r="E256" s="47">
        <v>0</v>
      </c>
      <c r="F256" s="47">
        <v>0</v>
      </c>
      <c r="G256" s="48">
        <v>0</v>
      </c>
      <c r="H256" s="57">
        <f t="shared" si="17"/>
        <v>0</v>
      </c>
      <c r="I256" s="119"/>
      <c r="J256" s="119"/>
      <c r="K256" s="119"/>
      <c r="L256" s="119"/>
      <c r="M256" s="119"/>
      <c r="N256" s="119"/>
      <c r="O256" s="119"/>
      <c r="P256" s="119"/>
      <c r="Q256" s="44" t="s">
        <v>475</v>
      </c>
      <c r="R256" s="19" t="s">
        <v>414</v>
      </c>
      <c r="S256" s="49">
        <v>2029</v>
      </c>
      <c r="T256" s="46">
        <v>0</v>
      </c>
      <c r="U256" s="47">
        <v>0</v>
      </c>
      <c r="V256" s="47">
        <v>0</v>
      </c>
      <c r="W256" s="48">
        <v>0</v>
      </c>
      <c r="X256" s="57">
        <f t="shared" si="16"/>
        <v>0</v>
      </c>
      <c r="Y256" s="119"/>
    </row>
    <row r="257" spans="1:25">
      <c r="A257" s="44" t="s">
        <v>475</v>
      </c>
      <c r="B257" s="19" t="s">
        <v>414</v>
      </c>
      <c r="C257" s="49">
        <v>2030</v>
      </c>
      <c r="D257" s="46">
        <v>0</v>
      </c>
      <c r="E257" s="47">
        <v>37.546977571184456</v>
      </c>
      <c r="F257" s="47">
        <v>0</v>
      </c>
      <c r="G257" s="48">
        <v>0</v>
      </c>
      <c r="H257" s="57">
        <f t="shared" si="17"/>
        <v>28.671195536272393</v>
      </c>
      <c r="I257" s="119"/>
      <c r="J257" s="119"/>
      <c r="K257" s="119"/>
      <c r="L257" s="119"/>
      <c r="M257" s="119"/>
      <c r="N257" s="119"/>
      <c r="O257" s="119"/>
      <c r="P257" s="119"/>
      <c r="Q257" s="44" t="s">
        <v>475</v>
      </c>
      <c r="R257" s="19" t="s">
        <v>414</v>
      </c>
      <c r="S257" s="49">
        <v>2030</v>
      </c>
      <c r="T257" s="46">
        <v>0</v>
      </c>
      <c r="U257" s="47">
        <v>37.546977571184456</v>
      </c>
      <c r="V257" s="47">
        <v>0</v>
      </c>
      <c r="W257" s="48">
        <v>0</v>
      </c>
      <c r="X257" s="57">
        <f t="shared" si="16"/>
        <v>37.546977571184456</v>
      </c>
      <c r="Y257" s="119"/>
    </row>
    <row r="258" spans="1:25">
      <c r="A258" s="44" t="s">
        <v>475</v>
      </c>
      <c r="B258" s="19" t="s">
        <v>414</v>
      </c>
      <c r="C258" s="49">
        <v>2031</v>
      </c>
      <c r="D258" s="46">
        <v>0</v>
      </c>
      <c r="E258" s="47">
        <v>0</v>
      </c>
      <c r="F258" s="47">
        <v>0</v>
      </c>
      <c r="G258" s="48">
        <v>0</v>
      </c>
      <c r="H258" s="57">
        <f t="shared" si="17"/>
        <v>0</v>
      </c>
      <c r="I258" s="119"/>
      <c r="J258" s="119"/>
      <c r="K258" s="119"/>
      <c r="L258" s="119"/>
      <c r="M258" s="119"/>
      <c r="N258" s="119"/>
      <c r="O258" s="119"/>
      <c r="P258" s="119"/>
      <c r="Q258" s="44" t="s">
        <v>475</v>
      </c>
      <c r="R258" s="19" t="s">
        <v>414</v>
      </c>
      <c r="S258" s="49">
        <v>2031</v>
      </c>
      <c r="T258" s="46">
        <v>0</v>
      </c>
      <c r="U258" s="47">
        <v>38.297917122608148</v>
      </c>
      <c r="V258" s="47">
        <v>0</v>
      </c>
      <c r="W258" s="48">
        <v>0</v>
      </c>
      <c r="X258" s="57">
        <f t="shared" si="16"/>
        <v>38.297917122608148</v>
      </c>
      <c r="Y258" s="119"/>
    </row>
    <row r="259" spans="1:25">
      <c r="A259" s="44" t="s">
        <v>475</v>
      </c>
      <c r="B259" s="19" t="s">
        <v>414</v>
      </c>
      <c r="C259" s="49">
        <v>2032</v>
      </c>
      <c r="D259" s="46">
        <v>0</v>
      </c>
      <c r="E259" s="47">
        <v>0</v>
      </c>
      <c r="F259" s="47">
        <v>0</v>
      </c>
      <c r="G259" s="48">
        <v>0</v>
      </c>
      <c r="H259" s="57">
        <f t="shared" si="17"/>
        <v>0</v>
      </c>
      <c r="I259" s="119"/>
      <c r="J259" s="119"/>
      <c r="K259" s="119"/>
      <c r="L259" s="119"/>
      <c r="M259" s="119"/>
      <c r="N259" s="119"/>
      <c r="O259" s="119"/>
      <c r="P259" s="119"/>
      <c r="Q259" s="44" t="s">
        <v>475</v>
      </c>
      <c r="R259" s="19" t="s">
        <v>414</v>
      </c>
      <c r="S259" s="49">
        <v>2032</v>
      </c>
      <c r="T259" s="46">
        <v>0</v>
      </c>
      <c r="U259" s="47">
        <v>39.063875465060313</v>
      </c>
      <c r="V259" s="47">
        <v>0</v>
      </c>
      <c r="W259" s="48">
        <v>0</v>
      </c>
      <c r="X259" s="57">
        <f t="shared" si="16"/>
        <v>39.063875465060313</v>
      </c>
      <c r="Y259" s="119"/>
    </row>
    <row r="260" spans="1:25">
      <c r="A260" s="44" t="s">
        <v>475</v>
      </c>
      <c r="B260" s="19" t="s">
        <v>414</v>
      </c>
      <c r="C260" s="49">
        <v>2033</v>
      </c>
      <c r="D260" s="46">
        <v>0</v>
      </c>
      <c r="E260" s="47">
        <v>0</v>
      </c>
      <c r="F260" s="47">
        <v>0</v>
      </c>
      <c r="G260" s="48">
        <v>0</v>
      </c>
      <c r="H260" s="57">
        <f t="shared" si="17"/>
        <v>0</v>
      </c>
      <c r="I260" s="119"/>
      <c r="J260" s="119"/>
      <c r="K260" s="119"/>
      <c r="L260" s="119"/>
      <c r="M260" s="119"/>
      <c r="N260" s="119"/>
      <c r="O260" s="119"/>
      <c r="P260" s="119"/>
      <c r="Q260" s="44" t="s">
        <v>475</v>
      </c>
      <c r="R260" s="19" t="s">
        <v>414</v>
      </c>
      <c r="S260" s="49">
        <v>2033</v>
      </c>
      <c r="T260" s="46">
        <v>0</v>
      </c>
      <c r="U260" s="47">
        <v>39.845152974361518</v>
      </c>
      <c r="V260" s="47">
        <v>0</v>
      </c>
      <c r="W260" s="48">
        <v>0</v>
      </c>
      <c r="X260" s="57">
        <f t="shared" si="16"/>
        <v>39.845152974361518</v>
      </c>
      <c r="Y260" s="119"/>
    </row>
    <row r="261" spans="1:25">
      <c r="A261" s="44" t="s">
        <v>475</v>
      </c>
      <c r="B261" s="19" t="s">
        <v>414</v>
      </c>
      <c r="C261" s="49">
        <v>2034</v>
      </c>
      <c r="D261" s="46">
        <v>0</v>
      </c>
      <c r="E261" s="47">
        <v>0</v>
      </c>
      <c r="F261" s="47">
        <v>0</v>
      </c>
      <c r="G261" s="48">
        <v>0</v>
      </c>
      <c r="H261" s="57">
        <f t="shared" si="17"/>
        <v>0</v>
      </c>
      <c r="I261" s="119"/>
      <c r="J261" s="119"/>
      <c r="K261" s="119"/>
      <c r="L261" s="119"/>
      <c r="M261" s="119"/>
      <c r="N261" s="119"/>
      <c r="O261" s="119"/>
      <c r="P261" s="119"/>
      <c r="Q261" s="44" t="s">
        <v>475</v>
      </c>
      <c r="R261" s="19" t="s">
        <v>414</v>
      </c>
      <c r="S261" s="49">
        <v>2034</v>
      </c>
      <c r="T261" s="46">
        <v>0</v>
      </c>
      <c r="U261" s="47">
        <v>40.642056033848746</v>
      </c>
      <c r="V261" s="47">
        <v>0</v>
      </c>
      <c r="W261" s="48">
        <v>0</v>
      </c>
      <c r="X261" s="57">
        <f t="shared" si="16"/>
        <v>40.642056033848746</v>
      </c>
      <c r="Y261" s="119"/>
    </row>
    <row r="262" spans="1:25">
      <c r="A262" s="44" t="s">
        <v>475</v>
      </c>
      <c r="B262" s="19" t="s">
        <v>414</v>
      </c>
      <c r="C262" s="49">
        <v>2035</v>
      </c>
      <c r="D262" s="46">
        <v>0</v>
      </c>
      <c r="E262" s="47">
        <v>0</v>
      </c>
      <c r="F262" s="47">
        <v>0</v>
      </c>
      <c r="G262" s="48">
        <v>0</v>
      </c>
      <c r="H262" s="57">
        <f t="shared" si="17"/>
        <v>0</v>
      </c>
      <c r="I262" s="119"/>
      <c r="J262" s="119"/>
      <c r="K262" s="119"/>
      <c r="L262" s="119"/>
      <c r="M262" s="119"/>
      <c r="N262" s="119"/>
      <c r="O262" s="119"/>
      <c r="P262" s="119"/>
      <c r="Q262" s="44" t="s">
        <v>475</v>
      </c>
      <c r="R262" s="19" t="s">
        <v>414</v>
      </c>
      <c r="S262" s="49">
        <v>2035</v>
      </c>
      <c r="T262" s="46">
        <v>0</v>
      </c>
      <c r="U262" s="47">
        <v>41.454897154525725</v>
      </c>
      <c r="V262" s="47">
        <v>0</v>
      </c>
      <c r="W262" s="48">
        <v>0</v>
      </c>
      <c r="X262" s="57">
        <f t="shared" si="16"/>
        <v>41.454897154525725</v>
      </c>
      <c r="Y262" s="119">
        <f>NPV($Y$10,X253:X262)/((1-(1+$Y$10)^-10)/$Y$10)</f>
        <v>20.369676893921451</v>
      </c>
    </row>
    <row r="263" spans="1:25">
      <c r="A263" s="44"/>
      <c r="B263" s="19" t="s">
        <v>401</v>
      </c>
      <c r="C263" s="49"/>
      <c r="D263" s="46" t="s">
        <v>401</v>
      </c>
      <c r="E263" s="47" t="s">
        <v>401</v>
      </c>
      <c r="F263" s="47" t="s">
        <v>401</v>
      </c>
      <c r="G263" s="48" t="s">
        <v>401</v>
      </c>
      <c r="H263" s="57">
        <f t="shared" si="17"/>
        <v>0</v>
      </c>
      <c r="I263" s="119"/>
      <c r="J263" s="119"/>
      <c r="K263" s="119"/>
      <c r="L263" s="119"/>
      <c r="M263" s="119"/>
      <c r="N263" s="119"/>
      <c r="O263" s="119"/>
      <c r="P263" s="119"/>
      <c r="Q263" s="44"/>
      <c r="R263" s="19" t="s">
        <v>401</v>
      </c>
      <c r="S263" s="49"/>
      <c r="T263" s="46"/>
      <c r="U263" s="47"/>
      <c r="V263" s="47"/>
      <c r="W263" s="48"/>
      <c r="X263" s="57">
        <f t="shared" si="16"/>
        <v>0</v>
      </c>
      <c r="Y263" s="119"/>
    </row>
    <row r="264" spans="1:25">
      <c r="A264" s="44" t="s">
        <v>475</v>
      </c>
      <c r="B264" s="19" t="s">
        <v>415</v>
      </c>
      <c r="C264" s="49">
        <v>2026</v>
      </c>
      <c r="D264" s="46">
        <v>0</v>
      </c>
      <c r="E264" s="47">
        <v>0</v>
      </c>
      <c r="F264" s="47">
        <v>0</v>
      </c>
      <c r="G264" s="48">
        <v>0</v>
      </c>
      <c r="H264" s="57">
        <f t="shared" si="17"/>
        <v>0</v>
      </c>
      <c r="I264" s="119"/>
      <c r="J264" s="119"/>
      <c r="K264" s="119"/>
      <c r="L264" s="119"/>
      <c r="M264" s="119"/>
      <c r="N264" s="119"/>
      <c r="O264" s="119"/>
      <c r="P264" s="119"/>
      <c r="Q264" s="44" t="s">
        <v>475</v>
      </c>
      <c r="R264" s="19" t="s">
        <v>415</v>
      </c>
      <c r="S264" s="49">
        <v>2026</v>
      </c>
      <c r="T264" s="46">
        <v>0</v>
      </c>
      <c r="U264" s="47">
        <v>0</v>
      </c>
      <c r="V264" s="47">
        <v>0</v>
      </c>
      <c r="W264" s="48">
        <v>0</v>
      </c>
      <c r="X264" s="57">
        <f t="shared" si="16"/>
        <v>0</v>
      </c>
      <c r="Y264" s="119"/>
    </row>
    <row r="265" spans="1:25">
      <c r="A265" s="44" t="s">
        <v>475</v>
      </c>
      <c r="B265" s="19" t="s">
        <v>415</v>
      </c>
      <c r="C265" s="49">
        <v>2027</v>
      </c>
      <c r="D265" s="46">
        <v>0</v>
      </c>
      <c r="E265" s="47">
        <v>0</v>
      </c>
      <c r="F265" s="47">
        <v>0</v>
      </c>
      <c r="G265" s="48">
        <v>0</v>
      </c>
      <c r="H265" s="57">
        <f t="shared" si="17"/>
        <v>0</v>
      </c>
      <c r="I265" s="119"/>
      <c r="J265" s="119"/>
      <c r="K265" s="119"/>
      <c r="L265" s="119"/>
      <c r="M265" s="119"/>
      <c r="N265" s="119"/>
      <c r="O265" s="119"/>
      <c r="P265" s="119"/>
      <c r="Q265" s="44" t="s">
        <v>475</v>
      </c>
      <c r="R265" s="19" t="s">
        <v>415</v>
      </c>
      <c r="S265" s="49">
        <v>2027</v>
      </c>
      <c r="T265" s="46">
        <v>0</v>
      </c>
      <c r="U265" s="47">
        <v>0</v>
      </c>
      <c r="V265" s="47">
        <v>0</v>
      </c>
      <c r="W265" s="48">
        <v>0</v>
      </c>
      <c r="X265" s="57">
        <f t="shared" si="16"/>
        <v>0</v>
      </c>
      <c r="Y265" s="119"/>
    </row>
    <row r="266" spans="1:25">
      <c r="A266" s="44" t="s">
        <v>475</v>
      </c>
      <c r="B266" s="19" t="s">
        <v>415</v>
      </c>
      <c r="C266" s="49">
        <v>2028</v>
      </c>
      <c r="D266" s="46">
        <v>0</v>
      </c>
      <c r="E266" s="47">
        <v>0</v>
      </c>
      <c r="F266" s="47">
        <v>0</v>
      </c>
      <c r="G266" s="48">
        <v>0</v>
      </c>
      <c r="H266" s="57">
        <f t="shared" si="17"/>
        <v>0</v>
      </c>
      <c r="I266" s="119"/>
      <c r="J266" s="119"/>
      <c r="K266" s="119"/>
      <c r="L266" s="119"/>
      <c r="M266" s="119"/>
      <c r="N266" s="119"/>
      <c r="O266" s="119"/>
      <c r="P266" s="119"/>
      <c r="Q266" s="44" t="s">
        <v>475</v>
      </c>
      <c r="R266" s="19" t="s">
        <v>415</v>
      </c>
      <c r="S266" s="49">
        <v>2028</v>
      </c>
      <c r="T266" s="46">
        <v>0</v>
      </c>
      <c r="U266" s="47">
        <v>0</v>
      </c>
      <c r="V266" s="47">
        <v>0</v>
      </c>
      <c r="W266" s="48">
        <v>0</v>
      </c>
      <c r="X266" s="57">
        <f t="shared" si="16"/>
        <v>0</v>
      </c>
      <c r="Y266" s="119"/>
    </row>
    <row r="267" spans="1:25">
      <c r="A267" s="44" t="s">
        <v>475</v>
      </c>
      <c r="B267" s="19" t="s">
        <v>415</v>
      </c>
      <c r="C267" s="49">
        <v>2029</v>
      </c>
      <c r="D267" s="46">
        <v>0</v>
      </c>
      <c r="E267" s="47">
        <v>0</v>
      </c>
      <c r="F267" s="47">
        <v>0</v>
      </c>
      <c r="G267" s="48">
        <v>0</v>
      </c>
      <c r="H267" s="57">
        <f t="shared" si="17"/>
        <v>0</v>
      </c>
      <c r="I267" s="119"/>
      <c r="J267" s="119"/>
      <c r="K267" s="119"/>
      <c r="L267" s="119"/>
      <c r="M267" s="119"/>
      <c r="N267" s="119"/>
      <c r="O267" s="119"/>
      <c r="P267" s="119"/>
      <c r="Q267" s="44" t="s">
        <v>475</v>
      </c>
      <c r="R267" s="19" t="s">
        <v>415</v>
      </c>
      <c r="S267" s="49">
        <v>2029</v>
      </c>
      <c r="T267" s="46">
        <v>0</v>
      </c>
      <c r="U267" s="47">
        <v>0</v>
      </c>
      <c r="V267" s="47">
        <v>0</v>
      </c>
      <c r="W267" s="48">
        <v>0</v>
      </c>
      <c r="X267" s="57">
        <f t="shared" si="16"/>
        <v>0</v>
      </c>
      <c r="Y267" s="119"/>
    </row>
    <row r="268" spans="1:25">
      <c r="A268" s="44" t="s">
        <v>475</v>
      </c>
      <c r="B268" s="19" t="s">
        <v>415</v>
      </c>
      <c r="C268" s="49">
        <v>2030</v>
      </c>
      <c r="D268" s="46">
        <v>97.272115151044929</v>
      </c>
      <c r="E268" s="47">
        <v>0</v>
      </c>
      <c r="F268" s="47">
        <v>0</v>
      </c>
      <c r="G268" s="48">
        <v>0</v>
      </c>
      <c r="H268" s="57">
        <f t="shared" si="17"/>
        <v>74.277825117480816</v>
      </c>
      <c r="I268" s="119"/>
      <c r="J268" s="119"/>
      <c r="K268" s="119"/>
      <c r="L268" s="119"/>
      <c r="M268" s="119"/>
      <c r="N268" s="119"/>
      <c r="O268" s="119"/>
      <c r="P268" s="119"/>
      <c r="Q268" s="44" t="s">
        <v>475</v>
      </c>
      <c r="R268" s="19" t="s">
        <v>415</v>
      </c>
      <c r="S268" s="49">
        <v>2030</v>
      </c>
      <c r="T268" s="46">
        <v>97.272115151044929</v>
      </c>
      <c r="U268" s="47">
        <v>0</v>
      </c>
      <c r="V268" s="47">
        <v>0</v>
      </c>
      <c r="W268" s="48">
        <v>0</v>
      </c>
      <c r="X268" s="57">
        <f t="shared" ref="X268:X331" si="18">SUM(T268:W268)</f>
        <v>97.272115151044929</v>
      </c>
      <c r="Y268" s="119"/>
    </row>
    <row r="269" spans="1:25">
      <c r="A269" s="44" t="s">
        <v>475</v>
      </c>
      <c r="B269" s="19" t="s">
        <v>415</v>
      </c>
      <c r="C269" s="49">
        <v>2031</v>
      </c>
      <c r="D269" s="46">
        <v>0</v>
      </c>
      <c r="E269" s="47">
        <v>0</v>
      </c>
      <c r="F269" s="47">
        <v>0</v>
      </c>
      <c r="G269" s="48">
        <v>0</v>
      </c>
      <c r="H269" s="57">
        <f t="shared" ref="H269:H332" si="19">SUM(D269:G269)/((1+$L$7)^(C269-C$11))</f>
        <v>0</v>
      </c>
      <c r="I269" s="119"/>
      <c r="J269" s="119"/>
      <c r="K269" s="119"/>
      <c r="L269" s="119"/>
      <c r="M269" s="119"/>
      <c r="N269" s="119"/>
      <c r="O269" s="119"/>
      <c r="P269" s="119"/>
      <c r="Q269" s="44" t="s">
        <v>475</v>
      </c>
      <c r="R269" s="19" t="s">
        <v>415</v>
      </c>
      <c r="S269" s="49">
        <v>2031</v>
      </c>
      <c r="T269" s="46">
        <v>99.217557454065826</v>
      </c>
      <c r="U269" s="47">
        <v>0</v>
      </c>
      <c r="V269" s="47">
        <v>0</v>
      </c>
      <c r="W269" s="48">
        <v>0</v>
      </c>
      <c r="X269" s="57">
        <f t="shared" si="18"/>
        <v>99.217557454065826</v>
      </c>
      <c r="Y269" s="119"/>
    </row>
    <row r="270" spans="1:25">
      <c r="A270" s="44" t="s">
        <v>475</v>
      </c>
      <c r="B270" s="19" t="s">
        <v>415</v>
      </c>
      <c r="C270" s="49">
        <v>2032</v>
      </c>
      <c r="D270" s="46">
        <v>0</v>
      </c>
      <c r="E270" s="47">
        <v>0</v>
      </c>
      <c r="F270" s="47">
        <v>0</v>
      </c>
      <c r="G270" s="48">
        <v>0</v>
      </c>
      <c r="H270" s="57">
        <f t="shared" si="19"/>
        <v>0</v>
      </c>
      <c r="I270" s="119"/>
      <c r="J270" s="119"/>
      <c r="K270" s="119"/>
      <c r="L270" s="119"/>
      <c r="M270" s="119"/>
      <c r="N270" s="119"/>
      <c r="O270" s="119"/>
      <c r="P270" s="119"/>
      <c r="Q270" s="44" t="s">
        <v>475</v>
      </c>
      <c r="R270" s="19" t="s">
        <v>415</v>
      </c>
      <c r="S270" s="49">
        <v>2032</v>
      </c>
      <c r="T270" s="46">
        <v>101.20190860314715</v>
      </c>
      <c r="U270" s="47">
        <v>0</v>
      </c>
      <c r="V270" s="47">
        <v>0</v>
      </c>
      <c r="W270" s="48">
        <v>0</v>
      </c>
      <c r="X270" s="57">
        <f t="shared" si="18"/>
        <v>101.20190860314715</v>
      </c>
      <c r="Y270" s="119"/>
    </row>
    <row r="271" spans="1:25">
      <c r="A271" s="44" t="s">
        <v>475</v>
      </c>
      <c r="B271" s="19" t="s">
        <v>415</v>
      </c>
      <c r="C271" s="49">
        <v>2033</v>
      </c>
      <c r="D271" s="46">
        <v>0</v>
      </c>
      <c r="E271" s="47">
        <v>0</v>
      </c>
      <c r="F271" s="47">
        <v>0</v>
      </c>
      <c r="G271" s="48">
        <v>0</v>
      </c>
      <c r="H271" s="57">
        <f t="shared" si="19"/>
        <v>0</v>
      </c>
      <c r="I271" s="119"/>
      <c r="J271" s="119"/>
      <c r="K271" s="119"/>
      <c r="L271" s="119"/>
      <c r="M271" s="119"/>
      <c r="N271" s="119"/>
      <c r="O271" s="119"/>
      <c r="P271" s="119"/>
      <c r="Q271" s="44" t="s">
        <v>475</v>
      </c>
      <c r="R271" s="19" t="s">
        <v>415</v>
      </c>
      <c r="S271" s="49">
        <v>2033</v>
      </c>
      <c r="T271" s="46">
        <v>103.22594677521009</v>
      </c>
      <c r="U271" s="47">
        <v>0</v>
      </c>
      <c r="V271" s="47">
        <v>0</v>
      </c>
      <c r="W271" s="48">
        <v>0</v>
      </c>
      <c r="X271" s="57">
        <f t="shared" si="18"/>
        <v>103.22594677521009</v>
      </c>
      <c r="Y271" s="119"/>
    </row>
    <row r="272" spans="1:25">
      <c r="A272" s="44" t="s">
        <v>475</v>
      </c>
      <c r="B272" s="19" t="s">
        <v>415</v>
      </c>
      <c r="C272" s="49">
        <v>2034</v>
      </c>
      <c r="D272" s="46">
        <v>68.68718833153099</v>
      </c>
      <c r="E272" s="47">
        <v>0</v>
      </c>
      <c r="F272" s="47">
        <v>0</v>
      </c>
      <c r="G272" s="48">
        <v>0</v>
      </c>
      <c r="H272" s="57">
        <f t="shared" si="19"/>
        <v>40.051370159421865</v>
      </c>
      <c r="I272" s="119"/>
      <c r="J272" s="119"/>
      <c r="K272" s="119"/>
      <c r="L272" s="119"/>
      <c r="M272" s="119"/>
      <c r="N272" s="119"/>
      <c r="O272" s="119"/>
      <c r="P272" s="119"/>
      <c r="Q272" s="44" t="s">
        <v>475</v>
      </c>
      <c r="R272" s="19" t="s">
        <v>415</v>
      </c>
      <c r="S272" s="49">
        <v>2034</v>
      </c>
      <c r="T272" s="46">
        <v>173.97765404224529</v>
      </c>
      <c r="U272" s="47">
        <v>0</v>
      </c>
      <c r="V272" s="47">
        <v>0</v>
      </c>
      <c r="W272" s="48">
        <v>0</v>
      </c>
      <c r="X272" s="57">
        <f t="shared" si="18"/>
        <v>173.97765404224529</v>
      </c>
      <c r="Y272" s="119"/>
    </row>
    <row r="273" spans="1:25">
      <c r="A273" s="44" t="s">
        <v>475</v>
      </c>
      <c r="B273" s="19" t="s">
        <v>415</v>
      </c>
      <c r="C273" s="49">
        <v>2035</v>
      </c>
      <c r="D273" s="46">
        <v>90.820912258908805</v>
      </c>
      <c r="E273" s="47">
        <v>0</v>
      </c>
      <c r="F273" s="47">
        <v>0</v>
      </c>
      <c r="G273" s="48">
        <v>0</v>
      </c>
      <c r="H273" s="57">
        <f t="shared" si="19"/>
        <v>49.504559848228048</v>
      </c>
      <c r="I273" s="119"/>
      <c r="J273" s="119"/>
      <c r="K273" s="119"/>
      <c r="L273" s="119"/>
      <c r="M273" s="119"/>
      <c r="N273" s="119"/>
      <c r="O273" s="119"/>
      <c r="P273" s="119"/>
      <c r="Q273" s="44" t="s">
        <v>475</v>
      </c>
      <c r="R273" s="19" t="s">
        <v>415</v>
      </c>
      <c r="S273" s="49">
        <v>2035</v>
      </c>
      <c r="T273" s="46">
        <v>268.27811938199898</v>
      </c>
      <c r="U273" s="47">
        <v>0</v>
      </c>
      <c r="V273" s="47">
        <v>0</v>
      </c>
      <c r="W273" s="48">
        <v>0</v>
      </c>
      <c r="X273" s="57">
        <f t="shared" si="18"/>
        <v>268.27811938199898</v>
      </c>
      <c r="Y273" s="119">
        <f>NPV($Y$10,X264:X273)/((1-(1+$Y$10)^-10)/$Y$10)</f>
        <v>69.753695391936404</v>
      </c>
    </row>
    <row r="274" spans="1:25">
      <c r="A274" s="44"/>
      <c r="B274" s="19" t="s">
        <v>401</v>
      </c>
      <c r="C274" s="49"/>
      <c r="D274" s="42" t="s">
        <v>401</v>
      </c>
      <c r="E274" s="19" t="s">
        <v>401</v>
      </c>
      <c r="F274" s="19" t="s">
        <v>401</v>
      </c>
      <c r="G274" s="43" t="s">
        <v>401</v>
      </c>
      <c r="H274" s="57">
        <f t="shared" si="19"/>
        <v>0</v>
      </c>
      <c r="I274" s="119"/>
      <c r="J274" s="119"/>
      <c r="K274" s="119"/>
      <c r="L274" s="119"/>
      <c r="M274" s="119"/>
      <c r="N274" s="119"/>
      <c r="O274" s="119"/>
      <c r="P274" s="119"/>
      <c r="Q274" s="44"/>
      <c r="R274" s="19" t="s">
        <v>401</v>
      </c>
      <c r="S274" s="49"/>
      <c r="T274" s="42"/>
      <c r="U274" s="19"/>
      <c r="V274" s="19"/>
      <c r="W274" s="43"/>
      <c r="X274" s="57">
        <f t="shared" si="18"/>
        <v>0</v>
      </c>
      <c r="Y274" s="119"/>
    </row>
    <row r="275" spans="1:25">
      <c r="A275" s="44" t="s">
        <v>475</v>
      </c>
      <c r="B275" s="19" t="s">
        <v>416</v>
      </c>
      <c r="C275" s="49">
        <v>2026</v>
      </c>
      <c r="D275" s="46">
        <v>0</v>
      </c>
      <c r="E275" s="47">
        <v>0</v>
      </c>
      <c r="F275" s="47">
        <v>0</v>
      </c>
      <c r="G275" s="48">
        <v>0</v>
      </c>
      <c r="H275" s="57">
        <f t="shared" si="19"/>
        <v>0</v>
      </c>
      <c r="I275" s="119"/>
      <c r="J275" s="119"/>
      <c r="K275" s="119"/>
      <c r="L275" s="119"/>
      <c r="M275" s="119"/>
      <c r="N275" s="119"/>
      <c r="O275" s="119"/>
      <c r="P275" s="119"/>
      <c r="Q275" s="44" t="s">
        <v>475</v>
      </c>
      <c r="R275" s="19" t="s">
        <v>416</v>
      </c>
      <c r="S275" s="49">
        <v>2026</v>
      </c>
      <c r="T275" s="46">
        <v>0</v>
      </c>
      <c r="U275" s="47">
        <v>0</v>
      </c>
      <c r="V275" s="47">
        <v>0</v>
      </c>
      <c r="W275" s="48">
        <v>0</v>
      </c>
      <c r="X275" s="57">
        <f t="shared" si="18"/>
        <v>0</v>
      </c>
      <c r="Y275" s="119"/>
    </row>
    <row r="276" spans="1:25">
      <c r="A276" s="44" t="s">
        <v>475</v>
      </c>
      <c r="B276" s="19" t="s">
        <v>416</v>
      </c>
      <c r="C276" s="49">
        <v>2027</v>
      </c>
      <c r="D276" s="46">
        <v>0</v>
      </c>
      <c r="E276" s="47">
        <v>0</v>
      </c>
      <c r="F276" s="47">
        <v>0</v>
      </c>
      <c r="G276" s="48">
        <v>0</v>
      </c>
      <c r="H276" s="57">
        <f t="shared" si="19"/>
        <v>0</v>
      </c>
      <c r="I276" s="119"/>
      <c r="J276" s="119"/>
      <c r="K276" s="119"/>
      <c r="L276" s="119"/>
      <c r="M276" s="119"/>
      <c r="N276" s="119"/>
      <c r="O276" s="119"/>
      <c r="P276" s="119"/>
      <c r="Q276" s="44" t="s">
        <v>475</v>
      </c>
      <c r="R276" s="19" t="s">
        <v>416</v>
      </c>
      <c r="S276" s="49">
        <v>2027</v>
      </c>
      <c r="T276" s="46">
        <v>0</v>
      </c>
      <c r="U276" s="47">
        <v>0</v>
      </c>
      <c r="V276" s="47">
        <v>0</v>
      </c>
      <c r="W276" s="48">
        <v>0</v>
      </c>
      <c r="X276" s="57">
        <f t="shared" si="18"/>
        <v>0</v>
      </c>
      <c r="Y276" s="119"/>
    </row>
    <row r="277" spans="1:25">
      <c r="A277" s="44" t="s">
        <v>475</v>
      </c>
      <c r="B277" s="19" t="s">
        <v>416</v>
      </c>
      <c r="C277" s="49">
        <v>2028</v>
      </c>
      <c r="D277" s="46">
        <v>0</v>
      </c>
      <c r="E277" s="47">
        <v>0</v>
      </c>
      <c r="F277" s="47">
        <v>0</v>
      </c>
      <c r="G277" s="48">
        <v>0</v>
      </c>
      <c r="H277" s="57">
        <f t="shared" si="19"/>
        <v>0</v>
      </c>
      <c r="I277" s="119"/>
      <c r="J277" s="119"/>
      <c r="K277" s="119"/>
      <c r="L277" s="119"/>
      <c r="M277" s="119"/>
      <c r="N277" s="119"/>
      <c r="O277" s="119"/>
      <c r="P277" s="119"/>
      <c r="Q277" s="44" t="s">
        <v>475</v>
      </c>
      <c r="R277" s="19" t="s">
        <v>416</v>
      </c>
      <c r="S277" s="49">
        <v>2028</v>
      </c>
      <c r="T277" s="46">
        <v>0</v>
      </c>
      <c r="U277" s="47">
        <v>0</v>
      </c>
      <c r="V277" s="47">
        <v>0</v>
      </c>
      <c r="W277" s="48">
        <v>0</v>
      </c>
      <c r="X277" s="57">
        <f t="shared" si="18"/>
        <v>0</v>
      </c>
      <c r="Y277" s="119"/>
    </row>
    <row r="278" spans="1:25">
      <c r="A278" s="44" t="s">
        <v>475</v>
      </c>
      <c r="B278" s="19" t="s">
        <v>416</v>
      </c>
      <c r="C278" s="49">
        <v>2029</v>
      </c>
      <c r="D278" s="46">
        <v>0</v>
      </c>
      <c r="E278" s="47">
        <v>0</v>
      </c>
      <c r="F278" s="47">
        <v>0</v>
      </c>
      <c r="G278" s="48">
        <v>0</v>
      </c>
      <c r="H278" s="57">
        <f t="shared" si="19"/>
        <v>0</v>
      </c>
      <c r="I278" s="119"/>
      <c r="J278" s="119"/>
      <c r="K278" s="119"/>
      <c r="L278" s="119"/>
      <c r="M278" s="119"/>
      <c r="N278" s="119"/>
      <c r="O278" s="119"/>
      <c r="P278" s="119"/>
      <c r="Q278" s="44" t="s">
        <v>475</v>
      </c>
      <c r="R278" s="19" t="s">
        <v>416</v>
      </c>
      <c r="S278" s="49">
        <v>2029</v>
      </c>
      <c r="T278" s="46">
        <v>0</v>
      </c>
      <c r="U278" s="47">
        <v>0</v>
      </c>
      <c r="V278" s="47">
        <v>0</v>
      </c>
      <c r="W278" s="48">
        <v>0</v>
      </c>
      <c r="X278" s="57">
        <f t="shared" si="18"/>
        <v>0</v>
      </c>
      <c r="Y278" s="119"/>
    </row>
    <row r="279" spans="1:25">
      <c r="A279" s="44" t="s">
        <v>475</v>
      </c>
      <c r="B279" s="19" t="s">
        <v>416</v>
      </c>
      <c r="C279" s="49">
        <v>2030</v>
      </c>
      <c r="D279" s="46">
        <v>0</v>
      </c>
      <c r="E279" s="47">
        <v>0</v>
      </c>
      <c r="F279" s="47">
        <v>0</v>
      </c>
      <c r="G279" s="48">
        <v>0</v>
      </c>
      <c r="H279" s="57">
        <f t="shared" si="19"/>
        <v>0</v>
      </c>
      <c r="I279" s="119"/>
      <c r="J279" s="119"/>
      <c r="K279" s="119"/>
      <c r="L279" s="119"/>
      <c r="M279" s="119"/>
      <c r="N279" s="119"/>
      <c r="O279" s="119"/>
      <c r="P279" s="119"/>
      <c r="Q279" s="44" t="s">
        <v>475</v>
      </c>
      <c r="R279" s="19" t="s">
        <v>416</v>
      </c>
      <c r="S279" s="49">
        <v>2030</v>
      </c>
      <c r="T279" s="46">
        <v>0</v>
      </c>
      <c r="U279" s="47">
        <v>0</v>
      </c>
      <c r="V279" s="47">
        <v>0</v>
      </c>
      <c r="W279" s="48">
        <v>0</v>
      </c>
      <c r="X279" s="57">
        <f t="shared" si="18"/>
        <v>0</v>
      </c>
      <c r="Y279" s="119"/>
    </row>
    <row r="280" spans="1:25">
      <c r="A280" s="44" t="s">
        <v>475</v>
      </c>
      <c r="B280" s="19" t="s">
        <v>416</v>
      </c>
      <c r="C280" s="49">
        <v>2031</v>
      </c>
      <c r="D280" s="46">
        <v>0</v>
      </c>
      <c r="E280" s="47">
        <v>0</v>
      </c>
      <c r="F280" s="47">
        <v>0</v>
      </c>
      <c r="G280" s="48">
        <v>0</v>
      </c>
      <c r="H280" s="57">
        <f t="shared" si="19"/>
        <v>0</v>
      </c>
      <c r="I280" s="119"/>
      <c r="J280" s="119"/>
      <c r="K280" s="119"/>
      <c r="L280" s="119"/>
      <c r="M280" s="119"/>
      <c r="N280" s="119"/>
      <c r="O280" s="119"/>
      <c r="P280" s="119"/>
      <c r="Q280" s="44" t="s">
        <v>475</v>
      </c>
      <c r="R280" s="19" t="s">
        <v>416</v>
      </c>
      <c r="S280" s="49">
        <v>2031</v>
      </c>
      <c r="T280" s="46">
        <v>0</v>
      </c>
      <c r="U280" s="47">
        <v>0</v>
      </c>
      <c r="V280" s="47">
        <v>0</v>
      </c>
      <c r="W280" s="48">
        <v>0</v>
      </c>
      <c r="X280" s="57">
        <f t="shared" si="18"/>
        <v>0</v>
      </c>
      <c r="Y280" s="119"/>
    </row>
    <row r="281" spans="1:25">
      <c r="A281" s="44" t="s">
        <v>475</v>
      </c>
      <c r="B281" s="19" t="s">
        <v>416</v>
      </c>
      <c r="C281" s="49">
        <v>2032</v>
      </c>
      <c r="D281" s="46">
        <v>0</v>
      </c>
      <c r="E281" s="47">
        <v>0</v>
      </c>
      <c r="F281" s="47">
        <v>0</v>
      </c>
      <c r="G281" s="48">
        <v>0</v>
      </c>
      <c r="H281" s="57">
        <f t="shared" si="19"/>
        <v>0</v>
      </c>
      <c r="I281" s="119"/>
      <c r="J281" s="119"/>
      <c r="K281" s="119"/>
      <c r="L281" s="119"/>
      <c r="M281" s="119"/>
      <c r="N281" s="119"/>
      <c r="O281" s="119"/>
      <c r="P281" s="119"/>
      <c r="Q281" s="44" t="s">
        <v>475</v>
      </c>
      <c r="R281" s="19" t="s">
        <v>416</v>
      </c>
      <c r="S281" s="49">
        <v>2032</v>
      </c>
      <c r="T281" s="46">
        <v>0</v>
      </c>
      <c r="U281" s="47">
        <v>0</v>
      </c>
      <c r="V281" s="47">
        <v>0</v>
      </c>
      <c r="W281" s="48">
        <v>0</v>
      </c>
      <c r="X281" s="57">
        <f t="shared" si="18"/>
        <v>0</v>
      </c>
      <c r="Y281" s="119"/>
    </row>
    <row r="282" spans="1:25">
      <c r="A282" s="44" t="s">
        <v>475</v>
      </c>
      <c r="B282" s="19" t="s">
        <v>416</v>
      </c>
      <c r="C282" s="49">
        <v>2033</v>
      </c>
      <c r="D282" s="46">
        <v>0</v>
      </c>
      <c r="E282" s="47">
        <v>0</v>
      </c>
      <c r="F282" s="47">
        <v>0</v>
      </c>
      <c r="G282" s="48">
        <v>0</v>
      </c>
      <c r="H282" s="57">
        <f t="shared" si="19"/>
        <v>0</v>
      </c>
      <c r="I282" s="119"/>
      <c r="J282" s="119"/>
      <c r="K282" s="119"/>
      <c r="L282" s="119"/>
      <c r="M282" s="119"/>
      <c r="N282" s="119"/>
      <c r="O282" s="119"/>
      <c r="P282" s="119"/>
      <c r="Q282" s="44" t="s">
        <v>475</v>
      </c>
      <c r="R282" s="19" t="s">
        <v>416</v>
      </c>
      <c r="S282" s="49">
        <v>2033</v>
      </c>
      <c r="T282" s="46">
        <v>0</v>
      </c>
      <c r="U282" s="47">
        <v>0</v>
      </c>
      <c r="V282" s="47">
        <v>0</v>
      </c>
      <c r="W282" s="48">
        <v>0</v>
      </c>
      <c r="X282" s="57">
        <f t="shared" si="18"/>
        <v>0</v>
      </c>
      <c r="Y282" s="119"/>
    </row>
    <row r="283" spans="1:25">
      <c r="A283" s="44" t="s">
        <v>475</v>
      </c>
      <c r="B283" s="19" t="s">
        <v>416</v>
      </c>
      <c r="C283" s="49">
        <v>2034</v>
      </c>
      <c r="D283" s="46">
        <v>0</v>
      </c>
      <c r="E283" s="47">
        <v>89.180108947566808</v>
      </c>
      <c r="F283" s="47">
        <v>0</v>
      </c>
      <c r="G283" s="48">
        <v>0</v>
      </c>
      <c r="H283" s="57">
        <f t="shared" si="19"/>
        <v>52.000753576878218</v>
      </c>
      <c r="I283" s="119"/>
      <c r="J283" s="119"/>
      <c r="K283" s="119"/>
      <c r="L283" s="119"/>
      <c r="M283" s="119"/>
      <c r="N283" s="119"/>
      <c r="O283" s="119"/>
      <c r="P283" s="119"/>
      <c r="Q283" s="44" t="s">
        <v>475</v>
      </c>
      <c r="R283" s="19" t="s">
        <v>416</v>
      </c>
      <c r="S283" s="49">
        <v>2034</v>
      </c>
      <c r="T283" s="46">
        <v>0</v>
      </c>
      <c r="U283" s="47">
        <v>89.180108947566808</v>
      </c>
      <c r="V283" s="47">
        <v>0</v>
      </c>
      <c r="W283" s="48">
        <v>0</v>
      </c>
      <c r="X283" s="57">
        <f t="shared" si="18"/>
        <v>89.180108947566808</v>
      </c>
      <c r="Y283" s="119"/>
    </row>
    <row r="284" spans="1:25">
      <c r="A284" s="44" t="s">
        <v>475</v>
      </c>
      <c r="B284" s="19" t="s">
        <v>416</v>
      </c>
      <c r="C284" s="49">
        <v>2035</v>
      </c>
      <c r="D284" s="46">
        <v>0</v>
      </c>
      <c r="E284" s="47">
        <v>117.91746098083969</v>
      </c>
      <c r="F284" s="47">
        <v>0</v>
      </c>
      <c r="G284" s="48">
        <v>0</v>
      </c>
      <c r="H284" s="57">
        <f t="shared" si="19"/>
        <v>64.274315893633485</v>
      </c>
      <c r="I284" s="119"/>
      <c r="J284" s="119"/>
      <c r="K284" s="119"/>
      <c r="L284" s="119"/>
      <c r="M284" s="119"/>
      <c r="N284" s="119"/>
      <c r="O284" s="119"/>
      <c r="P284" s="119"/>
      <c r="Q284" s="44" t="s">
        <v>475</v>
      </c>
      <c r="R284" s="19" t="s">
        <v>416</v>
      </c>
      <c r="S284" s="49">
        <v>2035</v>
      </c>
      <c r="T284" s="46">
        <v>0</v>
      </c>
      <c r="U284" s="47">
        <v>208.88117210735783</v>
      </c>
      <c r="V284" s="47">
        <v>0</v>
      </c>
      <c r="W284" s="48">
        <v>0</v>
      </c>
      <c r="X284" s="57">
        <f t="shared" si="18"/>
        <v>208.88117210735783</v>
      </c>
      <c r="Y284" s="119">
        <f>NPV($Y$10,X275:X284)/((1-(1+$Y$10)^-10)/$Y$10)</f>
        <v>22.049160888902495</v>
      </c>
    </row>
    <row r="285" spans="1:25">
      <c r="A285" s="44"/>
      <c r="B285" s="19" t="s">
        <v>401</v>
      </c>
      <c r="C285" s="49"/>
      <c r="D285" s="46" t="s">
        <v>401</v>
      </c>
      <c r="E285" s="47" t="s">
        <v>401</v>
      </c>
      <c r="F285" s="47" t="s">
        <v>401</v>
      </c>
      <c r="G285" s="48" t="s">
        <v>401</v>
      </c>
      <c r="H285" s="57">
        <f t="shared" si="19"/>
        <v>0</v>
      </c>
      <c r="I285" s="119"/>
      <c r="J285" s="119"/>
      <c r="K285" s="119"/>
      <c r="L285" s="119"/>
      <c r="M285" s="119"/>
      <c r="N285" s="119"/>
      <c r="O285" s="119"/>
      <c r="P285" s="119"/>
      <c r="Q285" s="44"/>
      <c r="R285" s="19" t="s">
        <v>401</v>
      </c>
      <c r="S285" s="49"/>
      <c r="T285" s="46"/>
      <c r="U285" s="47"/>
      <c r="V285" s="47"/>
      <c r="W285" s="48"/>
      <c r="X285" s="57">
        <f t="shared" si="18"/>
        <v>0</v>
      </c>
      <c r="Y285" s="119"/>
    </row>
    <row r="286" spans="1:25">
      <c r="A286" s="44" t="s">
        <v>475</v>
      </c>
      <c r="B286" s="19" t="s">
        <v>417</v>
      </c>
      <c r="C286" s="49">
        <v>2026</v>
      </c>
      <c r="D286" s="46">
        <v>0</v>
      </c>
      <c r="E286" s="47">
        <v>0</v>
      </c>
      <c r="F286" s="47">
        <v>0</v>
      </c>
      <c r="G286" s="48">
        <v>0</v>
      </c>
      <c r="H286" s="57">
        <f t="shared" si="19"/>
        <v>0</v>
      </c>
      <c r="I286" s="119"/>
      <c r="J286" s="119"/>
      <c r="K286" s="119"/>
      <c r="L286" s="119"/>
      <c r="M286" s="119"/>
      <c r="N286" s="119"/>
      <c r="O286" s="119"/>
      <c r="P286" s="119"/>
      <c r="Q286" s="44" t="s">
        <v>475</v>
      </c>
      <c r="R286" s="19" t="s">
        <v>417</v>
      </c>
      <c r="S286" s="49">
        <v>2026</v>
      </c>
      <c r="T286" s="46">
        <v>0</v>
      </c>
      <c r="U286" s="47">
        <v>0</v>
      </c>
      <c r="V286" s="47">
        <v>0</v>
      </c>
      <c r="W286" s="48">
        <v>0</v>
      </c>
      <c r="X286" s="57">
        <f t="shared" si="18"/>
        <v>0</v>
      </c>
      <c r="Y286" s="119"/>
    </row>
    <row r="287" spans="1:25">
      <c r="A287" s="44" t="s">
        <v>475</v>
      </c>
      <c r="B287" s="19" t="s">
        <v>417</v>
      </c>
      <c r="C287" s="49">
        <v>2027</v>
      </c>
      <c r="D287" s="46">
        <v>0</v>
      </c>
      <c r="E287" s="47">
        <v>0</v>
      </c>
      <c r="F287" s="47">
        <v>0</v>
      </c>
      <c r="G287" s="48">
        <v>0</v>
      </c>
      <c r="H287" s="57">
        <f t="shared" si="19"/>
        <v>0</v>
      </c>
      <c r="I287" s="119"/>
      <c r="J287" s="119"/>
      <c r="K287" s="119"/>
      <c r="L287" s="119"/>
      <c r="M287" s="119"/>
      <c r="N287" s="119"/>
      <c r="O287" s="119"/>
      <c r="P287" s="119"/>
      <c r="Q287" s="44" t="s">
        <v>475</v>
      </c>
      <c r="R287" s="19" t="s">
        <v>417</v>
      </c>
      <c r="S287" s="49">
        <v>2027</v>
      </c>
      <c r="T287" s="46">
        <v>0</v>
      </c>
      <c r="U287" s="47">
        <v>0</v>
      </c>
      <c r="V287" s="47">
        <v>0</v>
      </c>
      <c r="W287" s="48">
        <v>0</v>
      </c>
      <c r="X287" s="57">
        <f t="shared" si="18"/>
        <v>0</v>
      </c>
      <c r="Y287" s="119"/>
    </row>
    <row r="288" spans="1:25">
      <c r="A288" s="44" t="s">
        <v>475</v>
      </c>
      <c r="B288" s="19" t="s">
        <v>417</v>
      </c>
      <c r="C288" s="49">
        <v>2028</v>
      </c>
      <c r="D288" s="46">
        <v>0</v>
      </c>
      <c r="E288" s="47">
        <v>0</v>
      </c>
      <c r="F288" s="47">
        <v>0</v>
      </c>
      <c r="G288" s="48">
        <v>0</v>
      </c>
      <c r="H288" s="57">
        <f t="shared" si="19"/>
        <v>0</v>
      </c>
      <c r="I288" s="119"/>
      <c r="J288" s="119"/>
      <c r="K288" s="119"/>
      <c r="L288" s="119"/>
      <c r="M288" s="119"/>
      <c r="N288" s="119"/>
      <c r="O288" s="119"/>
      <c r="P288" s="119"/>
      <c r="Q288" s="44" t="s">
        <v>475</v>
      </c>
      <c r="R288" s="19" t="s">
        <v>417</v>
      </c>
      <c r="S288" s="49">
        <v>2028</v>
      </c>
      <c r="T288" s="46">
        <v>0</v>
      </c>
      <c r="U288" s="47">
        <v>0</v>
      </c>
      <c r="V288" s="47">
        <v>0</v>
      </c>
      <c r="W288" s="48">
        <v>0</v>
      </c>
      <c r="X288" s="57">
        <f t="shared" si="18"/>
        <v>0</v>
      </c>
      <c r="Y288" s="119"/>
    </row>
    <row r="289" spans="1:25">
      <c r="A289" s="44" t="s">
        <v>475</v>
      </c>
      <c r="B289" s="19" t="s">
        <v>417</v>
      </c>
      <c r="C289" s="49">
        <v>2029</v>
      </c>
      <c r="D289" s="46">
        <v>0</v>
      </c>
      <c r="E289" s="47">
        <v>0</v>
      </c>
      <c r="F289" s="47">
        <v>0</v>
      </c>
      <c r="G289" s="48">
        <v>0</v>
      </c>
      <c r="H289" s="57">
        <f t="shared" si="19"/>
        <v>0</v>
      </c>
      <c r="I289" s="119"/>
      <c r="J289" s="119"/>
      <c r="K289" s="119"/>
      <c r="L289" s="119"/>
      <c r="M289" s="119"/>
      <c r="N289" s="119"/>
      <c r="O289" s="119"/>
      <c r="P289" s="119"/>
      <c r="Q289" s="44" t="s">
        <v>475</v>
      </c>
      <c r="R289" s="19" t="s">
        <v>417</v>
      </c>
      <c r="S289" s="49">
        <v>2029</v>
      </c>
      <c r="T289" s="46">
        <v>0</v>
      </c>
      <c r="U289" s="47">
        <v>0</v>
      </c>
      <c r="V289" s="47">
        <v>0</v>
      </c>
      <c r="W289" s="48">
        <v>0</v>
      </c>
      <c r="X289" s="57">
        <f t="shared" si="18"/>
        <v>0</v>
      </c>
      <c r="Y289" s="119"/>
    </row>
    <row r="290" spans="1:25">
      <c r="A290" s="44" t="s">
        <v>475</v>
      </c>
      <c r="B290" s="19" t="s">
        <v>417</v>
      </c>
      <c r="C290" s="49">
        <v>2030</v>
      </c>
      <c r="D290" s="46">
        <v>0</v>
      </c>
      <c r="E290" s="47">
        <v>0</v>
      </c>
      <c r="F290" s="47">
        <v>0</v>
      </c>
      <c r="G290" s="48">
        <v>0</v>
      </c>
      <c r="H290" s="57">
        <f t="shared" si="19"/>
        <v>0</v>
      </c>
      <c r="I290" s="119"/>
      <c r="J290" s="119"/>
      <c r="K290" s="119"/>
      <c r="L290" s="119"/>
      <c r="M290" s="119"/>
      <c r="N290" s="119"/>
      <c r="O290" s="119"/>
      <c r="P290" s="119"/>
      <c r="Q290" s="44" t="s">
        <v>475</v>
      </c>
      <c r="R290" s="19" t="s">
        <v>417</v>
      </c>
      <c r="S290" s="49">
        <v>2030</v>
      </c>
      <c r="T290" s="46">
        <v>0</v>
      </c>
      <c r="U290" s="47">
        <v>0</v>
      </c>
      <c r="V290" s="47">
        <v>0</v>
      </c>
      <c r="W290" s="48">
        <v>0</v>
      </c>
      <c r="X290" s="57">
        <f t="shared" si="18"/>
        <v>0</v>
      </c>
      <c r="Y290" s="119"/>
    </row>
    <row r="291" spans="1:25">
      <c r="A291" s="44" t="s">
        <v>475</v>
      </c>
      <c r="B291" s="19" t="s">
        <v>417</v>
      </c>
      <c r="C291" s="49">
        <v>2031</v>
      </c>
      <c r="D291" s="46">
        <v>0</v>
      </c>
      <c r="E291" s="47">
        <v>0</v>
      </c>
      <c r="F291" s="47">
        <v>0</v>
      </c>
      <c r="G291" s="48">
        <v>0</v>
      </c>
      <c r="H291" s="57">
        <f t="shared" si="19"/>
        <v>0</v>
      </c>
      <c r="I291" s="119"/>
      <c r="J291" s="119"/>
      <c r="K291" s="119"/>
      <c r="L291" s="119"/>
      <c r="M291" s="119"/>
      <c r="N291" s="119"/>
      <c r="O291" s="119"/>
      <c r="P291" s="119"/>
      <c r="Q291" s="44" t="s">
        <v>475</v>
      </c>
      <c r="R291" s="19" t="s">
        <v>417</v>
      </c>
      <c r="S291" s="49">
        <v>2031</v>
      </c>
      <c r="T291" s="46">
        <v>0</v>
      </c>
      <c r="U291" s="47">
        <v>0</v>
      </c>
      <c r="V291" s="47">
        <v>0</v>
      </c>
      <c r="W291" s="48">
        <v>0</v>
      </c>
      <c r="X291" s="57">
        <f t="shared" si="18"/>
        <v>0</v>
      </c>
      <c r="Y291" s="119"/>
    </row>
    <row r="292" spans="1:25">
      <c r="A292" s="44" t="s">
        <v>475</v>
      </c>
      <c r="B292" s="19" t="s">
        <v>417</v>
      </c>
      <c r="C292" s="49">
        <v>2032</v>
      </c>
      <c r="D292" s="46">
        <v>0</v>
      </c>
      <c r="E292" s="47">
        <v>0</v>
      </c>
      <c r="F292" s="47">
        <v>0</v>
      </c>
      <c r="G292" s="48">
        <v>0</v>
      </c>
      <c r="H292" s="57">
        <f t="shared" si="19"/>
        <v>0</v>
      </c>
      <c r="I292" s="119"/>
      <c r="J292" s="119"/>
      <c r="K292" s="119"/>
      <c r="L292" s="119"/>
      <c r="M292" s="119"/>
      <c r="N292" s="119"/>
      <c r="O292" s="119"/>
      <c r="P292" s="119"/>
      <c r="Q292" s="44" t="s">
        <v>475</v>
      </c>
      <c r="R292" s="19" t="s">
        <v>417</v>
      </c>
      <c r="S292" s="49">
        <v>2032</v>
      </c>
      <c r="T292" s="46">
        <v>0</v>
      </c>
      <c r="U292" s="47">
        <v>0</v>
      </c>
      <c r="V292" s="47">
        <v>0</v>
      </c>
      <c r="W292" s="48">
        <v>0</v>
      </c>
      <c r="X292" s="57">
        <f t="shared" si="18"/>
        <v>0</v>
      </c>
      <c r="Y292" s="119"/>
    </row>
    <row r="293" spans="1:25">
      <c r="A293" s="44" t="s">
        <v>475</v>
      </c>
      <c r="B293" s="19" t="s">
        <v>417</v>
      </c>
      <c r="C293" s="49">
        <v>2033</v>
      </c>
      <c r="D293" s="46">
        <v>0</v>
      </c>
      <c r="E293" s="47">
        <v>0</v>
      </c>
      <c r="F293" s="47">
        <v>0</v>
      </c>
      <c r="G293" s="48">
        <v>0</v>
      </c>
      <c r="H293" s="57">
        <f t="shared" si="19"/>
        <v>0</v>
      </c>
      <c r="I293" s="119"/>
      <c r="J293" s="119"/>
      <c r="K293" s="119"/>
      <c r="L293" s="119"/>
      <c r="M293" s="119"/>
      <c r="N293" s="119"/>
      <c r="O293" s="119"/>
      <c r="P293" s="119"/>
      <c r="Q293" s="44" t="s">
        <v>475</v>
      </c>
      <c r="R293" s="19" t="s">
        <v>417</v>
      </c>
      <c r="S293" s="49">
        <v>2033</v>
      </c>
      <c r="T293" s="46">
        <v>0</v>
      </c>
      <c r="U293" s="47">
        <v>0</v>
      </c>
      <c r="V293" s="47">
        <v>0</v>
      </c>
      <c r="W293" s="48">
        <v>0</v>
      </c>
      <c r="X293" s="57">
        <f t="shared" si="18"/>
        <v>0</v>
      </c>
      <c r="Y293" s="119"/>
    </row>
    <row r="294" spans="1:25">
      <c r="A294" s="44" t="s">
        <v>475</v>
      </c>
      <c r="B294" s="19" t="s">
        <v>417</v>
      </c>
      <c r="C294" s="49">
        <v>2034</v>
      </c>
      <c r="D294" s="46">
        <v>0</v>
      </c>
      <c r="E294" s="47">
        <v>61.311324901452174</v>
      </c>
      <c r="F294" s="47">
        <v>0</v>
      </c>
      <c r="G294" s="48">
        <v>0</v>
      </c>
      <c r="H294" s="57">
        <f t="shared" si="19"/>
        <v>35.750518084103767</v>
      </c>
      <c r="I294" s="119"/>
      <c r="J294" s="119"/>
      <c r="K294" s="119"/>
      <c r="L294" s="119"/>
      <c r="M294" s="119"/>
      <c r="N294" s="119"/>
      <c r="O294" s="119"/>
      <c r="P294" s="119"/>
      <c r="Q294" s="44" t="s">
        <v>475</v>
      </c>
      <c r="R294" s="19" t="s">
        <v>417</v>
      </c>
      <c r="S294" s="49">
        <v>2034</v>
      </c>
      <c r="T294" s="46">
        <v>0</v>
      </c>
      <c r="U294" s="47">
        <v>61.311324901452174</v>
      </c>
      <c r="V294" s="47">
        <v>0</v>
      </c>
      <c r="W294" s="48">
        <v>0</v>
      </c>
      <c r="X294" s="57">
        <f t="shared" si="18"/>
        <v>61.311324901452174</v>
      </c>
      <c r="Y294" s="119"/>
    </row>
    <row r="295" spans="1:25">
      <c r="A295" s="44" t="s">
        <v>475</v>
      </c>
      <c r="B295" s="19" t="s">
        <v>417</v>
      </c>
      <c r="C295" s="49">
        <v>2035</v>
      </c>
      <c r="D295" s="46">
        <v>0</v>
      </c>
      <c r="E295" s="47">
        <v>81.068254424327307</v>
      </c>
      <c r="F295" s="47">
        <v>0</v>
      </c>
      <c r="G295" s="48">
        <v>0</v>
      </c>
      <c r="H295" s="57">
        <f t="shared" si="19"/>
        <v>44.18859217687303</v>
      </c>
      <c r="I295" s="119"/>
      <c r="J295" s="119"/>
      <c r="K295" s="119"/>
      <c r="L295" s="119"/>
      <c r="M295" s="119"/>
      <c r="N295" s="119"/>
      <c r="O295" s="119"/>
      <c r="P295" s="119"/>
      <c r="Q295" s="44" t="s">
        <v>475</v>
      </c>
      <c r="R295" s="19" t="s">
        <v>417</v>
      </c>
      <c r="S295" s="49">
        <v>2035</v>
      </c>
      <c r="T295" s="46">
        <v>0</v>
      </c>
      <c r="U295" s="47">
        <v>143.60580582380851</v>
      </c>
      <c r="V295" s="47">
        <v>0</v>
      </c>
      <c r="W295" s="48">
        <v>0</v>
      </c>
      <c r="X295" s="57">
        <f t="shared" si="18"/>
        <v>143.60580582380851</v>
      </c>
      <c r="Y295" s="119">
        <f>NPV($Y$10,X286:X295)/((1-(1+$Y$10)^-10)/$Y$10)</f>
        <v>15.158798111120463</v>
      </c>
    </row>
    <row r="296" spans="1:25">
      <c r="A296" s="44"/>
      <c r="B296" s="19" t="s">
        <v>401</v>
      </c>
      <c r="C296" s="49"/>
      <c r="D296" s="42" t="s">
        <v>401</v>
      </c>
      <c r="E296" s="19" t="s">
        <v>401</v>
      </c>
      <c r="F296" s="19" t="s">
        <v>401</v>
      </c>
      <c r="G296" s="43" t="s">
        <v>401</v>
      </c>
      <c r="H296" s="57">
        <f t="shared" si="19"/>
        <v>0</v>
      </c>
      <c r="I296" s="119"/>
      <c r="J296" s="119"/>
      <c r="K296" s="119"/>
      <c r="L296" s="119"/>
      <c r="M296" s="119"/>
      <c r="N296" s="119"/>
      <c r="O296" s="119"/>
      <c r="P296" s="119"/>
      <c r="Q296" s="44"/>
      <c r="R296" s="19" t="s">
        <v>401</v>
      </c>
      <c r="S296" s="49"/>
      <c r="T296" s="42"/>
      <c r="U296" s="19"/>
      <c r="V296" s="19"/>
      <c r="W296" s="43"/>
      <c r="X296" s="57">
        <f t="shared" si="18"/>
        <v>0</v>
      </c>
      <c r="Y296" s="119"/>
    </row>
    <row r="297" spans="1:25">
      <c r="A297" s="44" t="s">
        <v>476</v>
      </c>
      <c r="B297" s="19" t="s">
        <v>418</v>
      </c>
      <c r="C297" s="49">
        <v>2026</v>
      </c>
      <c r="D297" s="46">
        <v>0</v>
      </c>
      <c r="E297" s="47">
        <v>0</v>
      </c>
      <c r="F297" s="47">
        <v>0</v>
      </c>
      <c r="G297" s="48">
        <v>0</v>
      </c>
      <c r="H297" s="57">
        <f t="shared" si="19"/>
        <v>0</v>
      </c>
      <c r="I297" s="119"/>
      <c r="J297" s="119"/>
      <c r="K297" s="119"/>
      <c r="L297" s="119"/>
      <c r="M297" s="119"/>
      <c r="N297" s="119"/>
      <c r="O297" s="119"/>
      <c r="P297" s="119"/>
      <c r="Q297" s="44" t="s">
        <v>476</v>
      </c>
      <c r="R297" s="19" t="s">
        <v>418</v>
      </c>
      <c r="S297" s="49">
        <v>2026</v>
      </c>
      <c r="T297" s="46">
        <v>0</v>
      </c>
      <c r="U297" s="47">
        <v>0</v>
      </c>
      <c r="V297" s="47">
        <v>0</v>
      </c>
      <c r="W297" s="48">
        <v>0</v>
      </c>
      <c r="X297" s="57">
        <f t="shared" si="18"/>
        <v>0</v>
      </c>
      <c r="Y297" s="119"/>
    </row>
    <row r="298" spans="1:25">
      <c r="A298" s="44" t="s">
        <v>476</v>
      </c>
      <c r="B298" s="19" t="s">
        <v>418</v>
      </c>
      <c r="C298" s="49">
        <v>2027</v>
      </c>
      <c r="D298" s="46">
        <v>0</v>
      </c>
      <c r="E298" s="47">
        <v>0</v>
      </c>
      <c r="F298" s="47">
        <v>0</v>
      </c>
      <c r="G298" s="48">
        <v>0</v>
      </c>
      <c r="H298" s="57">
        <f t="shared" si="19"/>
        <v>0</v>
      </c>
      <c r="I298" s="119"/>
      <c r="J298" s="119"/>
      <c r="K298" s="119"/>
      <c r="L298" s="119"/>
      <c r="M298" s="119"/>
      <c r="N298" s="119"/>
      <c r="O298" s="119"/>
      <c r="P298" s="119"/>
      <c r="Q298" s="44" t="s">
        <v>476</v>
      </c>
      <c r="R298" s="19" t="s">
        <v>418</v>
      </c>
      <c r="S298" s="49">
        <v>2027</v>
      </c>
      <c r="T298" s="46">
        <v>0</v>
      </c>
      <c r="U298" s="47">
        <v>0</v>
      </c>
      <c r="V298" s="47">
        <v>0</v>
      </c>
      <c r="W298" s="48">
        <v>0</v>
      </c>
      <c r="X298" s="57">
        <f t="shared" si="18"/>
        <v>0</v>
      </c>
      <c r="Y298" s="119"/>
    </row>
    <row r="299" spans="1:25">
      <c r="A299" s="44" t="s">
        <v>476</v>
      </c>
      <c r="B299" s="19" t="s">
        <v>418</v>
      </c>
      <c r="C299" s="49">
        <v>2028</v>
      </c>
      <c r="D299" s="46">
        <v>0</v>
      </c>
      <c r="E299" s="47">
        <v>0</v>
      </c>
      <c r="F299" s="47">
        <v>0</v>
      </c>
      <c r="G299" s="48">
        <v>0</v>
      </c>
      <c r="H299" s="57">
        <f t="shared" si="19"/>
        <v>0</v>
      </c>
      <c r="I299" s="119"/>
      <c r="J299" s="119"/>
      <c r="K299" s="119"/>
      <c r="L299" s="119"/>
      <c r="M299" s="119"/>
      <c r="N299" s="119"/>
      <c r="O299" s="119"/>
      <c r="P299" s="119"/>
      <c r="Q299" s="44" t="s">
        <v>476</v>
      </c>
      <c r="R299" s="19" t="s">
        <v>418</v>
      </c>
      <c r="S299" s="49">
        <v>2028</v>
      </c>
      <c r="T299" s="46">
        <v>0</v>
      </c>
      <c r="U299" s="47">
        <v>0</v>
      </c>
      <c r="V299" s="47">
        <v>0</v>
      </c>
      <c r="W299" s="48">
        <v>0</v>
      </c>
      <c r="X299" s="57">
        <f t="shared" si="18"/>
        <v>0</v>
      </c>
      <c r="Y299" s="119"/>
    </row>
    <row r="300" spans="1:25">
      <c r="A300" s="44" t="s">
        <v>476</v>
      </c>
      <c r="B300" s="19" t="s">
        <v>418</v>
      </c>
      <c r="C300" s="49">
        <v>2029</v>
      </c>
      <c r="D300" s="46">
        <v>0</v>
      </c>
      <c r="E300" s="47">
        <v>0</v>
      </c>
      <c r="F300" s="47">
        <v>0</v>
      </c>
      <c r="G300" s="48">
        <v>0</v>
      </c>
      <c r="H300" s="57">
        <f t="shared" si="19"/>
        <v>0</v>
      </c>
      <c r="I300" s="119"/>
      <c r="J300" s="119"/>
      <c r="K300" s="119"/>
      <c r="L300" s="119"/>
      <c r="M300" s="119"/>
      <c r="N300" s="119"/>
      <c r="O300" s="119"/>
      <c r="P300" s="119"/>
      <c r="Q300" s="44" t="s">
        <v>476</v>
      </c>
      <c r="R300" s="19" t="s">
        <v>418</v>
      </c>
      <c r="S300" s="49">
        <v>2029</v>
      </c>
      <c r="T300" s="46">
        <v>0</v>
      </c>
      <c r="U300" s="47">
        <v>0</v>
      </c>
      <c r="V300" s="47">
        <v>0</v>
      </c>
      <c r="W300" s="48">
        <v>0</v>
      </c>
      <c r="X300" s="57">
        <f t="shared" si="18"/>
        <v>0</v>
      </c>
      <c r="Y300" s="119"/>
    </row>
    <row r="301" spans="1:25">
      <c r="A301" s="44" t="s">
        <v>476</v>
      </c>
      <c r="B301" s="19" t="s">
        <v>418</v>
      </c>
      <c r="C301" s="49">
        <v>2030</v>
      </c>
      <c r="D301" s="46">
        <v>0</v>
      </c>
      <c r="E301" s="47">
        <v>0</v>
      </c>
      <c r="F301" s="47">
        <v>0</v>
      </c>
      <c r="G301" s="48">
        <v>57.338556489137055</v>
      </c>
      <c r="H301" s="57">
        <f t="shared" si="19"/>
        <v>43.784215700208975</v>
      </c>
      <c r="I301" s="119"/>
      <c r="J301" s="119"/>
      <c r="K301" s="119"/>
      <c r="L301" s="119"/>
      <c r="M301" s="119"/>
      <c r="N301" s="119"/>
      <c r="O301" s="119"/>
      <c r="P301" s="119"/>
      <c r="Q301" s="44" t="s">
        <v>476</v>
      </c>
      <c r="R301" s="19" t="s">
        <v>418</v>
      </c>
      <c r="S301" s="49">
        <v>2030</v>
      </c>
      <c r="T301" s="46">
        <v>0</v>
      </c>
      <c r="U301" s="47">
        <v>0</v>
      </c>
      <c r="V301" s="47">
        <v>0</v>
      </c>
      <c r="W301" s="48">
        <v>57.338556489137055</v>
      </c>
      <c r="X301" s="57">
        <f t="shared" si="18"/>
        <v>57.338556489137055</v>
      </c>
      <c r="Y301" s="119"/>
    </row>
    <row r="302" spans="1:25">
      <c r="A302" s="44" t="s">
        <v>476</v>
      </c>
      <c r="B302" s="19" t="s">
        <v>418</v>
      </c>
      <c r="C302" s="49">
        <v>2031</v>
      </c>
      <c r="D302" s="46">
        <v>0</v>
      </c>
      <c r="E302" s="47">
        <v>0</v>
      </c>
      <c r="F302" s="47">
        <v>0</v>
      </c>
      <c r="G302" s="48">
        <v>0</v>
      </c>
      <c r="H302" s="57">
        <f t="shared" si="19"/>
        <v>0</v>
      </c>
      <c r="I302" s="119"/>
      <c r="J302" s="119"/>
      <c r="K302" s="119"/>
      <c r="L302" s="119"/>
      <c r="M302" s="119"/>
      <c r="N302" s="119"/>
      <c r="O302" s="119"/>
      <c r="P302" s="119"/>
      <c r="Q302" s="44" t="s">
        <v>476</v>
      </c>
      <c r="R302" s="19" t="s">
        <v>418</v>
      </c>
      <c r="S302" s="49">
        <v>2031</v>
      </c>
      <c r="T302" s="46">
        <v>0</v>
      </c>
      <c r="U302" s="47">
        <v>0</v>
      </c>
      <c r="V302" s="47">
        <v>0</v>
      </c>
      <c r="W302" s="48">
        <v>58.485327618919797</v>
      </c>
      <c r="X302" s="57">
        <f t="shared" si="18"/>
        <v>58.485327618919797</v>
      </c>
      <c r="Y302" s="119"/>
    </row>
    <row r="303" spans="1:25">
      <c r="A303" s="44" t="s">
        <v>476</v>
      </c>
      <c r="B303" s="19" t="s">
        <v>418</v>
      </c>
      <c r="C303" s="49">
        <v>2032</v>
      </c>
      <c r="D303" s="46">
        <v>0</v>
      </c>
      <c r="E303" s="47">
        <v>0</v>
      </c>
      <c r="F303" s="47">
        <v>0</v>
      </c>
      <c r="G303" s="48">
        <v>0</v>
      </c>
      <c r="H303" s="57">
        <f t="shared" si="19"/>
        <v>0</v>
      </c>
      <c r="I303" s="119"/>
      <c r="J303" s="119"/>
      <c r="K303" s="119"/>
      <c r="L303" s="119"/>
      <c r="M303" s="119"/>
      <c r="N303" s="119"/>
      <c r="O303" s="119"/>
      <c r="P303" s="119"/>
      <c r="Q303" s="44" t="s">
        <v>476</v>
      </c>
      <c r="R303" s="19" t="s">
        <v>418</v>
      </c>
      <c r="S303" s="49">
        <v>2032</v>
      </c>
      <c r="T303" s="46">
        <v>0</v>
      </c>
      <c r="U303" s="47">
        <v>0</v>
      </c>
      <c r="V303" s="47">
        <v>0</v>
      </c>
      <c r="W303" s="48">
        <v>59.655034171298198</v>
      </c>
      <c r="X303" s="57">
        <f t="shared" si="18"/>
        <v>59.655034171298198</v>
      </c>
      <c r="Y303" s="119"/>
    </row>
    <row r="304" spans="1:25">
      <c r="A304" s="44" t="s">
        <v>476</v>
      </c>
      <c r="B304" s="19" t="s">
        <v>418</v>
      </c>
      <c r="C304" s="49">
        <v>2033</v>
      </c>
      <c r="D304" s="46">
        <v>0</v>
      </c>
      <c r="E304" s="47">
        <v>0</v>
      </c>
      <c r="F304" s="47">
        <v>0</v>
      </c>
      <c r="G304" s="48">
        <v>0</v>
      </c>
      <c r="H304" s="57">
        <f t="shared" si="19"/>
        <v>0</v>
      </c>
      <c r="I304" s="119"/>
      <c r="J304" s="119"/>
      <c r="K304" s="119"/>
      <c r="L304" s="119"/>
      <c r="M304" s="119"/>
      <c r="N304" s="119"/>
      <c r="O304" s="119"/>
      <c r="P304" s="119"/>
      <c r="Q304" s="44" t="s">
        <v>476</v>
      </c>
      <c r="R304" s="19" t="s">
        <v>418</v>
      </c>
      <c r="S304" s="49">
        <v>2033</v>
      </c>
      <c r="T304" s="46">
        <v>0</v>
      </c>
      <c r="U304" s="47">
        <v>0</v>
      </c>
      <c r="V304" s="47">
        <v>0</v>
      </c>
      <c r="W304" s="48">
        <v>60.848134854724165</v>
      </c>
      <c r="X304" s="57">
        <f t="shared" si="18"/>
        <v>60.848134854724165</v>
      </c>
      <c r="Y304" s="119"/>
    </row>
    <row r="305" spans="1:25">
      <c r="A305" s="44" t="s">
        <v>476</v>
      </c>
      <c r="B305" s="19" t="s">
        <v>418</v>
      </c>
      <c r="C305" s="49">
        <v>2034</v>
      </c>
      <c r="D305" s="46">
        <v>0</v>
      </c>
      <c r="E305" s="47">
        <v>0</v>
      </c>
      <c r="F305" s="47">
        <v>0</v>
      </c>
      <c r="G305" s="48">
        <v>0</v>
      </c>
      <c r="H305" s="57">
        <f t="shared" si="19"/>
        <v>0</v>
      </c>
      <c r="I305" s="119"/>
      <c r="J305" s="119"/>
      <c r="K305" s="119"/>
      <c r="L305" s="119"/>
      <c r="M305" s="119"/>
      <c r="N305" s="119"/>
      <c r="O305" s="119"/>
      <c r="P305" s="119"/>
      <c r="Q305" s="44" t="s">
        <v>476</v>
      </c>
      <c r="R305" s="19" t="s">
        <v>418</v>
      </c>
      <c r="S305" s="49">
        <v>2034</v>
      </c>
      <c r="T305" s="46">
        <v>0</v>
      </c>
      <c r="U305" s="47">
        <v>0</v>
      </c>
      <c r="V305" s="47">
        <v>0</v>
      </c>
      <c r="W305" s="48">
        <v>62.065097551818653</v>
      </c>
      <c r="X305" s="57">
        <f t="shared" si="18"/>
        <v>62.065097551818653</v>
      </c>
      <c r="Y305" s="119"/>
    </row>
    <row r="306" spans="1:25">
      <c r="A306" s="44" t="s">
        <v>476</v>
      </c>
      <c r="B306" s="19" t="s">
        <v>418</v>
      </c>
      <c r="C306" s="49">
        <v>2035</v>
      </c>
      <c r="D306" s="46">
        <v>0</v>
      </c>
      <c r="E306" s="47">
        <v>0</v>
      </c>
      <c r="F306" s="47">
        <v>0</v>
      </c>
      <c r="G306" s="48">
        <v>0</v>
      </c>
      <c r="H306" s="57">
        <f t="shared" si="19"/>
        <v>0</v>
      </c>
      <c r="I306" s="119"/>
      <c r="J306" s="119"/>
      <c r="K306" s="119"/>
      <c r="L306" s="119"/>
      <c r="M306" s="119"/>
      <c r="N306" s="119"/>
      <c r="O306" s="119"/>
      <c r="P306" s="119"/>
      <c r="Q306" s="44" t="s">
        <v>476</v>
      </c>
      <c r="R306" s="19" t="s">
        <v>418</v>
      </c>
      <c r="S306" s="49">
        <v>2035</v>
      </c>
      <c r="T306" s="46">
        <v>0</v>
      </c>
      <c r="U306" s="47">
        <v>0</v>
      </c>
      <c r="V306" s="47">
        <v>0</v>
      </c>
      <c r="W306" s="48">
        <v>63.306399502855029</v>
      </c>
      <c r="X306" s="57">
        <f t="shared" si="18"/>
        <v>63.306399502855029</v>
      </c>
      <c r="Y306" s="119">
        <f>NPV($Y$10,X297:X306)/((1-(1+$Y$10)^-10)/$Y$10)</f>
        <v>31.106841210674322</v>
      </c>
    </row>
    <row r="307" spans="1:25">
      <c r="A307" s="44"/>
      <c r="B307" s="19" t="s">
        <v>401</v>
      </c>
      <c r="C307" s="49"/>
      <c r="D307" s="46" t="s">
        <v>401</v>
      </c>
      <c r="E307" s="47" t="s">
        <v>401</v>
      </c>
      <c r="F307" s="47" t="s">
        <v>401</v>
      </c>
      <c r="G307" s="48" t="s">
        <v>401</v>
      </c>
      <c r="H307" s="57">
        <f t="shared" si="19"/>
        <v>0</v>
      </c>
      <c r="I307" s="119"/>
      <c r="J307" s="119"/>
      <c r="K307" s="119"/>
      <c r="L307" s="119"/>
      <c r="M307" s="119"/>
      <c r="N307" s="119"/>
      <c r="O307" s="119"/>
      <c r="P307" s="119"/>
      <c r="Q307" s="44"/>
      <c r="R307" s="19" t="s">
        <v>401</v>
      </c>
      <c r="S307" s="49"/>
      <c r="T307" s="46"/>
      <c r="U307" s="47"/>
      <c r="V307" s="47"/>
      <c r="W307" s="48"/>
      <c r="X307" s="57">
        <f t="shared" si="18"/>
        <v>0</v>
      </c>
      <c r="Y307" s="119"/>
    </row>
    <row r="308" spans="1:25">
      <c r="A308" s="44" t="s">
        <v>476</v>
      </c>
      <c r="B308" s="19" t="s">
        <v>419</v>
      </c>
      <c r="C308" s="49">
        <v>2026</v>
      </c>
      <c r="D308" s="46">
        <v>0</v>
      </c>
      <c r="E308" s="47">
        <v>0</v>
      </c>
      <c r="F308" s="47">
        <v>0</v>
      </c>
      <c r="G308" s="48">
        <v>0</v>
      </c>
      <c r="H308" s="57">
        <f t="shared" si="19"/>
        <v>0</v>
      </c>
      <c r="I308" s="119"/>
      <c r="J308" s="119"/>
      <c r="K308" s="119"/>
      <c r="L308" s="119"/>
      <c r="M308" s="119"/>
      <c r="N308" s="119"/>
      <c r="O308" s="119"/>
      <c r="P308" s="119"/>
      <c r="Q308" s="44" t="s">
        <v>476</v>
      </c>
      <c r="R308" s="19" t="s">
        <v>419</v>
      </c>
      <c r="S308" s="49">
        <v>2026</v>
      </c>
      <c r="T308" s="46">
        <v>0</v>
      </c>
      <c r="U308" s="47">
        <v>0</v>
      </c>
      <c r="V308" s="47">
        <v>0</v>
      </c>
      <c r="W308" s="48">
        <v>0</v>
      </c>
      <c r="X308" s="57">
        <f t="shared" si="18"/>
        <v>0</v>
      </c>
      <c r="Y308" s="119"/>
    </row>
    <row r="309" spans="1:25">
      <c r="A309" s="44" t="s">
        <v>476</v>
      </c>
      <c r="B309" s="19" t="s">
        <v>419</v>
      </c>
      <c r="C309" s="49">
        <v>2027</v>
      </c>
      <c r="D309" s="46">
        <v>0</v>
      </c>
      <c r="E309" s="47">
        <v>0</v>
      </c>
      <c r="F309" s="47">
        <v>0</v>
      </c>
      <c r="G309" s="48">
        <v>0</v>
      </c>
      <c r="H309" s="57">
        <f t="shared" si="19"/>
        <v>0</v>
      </c>
      <c r="I309" s="119"/>
      <c r="J309" s="119"/>
      <c r="K309" s="119"/>
      <c r="L309" s="119"/>
      <c r="M309" s="119"/>
      <c r="N309" s="119"/>
      <c r="O309" s="119"/>
      <c r="P309" s="119"/>
      <c r="Q309" s="44" t="s">
        <v>476</v>
      </c>
      <c r="R309" s="19" t="s">
        <v>419</v>
      </c>
      <c r="S309" s="49">
        <v>2027</v>
      </c>
      <c r="T309" s="46">
        <v>0</v>
      </c>
      <c r="U309" s="47">
        <v>0</v>
      </c>
      <c r="V309" s="47">
        <v>0</v>
      </c>
      <c r="W309" s="48">
        <v>0</v>
      </c>
      <c r="X309" s="57">
        <f t="shared" si="18"/>
        <v>0</v>
      </c>
      <c r="Y309" s="119"/>
    </row>
    <row r="310" spans="1:25">
      <c r="A310" s="44" t="s">
        <v>476</v>
      </c>
      <c r="B310" s="19" t="s">
        <v>419</v>
      </c>
      <c r="C310" s="49">
        <v>2028</v>
      </c>
      <c r="D310" s="46">
        <v>0</v>
      </c>
      <c r="E310" s="47">
        <v>0</v>
      </c>
      <c r="F310" s="47">
        <v>0</v>
      </c>
      <c r="G310" s="48">
        <v>0</v>
      </c>
      <c r="H310" s="57">
        <f t="shared" si="19"/>
        <v>0</v>
      </c>
      <c r="I310" s="119"/>
      <c r="J310" s="119"/>
      <c r="K310" s="119"/>
      <c r="L310" s="119"/>
      <c r="M310" s="119"/>
      <c r="N310" s="119"/>
      <c r="O310" s="119"/>
      <c r="P310" s="119"/>
      <c r="Q310" s="44" t="s">
        <v>476</v>
      </c>
      <c r="R310" s="19" t="s">
        <v>419</v>
      </c>
      <c r="S310" s="49">
        <v>2028</v>
      </c>
      <c r="T310" s="46">
        <v>0</v>
      </c>
      <c r="U310" s="47">
        <v>0</v>
      </c>
      <c r="V310" s="47">
        <v>0</v>
      </c>
      <c r="W310" s="48">
        <v>0</v>
      </c>
      <c r="X310" s="57">
        <f t="shared" si="18"/>
        <v>0</v>
      </c>
      <c r="Y310" s="119"/>
    </row>
    <row r="311" spans="1:25">
      <c r="A311" s="44" t="s">
        <v>476</v>
      </c>
      <c r="B311" s="19" t="s">
        <v>419</v>
      </c>
      <c r="C311" s="49">
        <v>2029</v>
      </c>
      <c r="D311" s="46">
        <v>0</v>
      </c>
      <c r="E311" s="47">
        <v>0</v>
      </c>
      <c r="F311" s="47">
        <v>0</v>
      </c>
      <c r="G311" s="48">
        <v>163.27021247073145</v>
      </c>
      <c r="H311" s="57">
        <f t="shared" si="19"/>
        <v>133.3705900174312</v>
      </c>
      <c r="I311" s="119"/>
      <c r="J311" s="119"/>
      <c r="K311" s="119"/>
      <c r="L311" s="119"/>
      <c r="M311" s="119"/>
      <c r="N311" s="119"/>
      <c r="O311" s="119"/>
      <c r="P311" s="119"/>
      <c r="Q311" s="44" t="s">
        <v>476</v>
      </c>
      <c r="R311" s="19" t="s">
        <v>419</v>
      </c>
      <c r="S311" s="49">
        <v>2029</v>
      </c>
      <c r="T311" s="46">
        <v>0</v>
      </c>
      <c r="U311" s="47">
        <v>0</v>
      </c>
      <c r="V311" s="47">
        <v>0</v>
      </c>
      <c r="W311" s="48">
        <v>163.27021247073145</v>
      </c>
      <c r="X311" s="57">
        <f t="shared" si="18"/>
        <v>163.27021247073145</v>
      </c>
      <c r="Y311" s="119"/>
    </row>
    <row r="312" spans="1:25">
      <c r="A312" s="44" t="s">
        <v>476</v>
      </c>
      <c r="B312" s="19" t="s">
        <v>419</v>
      </c>
      <c r="C312" s="49">
        <v>2030</v>
      </c>
      <c r="D312" s="46">
        <v>0</v>
      </c>
      <c r="E312" s="47">
        <v>0</v>
      </c>
      <c r="F312" s="47">
        <v>18.615381043499728</v>
      </c>
      <c r="G312" s="48">
        <v>225.34116577641419</v>
      </c>
      <c r="H312" s="57">
        <f t="shared" si="19"/>
        <v>186.28732080942549</v>
      </c>
      <c r="I312" s="119"/>
      <c r="J312" s="119"/>
      <c r="K312" s="119"/>
      <c r="L312" s="119"/>
      <c r="M312" s="119"/>
      <c r="N312" s="119"/>
      <c r="O312" s="119"/>
      <c r="P312" s="119"/>
      <c r="Q312" s="44" t="s">
        <v>476</v>
      </c>
      <c r="R312" s="19" t="s">
        <v>419</v>
      </c>
      <c r="S312" s="49">
        <v>2030</v>
      </c>
      <c r="T312" s="46">
        <v>0</v>
      </c>
      <c r="U312" s="47">
        <v>0</v>
      </c>
      <c r="V312" s="47">
        <v>18.615381043499728</v>
      </c>
      <c r="W312" s="48">
        <v>391.87678249656028</v>
      </c>
      <c r="X312" s="57">
        <f t="shared" si="18"/>
        <v>410.49216354006001</v>
      </c>
      <c r="Y312" s="119"/>
    </row>
    <row r="313" spans="1:25">
      <c r="A313" s="44" t="s">
        <v>476</v>
      </c>
      <c r="B313" s="19" t="s">
        <v>419</v>
      </c>
      <c r="C313" s="49">
        <v>2031</v>
      </c>
      <c r="D313" s="46">
        <v>0</v>
      </c>
      <c r="E313" s="47">
        <v>0</v>
      </c>
      <c r="F313" s="47">
        <v>252.58448782089135</v>
      </c>
      <c r="G313" s="48">
        <v>151.0317730441912</v>
      </c>
      <c r="H313" s="57">
        <f t="shared" si="19"/>
        <v>288.10923477867328</v>
      </c>
      <c r="I313" s="119"/>
      <c r="J313" s="119"/>
      <c r="K313" s="119"/>
      <c r="L313" s="119"/>
      <c r="M313" s="119"/>
      <c r="N313" s="119"/>
      <c r="O313" s="119"/>
      <c r="P313" s="119"/>
      <c r="Q313" s="44" t="s">
        <v>476</v>
      </c>
      <c r="R313" s="19" t="s">
        <v>419</v>
      </c>
      <c r="S313" s="49">
        <v>2031</v>
      </c>
      <c r="T313" s="46">
        <v>0</v>
      </c>
      <c r="U313" s="47">
        <v>0</v>
      </c>
      <c r="V313" s="47">
        <v>271.57217648526108</v>
      </c>
      <c r="W313" s="48">
        <v>550.74609119068271</v>
      </c>
      <c r="X313" s="57">
        <f t="shared" si="18"/>
        <v>822.31826767594384</v>
      </c>
      <c r="Y313" s="119"/>
    </row>
    <row r="314" spans="1:25">
      <c r="A314" s="44" t="s">
        <v>476</v>
      </c>
      <c r="B314" s="19" t="s">
        <v>419</v>
      </c>
      <c r="C314" s="49">
        <v>2032</v>
      </c>
      <c r="D314" s="46">
        <v>0</v>
      </c>
      <c r="E314" s="47">
        <v>0</v>
      </c>
      <c r="F314" s="47">
        <v>30.252985497156846</v>
      </c>
      <c r="G314" s="48">
        <v>71.632914249968579</v>
      </c>
      <c r="H314" s="57">
        <f t="shared" si="19"/>
        <v>67.986129017526082</v>
      </c>
      <c r="I314" s="119"/>
      <c r="J314" s="119"/>
      <c r="K314" s="119"/>
      <c r="L314" s="119"/>
      <c r="M314" s="119"/>
      <c r="N314" s="119"/>
      <c r="O314" s="119"/>
      <c r="P314" s="119"/>
      <c r="Q314" s="44" t="s">
        <v>476</v>
      </c>
      <c r="R314" s="19" t="s">
        <v>419</v>
      </c>
      <c r="S314" s="49">
        <v>2032</v>
      </c>
      <c r="T314" s="46">
        <v>0</v>
      </c>
      <c r="U314" s="47">
        <v>0</v>
      </c>
      <c r="V314" s="47">
        <v>307.25660551212314</v>
      </c>
      <c r="W314" s="48">
        <v>633.39392726446499</v>
      </c>
      <c r="X314" s="57">
        <f t="shared" si="18"/>
        <v>940.65053277658808</v>
      </c>
      <c r="Y314" s="119"/>
    </row>
    <row r="315" spans="1:25">
      <c r="A315" s="44" t="s">
        <v>476</v>
      </c>
      <c r="B315" s="19" t="s">
        <v>419</v>
      </c>
      <c r="C315" s="49">
        <v>2033</v>
      </c>
      <c r="D315" s="46">
        <v>0</v>
      </c>
      <c r="E315" s="47">
        <v>0</v>
      </c>
      <c r="F315" s="47">
        <v>0</v>
      </c>
      <c r="G315" s="48">
        <v>0</v>
      </c>
      <c r="H315" s="57">
        <f t="shared" si="19"/>
        <v>0</v>
      </c>
      <c r="I315" s="119"/>
      <c r="J315" s="119"/>
      <c r="K315" s="119"/>
      <c r="L315" s="119"/>
      <c r="M315" s="119"/>
      <c r="N315" s="119"/>
      <c r="O315" s="119"/>
      <c r="P315" s="119"/>
      <c r="Q315" s="44" t="s">
        <v>476</v>
      </c>
      <c r="R315" s="19" t="s">
        <v>419</v>
      </c>
      <c r="S315" s="49">
        <v>2033</v>
      </c>
      <c r="T315" s="46">
        <v>0</v>
      </c>
      <c r="U315" s="47">
        <v>0</v>
      </c>
      <c r="V315" s="47">
        <v>313.4017376223656</v>
      </c>
      <c r="W315" s="48">
        <v>646.06180580975433</v>
      </c>
      <c r="X315" s="57">
        <f t="shared" si="18"/>
        <v>959.46354343211988</v>
      </c>
      <c r="Y315" s="119"/>
    </row>
    <row r="316" spans="1:25">
      <c r="A316" s="44" t="s">
        <v>476</v>
      </c>
      <c r="B316" s="19" t="s">
        <v>419</v>
      </c>
      <c r="C316" s="49">
        <v>2034</v>
      </c>
      <c r="D316" s="46">
        <v>0</v>
      </c>
      <c r="E316" s="47">
        <v>0</v>
      </c>
      <c r="F316" s="47">
        <v>0</v>
      </c>
      <c r="G316" s="48">
        <v>0</v>
      </c>
      <c r="H316" s="57">
        <f t="shared" si="19"/>
        <v>0</v>
      </c>
      <c r="I316" s="119"/>
      <c r="J316" s="119"/>
      <c r="K316" s="119"/>
      <c r="L316" s="119"/>
      <c r="M316" s="119"/>
      <c r="N316" s="119"/>
      <c r="O316" s="119"/>
      <c r="P316" s="119"/>
      <c r="Q316" s="44" t="s">
        <v>476</v>
      </c>
      <c r="R316" s="19" t="s">
        <v>419</v>
      </c>
      <c r="S316" s="49">
        <v>2034</v>
      </c>
      <c r="T316" s="46">
        <v>0</v>
      </c>
      <c r="U316" s="47">
        <v>0</v>
      </c>
      <c r="V316" s="47">
        <v>319.66977237481291</v>
      </c>
      <c r="W316" s="48">
        <v>658.98304192594946</v>
      </c>
      <c r="X316" s="57">
        <f t="shared" si="18"/>
        <v>978.65281430076243</v>
      </c>
      <c r="Y316" s="119"/>
    </row>
    <row r="317" spans="1:25">
      <c r="A317" s="44" t="s">
        <v>476</v>
      </c>
      <c r="B317" s="19" t="s">
        <v>419</v>
      </c>
      <c r="C317" s="49">
        <v>2035</v>
      </c>
      <c r="D317" s="46">
        <v>0</v>
      </c>
      <c r="E317" s="47">
        <v>0</v>
      </c>
      <c r="F317" s="47">
        <v>0</v>
      </c>
      <c r="G317" s="48">
        <v>0</v>
      </c>
      <c r="H317" s="57">
        <f t="shared" si="19"/>
        <v>0</v>
      </c>
      <c r="I317" s="119"/>
      <c r="J317" s="119"/>
      <c r="K317" s="119"/>
      <c r="L317" s="119"/>
      <c r="M317" s="119"/>
      <c r="N317" s="119"/>
      <c r="O317" s="119"/>
      <c r="P317" s="119"/>
      <c r="Q317" s="44" t="s">
        <v>476</v>
      </c>
      <c r="R317" s="19" t="s">
        <v>419</v>
      </c>
      <c r="S317" s="49">
        <v>2035</v>
      </c>
      <c r="T317" s="46">
        <v>0</v>
      </c>
      <c r="U317" s="47">
        <v>0</v>
      </c>
      <c r="V317" s="47">
        <v>326.0631678223092</v>
      </c>
      <c r="W317" s="48">
        <v>672.16270276446846</v>
      </c>
      <c r="X317" s="57">
        <f t="shared" si="18"/>
        <v>998.22587058677766</v>
      </c>
      <c r="Y317" s="119">
        <f>NPV($Y$10,X308:X317)/((1-(1+$Y$10)^-10)/$Y$10)</f>
        <v>448.63851493461596</v>
      </c>
    </row>
    <row r="318" spans="1:25">
      <c r="A318" s="44"/>
      <c r="B318" s="19" t="s">
        <v>401</v>
      </c>
      <c r="C318" s="49"/>
      <c r="D318" s="42" t="s">
        <v>401</v>
      </c>
      <c r="E318" s="19" t="s">
        <v>401</v>
      </c>
      <c r="F318" s="19" t="s">
        <v>401</v>
      </c>
      <c r="G318" s="43" t="s">
        <v>401</v>
      </c>
      <c r="H318" s="57">
        <f t="shared" si="19"/>
        <v>0</v>
      </c>
      <c r="I318" s="119"/>
      <c r="J318" s="119"/>
      <c r="K318" s="119"/>
      <c r="L318" s="119"/>
      <c r="M318" s="119"/>
      <c r="N318" s="119"/>
      <c r="O318" s="119"/>
      <c r="P318" s="119"/>
      <c r="Q318" s="44"/>
      <c r="R318" s="19" t="s">
        <v>401</v>
      </c>
      <c r="S318" s="49"/>
      <c r="T318" s="42"/>
      <c r="U318" s="19"/>
      <c r="V318" s="19"/>
      <c r="W318" s="43"/>
      <c r="X318" s="57">
        <f t="shared" si="18"/>
        <v>0</v>
      </c>
      <c r="Y318" s="119"/>
    </row>
    <row r="319" spans="1:25">
      <c r="A319" s="44" t="s">
        <v>476</v>
      </c>
      <c r="B319" s="19" t="s">
        <v>420</v>
      </c>
      <c r="C319" s="49">
        <v>2026</v>
      </c>
      <c r="D319" s="46">
        <v>0</v>
      </c>
      <c r="E319" s="47">
        <v>0</v>
      </c>
      <c r="F319" s="47">
        <v>0</v>
      </c>
      <c r="G319" s="48">
        <v>0</v>
      </c>
      <c r="H319" s="57">
        <f t="shared" si="19"/>
        <v>0</v>
      </c>
      <c r="I319" s="119"/>
      <c r="J319" s="119"/>
      <c r="K319" s="119"/>
      <c r="L319" s="119"/>
      <c r="M319" s="119"/>
      <c r="N319" s="119"/>
      <c r="O319" s="119"/>
      <c r="P319" s="119"/>
      <c r="Q319" s="44" t="s">
        <v>476</v>
      </c>
      <c r="R319" s="19" t="s">
        <v>420</v>
      </c>
      <c r="S319" s="49">
        <v>2026</v>
      </c>
      <c r="T319" s="46">
        <v>0</v>
      </c>
      <c r="U319" s="47">
        <v>0</v>
      </c>
      <c r="V319" s="47">
        <v>0</v>
      </c>
      <c r="W319" s="48">
        <v>0</v>
      </c>
      <c r="X319" s="57">
        <f t="shared" si="18"/>
        <v>0</v>
      </c>
      <c r="Y319" s="119"/>
    </row>
    <row r="320" spans="1:25">
      <c r="A320" s="44" t="s">
        <v>476</v>
      </c>
      <c r="B320" s="19" t="s">
        <v>420</v>
      </c>
      <c r="C320" s="49">
        <v>2027</v>
      </c>
      <c r="D320" s="46">
        <v>0</v>
      </c>
      <c r="E320" s="47">
        <v>0</v>
      </c>
      <c r="F320" s="47">
        <v>0</v>
      </c>
      <c r="G320" s="48">
        <v>0</v>
      </c>
      <c r="H320" s="57">
        <f t="shared" si="19"/>
        <v>0</v>
      </c>
      <c r="I320" s="119"/>
      <c r="J320" s="119"/>
      <c r="K320" s="119"/>
      <c r="L320" s="119"/>
      <c r="M320" s="119"/>
      <c r="N320" s="119"/>
      <c r="O320" s="119"/>
      <c r="P320" s="119"/>
      <c r="Q320" s="44" t="s">
        <v>476</v>
      </c>
      <c r="R320" s="19" t="s">
        <v>420</v>
      </c>
      <c r="S320" s="49">
        <v>2027</v>
      </c>
      <c r="T320" s="46">
        <v>0</v>
      </c>
      <c r="U320" s="47">
        <v>0</v>
      </c>
      <c r="V320" s="47">
        <v>0</v>
      </c>
      <c r="W320" s="48">
        <v>0</v>
      </c>
      <c r="X320" s="57">
        <f t="shared" si="18"/>
        <v>0</v>
      </c>
      <c r="Y320" s="119"/>
    </row>
    <row r="321" spans="1:25">
      <c r="A321" s="44" t="s">
        <v>476</v>
      </c>
      <c r="B321" s="19" t="s">
        <v>420</v>
      </c>
      <c r="C321" s="49">
        <v>2028</v>
      </c>
      <c r="D321" s="46">
        <v>0</v>
      </c>
      <c r="E321" s="47">
        <v>0</v>
      </c>
      <c r="F321" s="47">
        <v>0</v>
      </c>
      <c r="G321" s="48">
        <v>0</v>
      </c>
      <c r="H321" s="57">
        <f t="shared" si="19"/>
        <v>0</v>
      </c>
      <c r="I321" s="119"/>
      <c r="J321" s="119"/>
      <c r="K321" s="119"/>
      <c r="L321" s="119"/>
      <c r="M321" s="119"/>
      <c r="N321" s="119"/>
      <c r="O321" s="119"/>
      <c r="P321" s="119"/>
      <c r="Q321" s="44" t="s">
        <v>476</v>
      </c>
      <c r="R321" s="19" t="s">
        <v>420</v>
      </c>
      <c r="S321" s="49">
        <v>2028</v>
      </c>
      <c r="T321" s="46">
        <v>0</v>
      </c>
      <c r="U321" s="47">
        <v>0</v>
      </c>
      <c r="V321" s="47">
        <v>0</v>
      </c>
      <c r="W321" s="48">
        <v>0</v>
      </c>
      <c r="X321" s="57">
        <f t="shared" si="18"/>
        <v>0</v>
      </c>
      <c r="Y321" s="119"/>
    </row>
    <row r="322" spans="1:25">
      <c r="A322" s="44" t="s">
        <v>476</v>
      </c>
      <c r="B322" s="19" t="s">
        <v>420</v>
      </c>
      <c r="C322" s="49">
        <v>2029</v>
      </c>
      <c r="D322" s="46">
        <v>0</v>
      </c>
      <c r="E322" s="47">
        <v>0</v>
      </c>
      <c r="F322" s="47">
        <v>0</v>
      </c>
      <c r="G322" s="48">
        <v>0</v>
      </c>
      <c r="H322" s="57">
        <f t="shared" si="19"/>
        <v>0</v>
      </c>
      <c r="I322" s="119"/>
      <c r="J322" s="119"/>
      <c r="K322" s="119"/>
      <c r="L322" s="119"/>
      <c r="M322" s="119"/>
      <c r="N322" s="119"/>
      <c r="O322" s="119"/>
      <c r="P322" s="119"/>
      <c r="Q322" s="44" t="s">
        <v>476</v>
      </c>
      <c r="R322" s="19" t="s">
        <v>420</v>
      </c>
      <c r="S322" s="49">
        <v>2029</v>
      </c>
      <c r="T322" s="46">
        <v>0</v>
      </c>
      <c r="U322" s="47">
        <v>0</v>
      </c>
      <c r="V322" s="47">
        <v>0</v>
      </c>
      <c r="W322" s="48">
        <v>0</v>
      </c>
      <c r="X322" s="57">
        <f t="shared" si="18"/>
        <v>0</v>
      </c>
      <c r="Y322" s="119"/>
    </row>
    <row r="323" spans="1:25">
      <c r="A323" s="44" t="s">
        <v>476</v>
      </c>
      <c r="B323" s="19" t="s">
        <v>420</v>
      </c>
      <c r="C323" s="49">
        <v>2030</v>
      </c>
      <c r="D323" s="46">
        <v>0</v>
      </c>
      <c r="E323" s="47">
        <v>0</v>
      </c>
      <c r="F323" s="47">
        <v>30.423982291460469</v>
      </c>
      <c r="G323" s="48">
        <v>0</v>
      </c>
      <c r="H323" s="57">
        <f t="shared" si="19"/>
        <v>23.232014976885779</v>
      </c>
      <c r="I323" s="119"/>
      <c r="J323" s="119"/>
      <c r="K323" s="119"/>
      <c r="L323" s="119"/>
      <c r="M323" s="119"/>
      <c r="N323" s="119"/>
      <c r="O323" s="119"/>
      <c r="P323" s="119"/>
      <c r="Q323" s="44" t="s">
        <v>476</v>
      </c>
      <c r="R323" s="19" t="s">
        <v>420</v>
      </c>
      <c r="S323" s="49">
        <v>2030</v>
      </c>
      <c r="T323" s="46">
        <v>0</v>
      </c>
      <c r="U323" s="47">
        <v>0</v>
      </c>
      <c r="V323" s="47">
        <v>30.423982291460469</v>
      </c>
      <c r="W323" s="48">
        <v>0</v>
      </c>
      <c r="X323" s="57">
        <f t="shared" si="18"/>
        <v>30.423982291460469</v>
      </c>
      <c r="Y323" s="119"/>
    </row>
    <row r="324" spans="1:25">
      <c r="A324" s="44" t="s">
        <v>476</v>
      </c>
      <c r="B324" s="19" t="s">
        <v>420</v>
      </c>
      <c r="C324" s="49">
        <v>2031</v>
      </c>
      <c r="D324" s="46">
        <v>0</v>
      </c>
      <c r="E324" s="47">
        <v>0</v>
      </c>
      <c r="F324" s="47">
        <v>0</v>
      </c>
      <c r="G324" s="48">
        <v>0</v>
      </c>
      <c r="H324" s="57">
        <f t="shared" si="19"/>
        <v>0</v>
      </c>
      <c r="I324" s="119"/>
      <c r="J324" s="119"/>
      <c r="K324" s="119"/>
      <c r="L324" s="119"/>
      <c r="M324" s="119"/>
      <c r="N324" s="119"/>
      <c r="O324" s="119"/>
      <c r="P324" s="119"/>
      <c r="Q324" s="44" t="s">
        <v>476</v>
      </c>
      <c r="R324" s="19" t="s">
        <v>420</v>
      </c>
      <c r="S324" s="49">
        <v>2031</v>
      </c>
      <c r="T324" s="46">
        <v>0</v>
      </c>
      <c r="U324" s="47">
        <v>0</v>
      </c>
      <c r="V324" s="47">
        <v>31.032461937289678</v>
      </c>
      <c r="W324" s="48">
        <v>0</v>
      </c>
      <c r="X324" s="57">
        <f t="shared" si="18"/>
        <v>31.032461937289678</v>
      </c>
      <c r="Y324" s="119"/>
    </row>
    <row r="325" spans="1:25">
      <c r="A325" s="44" t="s">
        <v>476</v>
      </c>
      <c r="B325" s="19" t="s">
        <v>420</v>
      </c>
      <c r="C325" s="49">
        <v>2032</v>
      </c>
      <c r="D325" s="46">
        <v>0</v>
      </c>
      <c r="E325" s="47">
        <v>0</v>
      </c>
      <c r="F325" s="47">
        <v>0</v>
      </c>
      <c r="G325" s="48">
        <v>0</v>
      </c>
      <c r="H325" s="57">
        <f t="shared" si="19"/>
        <v>0</v>
      </c>
      <c r="I325" s="119"/>
      <c r="J325" s="119"/>
      <c r="K325" s="119"/>
      <c r="L325" s="119"/>
      <c r="M325" s="119"/>
      <c r="N325" s="119"/>
      <c r="O325" s="119"/>
      <c r="P325" s="119"/>
      <c r="Q325" s="44" t="s">
        <v>476</v>
      </c>
      <c r="R325" s="19" t="s">
        <v>420</v>
      </c>
      <c r="S325" s="49">
        <v>2032</v>
      </c>
      <c r="T325" s="46">
        <v>0</v>
      </c>
      <c r="U325" s="47">
        <v>0</v>
      </c>
      <c r="V325" s="47">
        <v>31.653111176035473</v>
      </c>
      <c r="W325" s="48">
        <v>0</v>
      </c>
      <c r="X325" s="57">
        <f t="shared" si="18"/>
        <v>31.653111176035473</v>
      </c>
      <c r="Y325" s="119"/>
    </row>
    <row r="326" spans="1:25">
      <c r="A326" s="44" t="s">
        <v>476</v>
      </c>
      <c r="B326" s="19" t="s">
        <v>420</v>
      </c>
      <c r="C326" s="49">
        <v>2033</v>
      </c>
      <c r="D326" s="46">
        <v>0</v>
      </c>
      <c r="E326" s="47">
        <v>0</v>
      </c>
      <c r="F326" s="47">
        <v>0</v>
      </c>
      <c r="G326" s="48">
        <v>0</v>
      </c>
      <c r="H326" s="57">
        <f t="shared" si="19"/>
        <v>0</v>
      </c>
      <c r="I326" s="119"/>
      <c r="J326" s="119"/>
      <c r="K326" s="119"/>
      <c r="L326" s="119"/>
      <c r="M326" s="119"/>
      <c r="N326" s="119"/>
      <c r="O326" s="119"/>
      <c r="P326" s="119"/>
      <c r="Q326" s="44" t="s">
        <v>476</v>
      </c>
      <c r="R326" s="19" t="s">
        <v>420</v>
      </c>
      <c r="S326" s="49">
        <v>2033</v>
      </c>
      <c r="T326" s="46">
        <v>0</v>
      </c>
      <c r="U326" s="47">
        <v>0</v>
      </c>
      <c r="V326" s="47">
        <v>32.286173399556183</v>
      </c>
      <c r="W326" s="48">
        <v>0</v>
      </c>
      <c r="X326" s="57">
        <f t="shared" si="18"/>
        <v>32.286173399556183</v>
      </c>
      <c r="Y326" s="119"/>
    </row>
    <row r="327" spans="1:25">
      <c r="A327" s="44" t="s">
        <v>476</v>
      </c>
      <c r="B327" s="19" t="s">
        <v>420</v>
      </c>
      <c r="C327" s="49">
        <v>2034</v>
      </c>
      <c r="D327" s="46">
        <v>0</v>
      </c>
      <c r="E327" s="47">
        <v>0</v>
      </c>
      <c r="F327" s="47">
        <v>0</v>
      </c>
      <c r="G327" s="48">
        <v>0</v>
      </c>
      <c r="H327" s="57">
        <f t="shared" si="19"/>
        <v>0</v>
      </c>
      <c r="I327" s="119"/>
      <c r="J327" s="119"/>
      <c r="K327" s="119"/>
      <c r="L327" s="119"/>
      <c r="M327" s="119"/>
      <c r="N327" s="119"/>
      <c r="O327" s="119"/>
      <c r="P327" s="119"/>
      <c r="Q327" s="44" t="s">
        <v>476</v>
      </c>
      <c r="R327" s="19" t="s">
        <v>420</v>
      </c>
      <c r="S327" s="49">
        <v>2034</v>
      </c>
      <c r="T327" s="46">
        <v>0</v>
      </c>
      <c r="U327" s="47">
        <v>0</v>
      </c>
      <c r="V327" s="47">
        <v>32.931896867547309</v>
      </c>
      <c r="W327" s="48">
        <v>0</v>
      </c>
      <c r="X327" s="57">
        <f t="shared" si="18"/>
        <v>32.931896867547309</v>
      </c>
      <c r="Y327" s="119"/>
    </row>
    <row r="328" spans="1:25">
      <c r="A328" s="44" t="s">
        <v>476</v>
      </c>
      <c r="B328" s="19" t="s">
        <v>420</v>
      </c>
      <c r="C328" s="49">
        <v>2035</v>
      </c>
      <c r="D328" s="46">
        <v>0</v>
      </c>
      <c r="E328" s="47">
        <v>0</v>
      </c>
      <c r="F328" s="47">
        <v>0</v>
      </c>
      <c r="G328" s="48">
        <v>0</v>
      </c>
      <c r="H328" s="57">
        <f t="shared" si="19"/>
        <v>0</v>
      </c>
      <c r="I328" s="119"/>
      <c r="J328" s="119"/>
      <c r="K328" s="119"/>
      <c r="L328" s="119"/>
      <c r="M328" s="119"/>
      <c r="N328" s="119"/>
      <c r="O328" s="119"/>
      <c r="P328" s="119"/>
      <c r="Q328" s="44" t="s">
        <v>476</v>
      </c>
      <c r="R328" s="19" t="s">
        <v>420</v>
      </c>
      <c r="S328" s="49">
        <v>2035</v>
      </c>
      <c r="T328" s="46">
        <v>0</v>
      </c>
      <c r="U328" s="47">
        <v>0</v>
      </c>
      <c r="V328" s="47">
        <v>33.590534804898255</v>
      </c>
      <c r="W328" s="48">
        <v>0</v>
      </c>
      <c r="X328" s="57">
        <f t="shared" si="18"/>
        <v>33.590534804898255</v>
      </c>
      <c r="Y328" s="119">
        <f>NPV($Y$10,X319:X328)/((1-(1+$Y$10)^-10)/$Y$10)</f>
        <v>16.505368186520794</v>
      </c>
    </row>
    <row r="329" spans="1:25">
      <c r="A329" s="44"/>
      <c r="B329" s="19" t="s">
        <v>401</v>
      </c>
      <c r="C329" s="49"/>
      <c r="D329" s="46" t="s">
        <v>401</v>
      </c>
      <c r="E329" s="47" t="s">
        <v>401</v>
      </c>
      <c r="F329" s="47" t="s">
        <v>401</v>
      </c>
      <c r="G329" s="48" t="s">
        <v>401</v>
      </c>
      <c r="H329" s="57">
        <f t="shared" si="19"/>
        <v>0</v>
      </c>
      <c r="I329" s="119"/>
      <c r="J329" s="119"/>
      <c r="K329" s="119"/>
      <c r="L329" s="119"/>
      <c r="M329" s="119"/>
      <c r="N329" s="119"/>
      <c r="O329" s="119"/>
      <c r="P329" s="119"/>
      <c r="Q329" s="44"/>
      <c r="R329" s="19" t="s">
        <v>401</v>
      </c>
      <c r="S329" s="49"/>
      <c r="T329" s="46"/>
      <c r="U329" s="47"/>
      <c r="V329" s="47"/>
      <c r="W329" s="48"/>
      <c r="X329" s="57">
        <f t="shared" si="18"/>
        <v>0</v>
      </c>
      <c r="Y329" s="119"/>
    </row>
    <row r="330" spans="1:25">
      <c r="A330" s="44" t="s">
        <v>476</v>
      </c>
      <c r="B330" s="19" t="s">
        <v>421</v>
      </c>
      <c r="C330" s="49">
        <v>2026</v>
      </c>
      <c r="D330" s="46">
        <v>0</v>
      </c>
      <c r="E330" s="47">
        <v>0</v>
      </c>
      <c r="F330" s="47">
        <v>0</v>
      </c>
      <c r="G330" s="48">
        <v>0</v>
      </c>
      <c r="H330" s="57">
        <f t="shared" si="19"/>
        <v>0</v>
      </c>
      <c r="I330" s="119"/>
      <c r="J330" s="119"/>
      <c r="K330" s="119"/>
      <c r="L330" s="119"/>
      <c r="M330" s="119"/>
      <c r="N330" s="119"/>
      <c r="O330" s="119"/>
      <c r="P330" s="119"/>
      <c r="Q330" s="44" t="s">
        <v>476</v>
      </c>
      <c r="R330" s="19" t="s">
        <v>421</v>
      </c>
      <c r="S330" s="49">
        <v>2026</v>
      </c>
      <c r="T330" s="46">
        <v>0</v>
      </c>
      <c r="U330" s="47">
        <v>0</v>
      </c>
      <c r="V330" s="47">
        <v>0</v>
      </c>
      <c r="W330" s="48">
        <v>0</v>
      </c>
      <c r="X330" s="57">
        <f t="shared" si="18"/>
        <v>0</v>
      </c>
      <c r="Y330" s="119"/>
    </row>
    <row r="331" spans="1:25">
      <c r="A331" s="44" t="s">
        <v>476</v>
      </c>
      <c r="B331" s="19" t="s">
        <v>421</v>
      </c>
      <c r="C331" s="49">
        <v>2027</v>
      </c>
      <c r="D331" s="46">
        <v>0</v>
      </c>
      <c r="E331" s="47">
        <v>0</v>
      </c>
      <c r="F331" s="47">
        <v>0</v>
      </c>
      <c r="G331" s="48">
        <v>0</v>
      </c>
      <c r="H331" s="57">
        <f t="shared" si="19"/>
        <v>0</v>
      </c>
      <c r="I331" s="119"/>
      <c r="J331" s="119"/>
      <c r="K331" s="119"/>
      <c r="L331" s="119"/>
      <c r="M331" s="119"/>
      <c r="N331" s="119"/>
      <c r="O331" s="119"/>
      <c r="P331" s="119"/>
      <c r="Q331" s="44" t="s">
        <v>476</v>
      </c>
      <c r="R331" s="19" t="s">
        <v>421</v>
      </c>
      <c r="S331" s="49">
        <v>2027</v>
      </c>
      <c r="T331" s="46">
        <v>0</v>
      </c>
      <c r="U331" s="47">
        <v>0</v>
      </c>
      <c r="V331" s="47">
        <v>0</v>
      </c>
      <c r="W331" s="48">
        <v>0</v>
      </c>
      <c r="X331" s="57">
        <f t="shared" si="18"/>
        <v>0</v>
      </c>
      <c r="Y331" s="119"/>
    </row>
    <row r="332" spans="1:25">
      <c r="A332" s="44" t="s">
        <v>476</v>
      </c>
      <c r="B332" s="19" t="s">
        <v>421</v>
      </c>
      <c r="C332" s="49">
        <v>2028</v>
      </c>
      <c r="D332" s="46">
        <v>0</v>
      </c>
      <c r="E332" s="47">
        <v>0</v>
      </c>
      <c r="F332" s="47">
        <v>0</v>
      </c>
      <c r="G332" s="48">
        <v>0</v>
      </c>
      <c r="H332" s="57">
        <f t="shared" si="19"/>
        <v>0</v>
      </c>
      <c r="I332" s="119"/>
      <c r="J332" s="119"/>
      <c r="K332" s="119"/>
      <c r="L332" s="119"/>
      <c r="M332" s="119"/>
      <c r="N332" s="119"/>
      <c r="O332" s="119"/>
      <c r="P332" s="119"/>
      <c r="Q332" s="44" t="s">
        <v>476</v>
      </c>
      <c r="R332" s="19" t="s">
        <v>421</v>
      </c>
      <c r="S332" s="49">
        <v>2028</v>
      </c>
      <c r="T332" s="46">
        <v>0</v>
      </c>
      <c r="U332" s="47">
        <v>0</v>
      </c>
      <c r="V332" s="47">
        <v>0</v>
      </c>
      <c r="W332" s="48">
        <v>0</v>
      </c>
      <c r="X332" s="57">
        <f t="shared" ref="X332:X395" si="20">SUM(T332:W332)</f>
        <v>0</v>
      </c>
      <c r="Y332" s="119"/>
    </row>
    <row r="333" spans="1:25">
      <c r="A333" s="44" t="s">
        <v>476</v>
      </c>
      <c r="B333" s="19" t="s">
        <v>421</v>
      </c>
      <c r="C333" s="49">
        <v>2029</v>
      </c>
      <c r="D333" s="46">
        <v>0</v>
      </c>
      <c r="E333" s="47">
        <v>0</v>
      </c>
      <c r="F333" s="47">
        <v>0</v>
      </c>
      <c r="G333" s="48">
        <v>0</v>
      </c>
      <c r="H333" s="57">
        <f t="shared" ref="H333:H396" si="21">SUM(D333:G333)/((1+$L$7)^(C333-C$11))</f>
        <v>0</v>
      </c>
      <c r="I333" s="119"/>
      <c r="J333" s="119"/>
      <c r="K333" s="119"/>
      <c r="L333" s="119"/>
      <c r="M333" s="119"/>
      <c r="N333" s="119"/>
      <c r="O333" s="119"/>
      <c r="P333" s="119"/>
      <c r="Q333" s="44" t="s">
        <v>476</v>
      </c>
      <c r="R333" s="19" t="s">
        <v>421</v>
      </c>
      <c r="S333" s="49">
        <v>2029</v>
      </c>
      <c r="T333" s="46">
        <v>0</v>
      </c>
      <c r="U333" s="47">
        <v>0</v>
      </c>
      <c r="V333" s="47">
        <v>0</v>
      </c>
      <c r="W333" s="48">
        <v>0</v>
      </c>
      <c r="X333" s="57">
        <f t="shared" si="20"/>
        <v>0</v>
      </c>
      <c r="Y333" s="119"/>
    </row>
    <row r="334" spans="1:25">
      <c r="A334" s="44" t="s">
        <v>476</v>
      </c>
      <c r="B334" s="19" t="s">
        <v>421</v>
      </c>
      <c r="C334" s="49">
        <v>2030</v>
      </c>
      <c r="D334" s="46">
        <v>0</v>
      </c>
      <c r="E334" s="47">
        <v>0</v>
      </c>
      <c r="F334" s="47">
        <v>0</v>
      </c>
      <c r="G334" s="48">
        <v>0</v>
      </c>
      <c r="H334" s="57">
        <f t="shared" si="21"/>
        <v>0</v>
      </c>
      <c r="I334" s="119"/>
      <c r="J334" s="119"/>
      <c r="K334" s="119"/>
      <c r="L334" s="119"/>
      <c r="M334" s="119"/>
      <c r="N334" s="119"/>
      <c r="O334" s="119"/>
      <c r="P334" s="119"/>
      <c r="Q334" s="44" t="s">
        <v>476</v>
      </c>
      <c r="R334" s="19" t="s">
        <v>421</v>
      </c>
      <c r="S334" s="49">
        <v>2030</v>
      </c>
      <c r="T334" s="46">
        <v>0</v>
      </c>
      <c r="U334" s="47">
        <v>0</v>
      </c>
      <c r="V334" s="47">
        <v>0</v>
      </c>
      <c r="W334" s="48">
        <v>0</v>
      </c>
      <c r="X334" s="57">
        <f t="shared" si="20"/>
        <v>0</v>
      </c>
      <c r="Y334" s="119"/>
    </row>
    <row r="335" spans="1:25">
      <c r="A335" s="44" t="s">
        <v>476</v>
      </c>
      <c r="B335" s="19" t="s">
        <v>421</v>
      </c>
      <c r="C335" s="49">
        <v>2031</v>
      </c>
      <c r="D335" s="46">
        <v>0</v>
      </c>
      <c r="E335" s="47">
        <v>30.983028717351683</v>
      </c>
      <c r="F335" s="47">
        <v>0</v>
      </c>
      <c r="G335" s="48">
        <v>0</v>
      </c>
      <c r="H335" s="57">
        <f t="shared" si="21"/>
        <v>22.116295997959625</v>
      </c>
      <c r="I335" s="119"/>
      <c r="J335" s="119"/>
      <c r="K335" s="119"/>
      <c r="L335" s="119"/>
      <c r="M335" s="119"/>
      <c r="N335" s="119"/>
      <c r="O335" s="119"/>
      <c r="P335" s="119"/>
      <c r="Q335" s="44" t="s">
        <v>476</v>
      </c>
      <c r="R335" s="19" t="s">
        <v>421</v>
      </c>
      <c r="S335" s="49">
        <v>2031</v>
      </c>
      <c r="T335" s="46">
        <v>0</v>
      </c>
      <c r="U335" s="47">
        <v>30.983028717351683</v>
      </c>
      <c r="V335" s="47">
        <v>0</v>
      </c>
      <c r="W335" s="48">
        <v>0</v>
      </c>
      <c r="X335" s="57">
        <f t="shared" si="20"/>
        <v>30.983028717351683</v>
      </c>
      <c r="Y335" s="119"/>
    </row>
    <row r="336" spans="1:25">
      <c r="A336" s="44" t="s">
        <v>476</v>
      </c>
      <c r="B336" s="19" t="s">
        <v>421</v>
      </c>
      <c r="C336" s="49">
        <v>2032</v>
      </c>
      <c r="D336" s="46">
        <v>0</v>
      </c>
      <c r="E336" s="47">
        <v>28.963073668992333</v>
      </c>
      <c r="F336" s="47">
        <v>0</v>
      </c>
      <c r="G336" s="48">
        <v>0</v>
      </c>
      <c r="H336" s="57">
        <f t="shared" si="21"/>
        <v>19.326396175441154</v>
      </c>
      <c r="I336" s="119"/>
      <c r="J336" s="119"/>
      <c r="K336" s="119"/>
      <c r="L336" s="119"/>
      <c r="M336" s="119"/>
      <c r="N336" s="119"/>
      <c r="O336" s="119"/>
      <c r="P336" s="119"/>
      <c r="Q336" s="44" t="s">
        <v>476</v>
      </c>
      <c r="R336" s="19" t="s">
        <v>421</v>
      </c>
      <c r="S336" s="49">
        <v>2032</v>
      </c>
      <c r="T336" s="46">
        <v>0</v>
      </c>
      <c r="U336" s="47">
        <v>60.565762960691046</v>
      </c>
      <c r="V336" s="47">
        <v>0</v>
      </c>
      <c r="W336" s="48">
        <v>0</v>
      </c>
      <c r="X336" s="57">
        <f t="shared" si="20"/>
        <v>60.565762960691046</v>
      </c>
      <c r="Y336" s="119"/>
    </row>
    <row r="337" spans="1:25">
      <c r="A337" s="44" t="s">
        <v>476</v>
      </c>
      <c r="B337" s="19" t="s">
        <v>421</v>
      </c>
      <c r="C337" s="49">
        <v>2033</v>
      </c>
      <c r="D337" s="46">
        <v>0</v>
      </c>
      <c r="E337" s="47">
        <v>27.074618994150342</v>
      </c>
      <c r="F337" s="47">
        <v>0</v>
      </c>
      <c r="G337" s="48">
        <v>0</v>
      </c>
      <c r="H337" s="57">
        <f t="shared" si="21"/>
        <v>16.888313711028861</v>
      </c>
      <c r="I337" s="119"/>
      <c r="J337" s="119"/>
      <c r="K337" s="119"/>
      <c r="L337" s="119"/>
      <c r="M337" s="119"/>
      <c r="N337" s="119"/>
      <c r="O337" s="119"/>
      <c r="P337" s="119"/>
      <c r="Q337" s="44" t="s">
        <v>476</v>
      </c>
      <c r="R337" s="19" t="s">
        <v>421</v>
      </c>
      <c r="S337" s="49">
        <v>2033</v>
      </c>
      <c r="T337" s="46">
        <v>0</v>
      </c>
      <c r="U337" s="47">
        <v>88.851697214055207</v>
      </c>
      <c r="V337" s="47">
        <v>0</v>
      </c>
      <c r="W337" s="48">
        <v>0</v>
      </c>
      <c r="X337" s="57">
        <f t="shared" si="20"/>
        <v>88.851697214055207</v>
      </c>
      <c r="Y337" s="119"/>
    </row>
    <row r="338" spans="1:25">
      <c r="A338" s="44" t="s">
        <v>476</v>
      </c>
      <c r="B338" s="19" t="s">
        <v>421</v>
      </c>
      <c r="C338" s="49">
        <v>2034</v>
      </c>
      <c r="D338" s="46">
        <v>0</v>
      </c>
      <c r="E338" s="47">
        <v>0</v>
      </c>
      <c r="F338" s="47">
        <v>0</v>
      </c>
      <c r="G338" s="48">
        <v>0</v>
      </c>
      <c r="H338" s="57">
        <f t="shared" si="21"/>
        <v>0</v>
      </c>
      <c r="I338" s="119"/>
      <c r="J338" s="119"/>
      <c r="K338" s="119"/>
      <c r="L338" s="119"/>
      <c r="M338" s="119"/>
      <c r="N338" s="119"/>
      <c r="O338" s="119"/>
      <c r="P338" s="119"/>
      <c r="Q338" s="44" t="s">
        <v>476</v>
      </c>
      <c r="R338" s="19" t="s">
        <v>421</v>
      </c>
      <c r="S338" s="49">
        <v>2034</v>
      </c>
      <c r="T338" s="46">
        <v>0</v>
      </c>
      <c r="U338" s="47">
        <v>90.628731158336308</v>
      </c>
      <c r="V338" s="47">
        <v>0</v>
      </c>
      <c r="W338" s="48">
        <v>0</v>
      </c>
      <c r="X338" s="57">
        <f t="shared" si="20"/>
        <v>90.628731158336308</v>
      </c>
      <c r="Y338" s="119"/>
    </row>
    <row r="339" spans="1:25">
      <c r="A339" s="44" t="s">
        <v>476</v>
      </c>
      <c r="B339" s="19" t="s">
        <v>421</v>
      </c>
      <c r="C339" s="49">
        <v>2035</v>
      </c>
      <c r="D339" s="46">
        <v>0</v>
      </c>
      <c r="E339" s="47">
        <v>0</v>
      </c>
      <c r="F339" s="47">
        <v>0</v>
      </c>
      <c r="G339" s="48">
        <v>0</v>
      </c>
      <c r="H339" s="57">
        <f t="shared" si="21"/>
        <v>0</v>
      </c>
      <c r="I339" s="119"/>
      <c r="J339" s="119"/>
      <c r="K339" s="119"/>
      <c r="L339" s="119"/>
      <c r="M339" s="119"/>
      <c r="N339" s="119"/>
      <c r="O339" s="119"/>
      <c r="P339" s="119"/>
      <c r="Q339" s="44" t="s">
        <v>476</v>
      </c>
      <c r="R339" s="19" t="s">
        <v>421</v>
      </c>
      <c r="S339" s="49">
        <v>2035</v>
      </c>
      <c r="T339" s="46">
        <v>0</v>
      </c>
      <c r="U339" s="47">
        <v>92.441305781503033</v>
      </c>
      <c r="V339" s="47">
        <v>0</v>
      </c>
      <c r="W339" s="48">
        <v>0</v>
      </c>
      <c r="X339" s="57">
        <f t="shared" si="20"/>
        <v>92.441305781503033</v>
      </c>
      <c r="Y339" s="119">
        <f>NPV($Y$10,X330:X339)/((1-(1+$Y$10)^-10)/$Y$10)</f>
        <v>29.404644560698369</v>
      </c>
    </row>
    <row r="340" spans="1:25">
      <c r="A340" s="44"/>
      <c r="B340" s="19" t="s">
        <v>401</v>
      </c>
      <c r="C340" s="49"/>
      <c r="D340" s="42" t="s">
        <v>401</v>
      </c>
      <c r="E340" s="19" t="s">
        <v>401</v>
      </c>
      <c r="F340" s="19" t="s">
        <v>401</v>
      </c>
      <c r="G340" s="43" t="s">
        <v>401</v>
      </c>
      <c r="H340" s="57">
        <f t="shared" si="21"/>
        <v>0</v>
      </c>
      <c r="I340" s="119"/>
      <c r="J340" s="119"/>
      <c r="K340" s="119"/>
      <c r="L340" s="119"/>
      <c r="M340" s="119"/>
      <c r="N340" s="119"/>
      <c r="O340" s="119"/>
      <c r="P340" s="119"/>
      <c r="Q340" s="44"/>
      <c r="R340" s="19" t="s">
        <v>401</v>
      </c>
      <c r="S340" s="49"/>
      <c r="T340" s="42"/>
      <c r="U340" s="19"/>
      <c r="V340" s="19"/>
      <c r="W340" s="43"/>
      <c r="X340" s="57">
        <f t="shared" si="20"/>
        <v>0</v>
      </c>
      <c r="Y340" s="119"/>
    </row>
    <row r="341" spans="1:25">
      <c r="A341" s="44" t="s">
        <v>476</v>
      </c>
      <c r="B341" s="19" t="s">
        <v>422</v>
      </c>
      <c r="C341" s="49">
        <v>2026</v>
      </c>
      <c r="D341" s="46">
        <v>0</v>
      </c>
      <c r="E341" s="47">
        <v>0</v>
      </c>
      <c r="F341" s="47">
        <v>0</v>
      </c>
      <c r="G341" s="48">
        <v>0</v>
      </c>
      <c r="H341" s="57">
        <f t="shared" si="21"/>
        <v>0</v>
      </c>
      <c r="I341" s="119"/>
      <c r="J341" s="119"/>
      <c r="K341" s="119"/>
      <c r="L341" s="119"/>
      <c r="M341" s="119"/>
      <c r="N341" s="119"/>
      <c r="O341" s="119"/>
      <c r="P341" s="119"/>
      <c r="Q341" s="44" t="s">
        <v>476</v>
      </c>
      <c r="R341" s="19" t="s">
        <v>422</v>
      </c>
      <c r="S341" s="49">
        <v>2026</v>
      </c>
      <c r="T341" s="46">
        <v>0</v>
      </c>
      <c r="U341" s="47">
        <v>0</v>
      </c>
      <c r="V341" s="47">
        <v>0</v>
      </c>
      <c r="W341" s="48">
        <v>0</v>
      </c>
      <c r="X341" s="57">
        <f t="shared" si="20"/>
        <v>0</v>
      </c>
      <c r="Y341" s="119"/>
    </row>
    <row r="342" spans="1:25">
      <c r="A342" s="44" t="s">
        <v>476</v>
      </c>
      <c r="B342" s="19" t="s">
        <v>422</v>
      </c>
      <c r="C342" s="49">
        <v>2027</v>
      </c>
      <c r="D342" s="46">
        <v>0</v>
      </c>
      <c r="E342" s="47">
        <v>0</v>
      </c>
      <c r="F342" s="47">
        <v>0</v>
      </c>
      <c r="G342" s="48">
        <v>0</v>
      </c>
      <c r="H342" s="57">
        <f t="shared" si="21"/>
        <v>0</v>
      </c>
      <c r="I342" s="119"/>
      <c r="J342" s="119"/>
      <c r="K342" s="119"/>
      <c r="L342" s="119"/>
      <c r="M342" s="119"/>
      <c r="N342" s="119"/>
      <c r="O342" s="119"/>
      <c r="P342" s="119"/>
      <c r="Q342" s="44" t="s">
        <v>476</v>
      </c>
      <c r="R342" s="19" t="s">
        <v>422</v>
      </c>
      <c r="S342" s="49">
        <v>2027</v>
      </c>
      <c r="T342" s="46">
        <v>0</v>
      </c>
      <c r="U342" s="47">
        <v>0</v>
      </c>
      <c r="V342" s="47">
        <v>0</v>
      </c>
      <c r="W342" s="48">
        <v>0</v>
      </c>
      <c r="X342" s="57">
        <f t="shared" si="20"/>
        <v>0</v>
      </c>
      <c r="Y342" s="119"/>
    </row>
    <row r="343" spans="1:25">
      <c r="A343" s="44" t="s">
        <v>476</v>
      </c>
      <c r="B343" s="19" t="s">
        <v>422</v>
      </c>
      <c r="C343" s="49">
        <v>2028</v>
      </c>
      <c r="D343" s="46">
        <v>0</v>
      </c>
      <c r="E343" s="47">
        <v>0</v>
      </c>
      <c r="F343" s="47">
        <v>0</v>
      </c>
      <c r="G343" s="48">
        <v>0</v>
      </c>
      <c r="H343" s="57">
        <f t="shared" si="21"/>
        <v>0</v>
      </c>
      <c r="I343" s="119"/>
      <c r="J343" s="119"/>
      <c r="K343" s="119"/>
      <c r="L343" s="119"/>
      <c r="M343" s="119"/>
      <c r="N343" s="119"/>
      <c r="O343" s="119"/>
      <c r="P343" s="119"/>
      <c r="Q343" s="44" t="s">
        <v>476</v>
      </c>
      <c r="R343" s="19" t="s">
        <v>422</v>
      </c>
      <c r="S343" s="49">
        <v>2028</v>
      </c>
      <c r="T343" s="46">
        <v>0</v>
      </c>
      <c r="U343" s="47">
        <v>0</v>
      </c>
      <c r="V343" s="47">
        <v>0</v>
      </c>
      <c r="W343" s="48">
        <v>0</v>
      </c>
      <c r="X343" s="57">
        <f t="shared" si="20"/>
        <v>0</v>
      </c>
      <c r="Y343" s="119"/>
    </row>
    <row r="344" spans="1:25">
      <c r="A344" s="44" t="s">
        <v>476</v>
      </c>
      <c r="B344" s="19" t="s">
        <v>422</v>
      </c>
      <c r="C344" s="49">
        <v>2029</v>
      </c>
      <c r="D344" s="46">
        <v>0</v>
      </c>
      <c r="E344" s="47">
        <v>0</v>
      </c>
      <c r="F344" s="47">
        <v>0</v>
      </c>
      <c r="G344" s="48">
        <v>0</v>
      </c>
      <c r="H344" s="57">
        <f t="shared" si="21"/>
        <v>0</v>
      </c>
      <c r="I344" s="119"/>
      <c r="J344" s="119"/>
      <c r="K344" s="119"/>
      <c r="L344" s="119"/>
      <c r="M344" s="119"/>
      <c r="N344" s="119"/>
      <c r="O344" s="119"/>
      <c r="P344" s="119"/>
      <c r="Q344" s="44" t="s">
        <v>476</v>
      </c>
      <c r="R344" s="19" t="s">
        <v>422</v>
      </c>
      <c r="S344" s="49">
        <v>2029</v>
      </c>
      <c r="T344" s="46">
        <v>0</v>
      </c>
      <c r="U344" s="47">
        <v>0</v>
      </c>
      <c r="V344" s="47">
        <v>0</v>
      </c>
      <c r="W344" s="48">
        <v>0</v>
      </c>
      <c r="X344" s="57">
        <f t="shared" si="20"/>
        <v>0</v>
      </c>
      <c r="Y344" s="119"/>
    </row>
    <row r="345" spans="1:25">
      <c r="A345" s="44" t="s">
        <v>476</v>
      </c>
      <c r="B345" s="19" t="s">
        <v>422</v>
      </c>
      <c r="C345" s="49">
        <v>2030</v>
      </c>
      <c r="D345" s="46">
        <v>0</v>
      </c>
      <c r="E345" s="47">
        <v>0</v>
      </c>
      <c r="F345" s="47">
        <v>0</v>
      </c>
      <c r="G345" s="48">
        <v>0</v>
      </c>
      <c r="H345" s="57">
        <f t="shared" si="21"/>
        <v>0</v>
      </c>
      <c r="I345" s="119"/>
      <c r="J345" s="119"/>
      <c r="K345" s="119"/>
      <c r="L345" s="119"/>
      <c r="M345" s="119"/>
      <c r="N345" s="119"/>
      <c r="O345" s="119"/>
      <c r="P345" s="119"/>
      <c r="Q345" s="44" t="s">
        <v>476</v>
      </c>
      <c r="R345" s="19" t="s">
        <v>422</v>
      </c>
      <c r="S345" s="49">
        <v>2030</v>
      </c>
      <c r="T345" s="46">
        <v>0</v>
      </c>
      <c r="U345" s="47">
        <v>0</v>
      </c>
      <c r="V345" s="47">
        <v>0</v>
      </c>
      <c r="W345" s="48">
        <v>0</v>
      </c>
      <c r="X345" s="57">
        <f t="shared" si="20"/>
        <v>0</v>
      </c>
      <c r="Y345" s="119"/>
    </row>
    <row r="346" spans="1:25">
      <c r="A346" s="44" t="s">
        <v>476</v>
      </c>
      <c r="B346" s="19" t="s">
        <v>422</v>
      </c>
      <c r="C346" s="49">
        <v>2031</v>
      </c>
      <c r="D346" s="46">
        <v>0</v>
      </c>
      <c r="E346" s="47">
        <v>0</v>
      </c>
      <c r="F346" s="47">
        <v>0</v>
      </c>
      <c r="G346" s="48">
        <v>0</v>
      </c>
      <c r="H346" s="57">
        <f t="shared" si="21"/>
        <v>0</v>
      </c>
      <c r="I346" s="119"/>
      <c r="J346" s="119"/>
      <c r="K346" s="119"/>
      <c r="L346" s="119"/>
      <c r="M346" s="119"/>
      <c r="N346" s="119"/>
      <c r="O346" s="119"/>
      <c r="P346" s="119"/>
      <c r="Q346" s="44" t="s">
        <v>476</v>
      </c>
      <c r="R346" s="19" t="s">
        <v>422</v>
      </c>
      <c r="S346" s="49">
        <v>2031</v>
      </c>
      <c r="T346" s="46">
        <v>0</v>
      </c>
      <c r="U346" s="47">
        <v>0</v>
      </c>
      <c r="V346" s="47">
        <v>0</v>
      </c>
      <c r="W346" s="48">
        <v>0</v>
      </c>
      <c r="X346" s="57">
        <f t="shared" si="20"/>
        <v>0</v>
      </c>
      <c r="Y346" s="119"/>
    </row>
    <row r="347" spans="1:25">
      <c r="A347" s="44" t="s">
        <v>476</v>
      </c>
      <c r="B347" s="19" t="s">
        <v>422</v>
      </c>
      <c r="C347" s="49">
        <v>2032</v>
      </c>
      <c r="D347" s="46">
        <v>0</v>
      </c>
      <c r="E347" s="47">
        <v>0</v>
      </c>
      <c r="F347" s="47">
        <v>0</v>
      </c>
      <c r="G347" s="48">
        <v>0</v>
      </c>
      <c r="H347" s="57">
        <f t="shared" si="21"/>
        <v>0</v>
      </c>
      <c r="I347" s="119"/>
      <c r="J347" s="119"/>
      <c r="K347" s="119"/>
      <c r="L347" s="119"/>
      <c r="M347" s="119"/>
      <c r="N347" s="119"/>
      <c r="O347" s="119"/>
      <c r="P347" s="119"/>
      <c r="Q347" s="44" t="s">
        <v>476</v>
      </c>
      <c r="R347" s="19" t="s">
        <v>422</v>
      </c>
      <c r="S347" s="49">
        <v>2032</v>
      </c>
      <c r="T347" s="46">
        <v>0</v>
      </c>
      <c r="U347" s="47">
        <v>0</v>
      </c>
      <c r="V347" s="47">
        <v>0</v>
      </c>
      <c r="W347" s="48">
        <v>0</v>
      </c>
      <c r="X347" s="57">
        <f t="shared" si="20"/>
        <v>0</v>
      </c>
      <c r="Y347" s="119"/>
    </row>
    <row r="348" spans="1:25">
      <c r="A348" s="44" t="s">
        <v>476</v>
      </c>
      <c r="B348" s="19" t="s">
        <v>422</v>
      </c>
      <c r="C348" s="49">
        <v>2033</v>
      </c>
      <c r="D348" s="46">
        <v>0</v>
      </c>
      <c r="E348" s="47">
        <v>0</v>
      </c>
      <c r="F348" s="47">
        <v>0</v>
      </c>
      <c r="G348" s="48">
        <v>0</v>
      </c>
      <c r="H348" s="57">
        <f t="shared" si="21"/>
        <v>0</v>
      </c>
      <c r="I348" s="119"/>
      <c r="J348" s="119"/>
      <c r="K348" s="119"/>
      <c r="L348" s="119"/>
      <c r="M348" s="119"/>
      <c r="N348" s="119"/>
      <c r="O348" s="119"/>
      <c r="P348" s="119"/>
      <c r="Q348" s="44" t="s">
        <v>476</v>
      </c>
      <c r="R348" s="19" t="s">
        <v>422</v>
      </c>
      <c r="S348" s="49">
        <v>2033</v>
      </c>
      <c r="T348" s="46">
        <v>0</v>
      </c>
      <c r="U348" s="47">
        <v>0</v>
      </c>
      <c r="V348" s="47">
        <v>0</v>
      </c>
      <c r="W348" s="48">
        <v>0</v>
      </c>
      <c r="X348" s="57">
        <f t="shared" si="20"/>
        <v>0</v>
      </c>
      <c r="Y348" s="119"/>
    </row>
    <row r="349" spans="1:25">
      <c r="A349" s="44" t="s">
        <v>476</v>
      </c>
      <c r="B349" s="19" t="s">
        <v>422</v>
      </c>
      <c r="C349" s="49">
        <v>2034</v>
      </c>
      <c r="D349" s="46">
        <v>68.68718833153099</v>
      </c>
      <c r="E349" s="47">
        <v>0</v>
      </c>
      <c r="F349" s="47">
        <v>0</v>
      </c>
      <c r="G349" s="48">
        <v>0</v>
      </c>
      <c r="H349" s="57">
        <f t="shared" si="21"/>
        <v>40.051370159421865</v>
      </c>
      <c r="I349" s="119"/>
      <c r="J349" s="119"/>
      <c r="K349" s="119"/>
      <c r="L349" s="119"/>
      <c r="M349" s="119"/>
      <c r="N349" s="119"/>
      <c r="O349" s="119"/>
      <c r="P349" s="119"/>
      <c r="Q349" s="44" t="s">
        <v>476</v>
      </c>
      <c r="R349" s="19" t="s">
        <v>422</v>
      </c>
      <c r="S349" s="49">
        <v>2034</v>
      </c>
      <c r="T349" s="46">
        <v>68.68718833153099</v>
      </c>
      <c r="U349" s="47">
        <v>0</v>
      </c>
      <c r="V349" s="47">
        <v>0</v>
      </c>
      <c r="W349" s="48">
        <v>0</v>
      </c>
      <c r="X349" s="57">
        <f t="shared" si="20"/>
        <v>68.68718833153099</v>
      </c>
      <c r="Y349" s="119"/>
    </row>
    <row r="350" spans="1:25">
      <c r="A350" s="44" t="s">
        <v>476</v>
      </c>
      <c r="B350" s="19" t="s">
        <v>422</v>
      </c>
      <c r="C350" s="49">
        <v>2035</v>
      </c>
      <c r="D350" s="46">
        <v>90.820912258908805</v>
      </c>
      <c r="E350" s="47">
        <v>0</v>
      </c>
      <c r="F350" s="47">
        <v>0</v>
      </c>
      <c r="G350" s="48">
        <v>0</v>
      </c>
      <c r="H350" s="57">
        <f t="shared" si="21"/>
        <v>49.504559848228048</v>
      </c>
      <c r="I350" s="119"/>
      <c r="J350" s="119"/>
      <c r="K350" s="119"/>
      <c r="L350" s="119"/>
      <c r="M350" s="119"/>
      <c r="N350" s="119"/>
      <c r="O350" s="119"/>
      <c r="P350" s="119"/>
      <c r="Q350" s="44" t="s">
        <v>476</v>
      </c>
      <c r="R350" s="19" t="s">
        <v>422</v>
      </c>
      <c r="S350" s="49">
        <v>2035</v>
      </c>
      <c r="T350" s="46">
        <v>160.88184435707041</v>
      </c>
      <c r="U350" s="47">
        <v>0</v>
      </c>
      <c r="V350" s="47">
        <v>0</v>
      </c>
      <c r="W350" s="48">
        <v>0</v>
      </c>
      <c r="X350" s="57">
        <f t="shared" si="20"/>
        <v>160.88184435707041</v>
      </c>
      <c r="Y350" s="119">
        <f>NPV($Y$10,X341:X350)/((1-(1+$Y$10)^-10)/$Y$10)</f>
        <v>16.982428978851278</v>
      </c>
    </row>
    <row r="351" spans="1:25">
      <c r="A351" s="44"/>
      <c r="B351" s="19" t="s">
        <v>401</v>
      </c>
      <c r="C351" s="49"/>
      <c r="D351" s="46" t="s">
        <v>401</v>
      </c>
      <c r="E351" s="47" t="s">
        <v>401</v>
      </c>
      <c r="F351" s="47" t="s">
        <v>401</v>
      </c>
      <c r="G351" s="48" t="s">
        <v>401</v>
      </c>
      <c r="H351" s="57">
        <f t="shared" si="21"/>
        <v>0</v>
      </c>
      <c r="I351" s="119"/>
      <c r="J351" s="119"/>
      <c r="K351" s="119"/>
      <c r="L351" s="119"/>
      <c r="M351" s="119"/>
      <c r="N351" s="119"/>
      <c r="O351" s="119"/>
      <c r="P351" s="119"/>
      <c r="Q351" s="44"/>
      <c r="R351" s="19" t="s">
        <v>401</v>
      </c>
      <c r="S351" s="49"/>
      <c r="T351" s="46"/>
      <c r="U351" s="47"/>
      <c r="V351" s="47"/>
      <c r="W351" s="48"/>
      <c r="X351" s="57">
        <f t="shared" si="20"/>
        <v>0</v>
      </c>
      <c r="Y351" s="119"/>
    </row>
    <row r="352" spans="1:25">
      <c r="A352" s="44" t="s">
        <v>477</v>
      </c>
      <c r="B352" s="19" t="s">
        <v>423</v>
      </c>
      <c r="C352" s="49">
        <v>2026</v>
      </c>
      <c r="D352" s="46">
        <v>0</v>
      </c>
      <c r="E352" s="47">
        <v>0</v>
      </c>
      <c r="F352" s="47">
        <v>0</v>
      </c>
      <c r="G352" s="48">
        <v>0</v>
      </c>
      <c r="H352" s="57">
        <f t="shared" si="21"/>
        <v>0</v>
      </c>
      <c r="I352" s="119"/>
      <c r="J352" s="119"/>
      <c r="K352" s="119"/>
      <c r="L352" s="119"/>
      <c r="M352" s="119"/>
      <c r="N352" s="119"/>
      <c r="O352" s="119"/>
      <c r="P352" s="119"/>
      <c r="Q352" s="44" t="s">
        <v>477</v>
      </c>
      <c r="R352" s="19" t="s">
        <v>423</v>
      </c>
      <c r="S352" s="49">
        <v>2026</v>
      </c>
      <c r="T352" s="46">
        <v>0</v>
      </c>
      <c r="U352" s="47">
        <v>0</v>
      </c>
      <c r="V352" s="47">
        <v>0</v>
      </c>
      <c r="W352" s="48">
        <v>0</v>
      </c>
      <c r="X352" s="57">
        <f t="shared" si="20"/>
        <v>0</v>
      </c>
      <c r="Y352" s="119"/>
    </row>
    <row r="353" spans="1:25">
      <c r="A353" s="44" t="s">
        <v>477</v>
      </c>
      <c r="B353" s="19" t="s">
        <v>423</v>
      </c>
      <c r="C353" s="49">
        <v>2027</v>
      </c>
      <c r="D353" s="46">
        <v>0</v>
      </c>
      <c r="E353" s="47">
        <v>0</v>
      </c>
      <c r="F353" s="47">
        <v>0</v>
      </c>
      <c r="G353" s="48">
        <v>0</v>
      </c>
      <c r="H353" s="57">
        <f t="shared" si="21"/>
        <v>0</v>
      </c>
      <c r="I353" s="119"/>
      <c r="J353" s="119"/>
      <c r="K353" s="119"/>
      <c r="L353" s="119"/>
      <c r="M353" s="119"/>
      <c r="N353" s="119"/>
      <c r="O353" s="119"/>
      <c r="P353" s="119"/>
      <c r="Q353" s="44" t="s">
        <v>477</v>
      </c>
      <c r="R353" s="19" t="s">
        <v>423</v>
      </c>
      <c r="S353" s="49">
        <v>2027</v>
      </c>
      <c r="T353" s="46">
        <v>0</v>
      </c>
      <c r="U353" s="47">
        <v>0</v>
      </c>
      <c r="V353" s="47">
        <v>0</v>
      </c>
      <c r="W353" s="48">
        <v>0</v>
      </c>
      <c r="X353" s="57">
        <f t="shared" si="20"/>
        <v>0</v>
      </c>
      <c r="Y353" s="119"/>
    </row>
    <row r="354" spans="1:25">
      <c r="A354" s="44" t="s">
        <v>477</v>
      </c>
      <c r="B354" s="19" t="s">
        <v>423</v>
      </c>
      <c r="C354" s="49">
        <v>2028</v>
      </c>
      <c r="D354" s="46">
        <v>0</v>
      </c>
      <c r="E354" s="47">
        <v>0</v>
      </c>
      <c r="F354" s="47">
        <v>0</v>
      </c>
      <c r="G354" s="48">
        <v>0</v>
      </c>
      <c r="H354" s="57">
        <f t="shared" si="21"/>
        <v>0</v>
      </c>
      <c r="I354" s="119"/>
      <c r="J354" s="119"/>
      <c r="K354" s="119"/>
      <c r="L354" s="119"/>
      <c r="M354" s="119"/>
      <c r="N354" s="119"/>
      <c r="O354" s="119"/>
      <c r="P354" s="119"/>
      <c r="Q354" s="44" t="s">
        <v>477</v>
      </c>
      <c r="R354" s="19" t="s">
        <v>423</v>
      </c>
      <c r="S354" s="49">
        <v>2028</v>
      </c>
      <c r="T354" s="46">
        <v>0</v>
      </c>
      <c r="U354" s="47">
        <v>0</v>
      </c>
      <c r="V354" s="47">
        <v>0</v>
      </c>
      <c r="W354" s="48">
        <v>0</v>
      </c>
      <c r="X354" s="57">
        <f t="shared" si="20"/>
        <v>0</v>
      </c>
      <c r="Y354" s="119"/>
    </row>
    <row r="355" spans="1:25">
      <c r="A355" s="44" t="s">
        <v>477</v>
      </c>
      <c r="B355" s="19" t="s">
        <v>423</v>
      </c>
      <c r="C355" s="49">
        <v>2029</v>
      </c>
      <c r="D355" s="46">
        <v>0</v>
      </c>
      <c r="E355" s="47">
        <v>23.067788124443936</v>
      </c>
      <c r="F355" s="47">
        <v>26.291603712885081</v>
      </c>
      <c r="G355" s="48">
        <v>0</v>
      </c>
      <c r="H355" s="57">
        <f t="shared" si="21"/>
        <v>40.32022199656452</v>
      </c>
      <c r="I355" s="119"/>
      <c r="J355" s="119"/>
      <c r="K355" s="119"/>
      <c r="L355" s="119"/>
      <c r="M355" s="119"/>
      <c r="N355" s="119"/>
      <c r="O355" s="119"/>
      <c r="P355" s="119"/>
      <c r="Q355" s="44" t="s">
        <v>477</v>
      </c>
      <c r="R355" s="19" t="s">
        <v>423</v>
      </c>
      <c r="S355" s="49">
        <v>2029</v>
      </c>
      <c r="T355" s="46">
        <v>0</v>
      </c>
      <c r="U355" s="47">
        <v>23.067788124443936</v>
      </c>
      <c r="V355" s="47">
        <v>26.291603712885081</v>
      </c>
      <c r="W355" s="48">
        <v>0</v>
      </c>
      <c r="X355" s="57">
        <f t="shared" si="20"/>
        <v>49.359391837329014</v>
      </c>
      <c r="Y355" s="119"/>
    </row>
    <row r="356" spans="1:25">
      <c r="A356" s="44" t="s">
        <v>477</v>
      </c>
      <c r="B356" s="19" t="s">
        <v>423</v>
      </c>
      <c r="C356" s="49">
        <v>2030</v>
      </c>
      <c r="D356" s="46">
        <v>0</v>
      </c>
      <c r="E356" s="47">
        <v>60.278556006051332</v>
      </c>
      <c r="F356" s="47">
        <v>68.702725131096813</v>
      </c>
      <c r="G356" s="48">
        <v>0</v>
      </c>
      <c r="H356" s="57">
        <f t="shared" si="21"/>
        <v>98.491217435306268</v>
      </c>
      <c r="I356" s="119"/>
      <c r="J356" s="119"/>
      <c r="K356" s="119"/>
      <c r="L356" s="119"/>
      <c r="M356" s="119"/>
      <c r="N356" s="119"/>
      <c r="O356" s="119"/>
      <c r="P356" s="119"/>
      <c r="Q356" s="44" t="s">
        <v>477</v>
      </c>
      <c r="R356" s="19" t="s">
        <v>423</v>
      </c>
      <c r="S356" s="49">
        <v>2030</v>
      </c>
      <c r="T356" s="46">
        <v>0</v>
      </c>
      <c r="U356" s="47">
        <v>83.807699892984147</v>
      </c>
      <c r="V356" s="47">
        <v>95.520160918239597</v>
      </c>
      <c r="W356" s="48">
        <v>0</v>
      </c>
      <c r="X356" s="57">
        <f t="shared" si="20"/>
        <v>179.32786081122373</v>
      </c>
      <c r="Y356" s="119"/>
    </row>
    <row r="357" spans="1:25">
      <c r="A357" s="44" t="s">
        <v>477</v>
      </c>
      <c r="B357" s="19" t="s">
        <v>423</v>
      </c>
      <c r="C357" s="49">
        <v>2031</v>
      </c>
      <c r="D357" s="46">
        <v>0</v>
      </c>
      <c r="E357" s="47">
        <v>116.04492818041967</v>
      </c>
      <c r="F357" s="47">
        <v>132.26267070559683</v>
      </c>
      <c r="G357" s="48">
        <v>0</v>
      </c>
      <c r="H357" s="57">
        <f t="shared" si="21"/>
        <v>177.2468536115141</v>
      </c>
      <c r="I357" s="119"/>
      <c r="J357" s="119"/>
      <c r="K357" s="119"/>
      <c r="L357" s="119"/>
      <c r="M357" s="119"/>
      <c r="N357" s="119"/>
      <c r="O357" s="119"/>
      <c r="P357" s="119"/>
      <c r="Q357" s="44" t="s">
        <v>477</v>
      </c>
      <c r="R357" s="19" t="s">
        <v>423</v>
      </c>
      <c r="S357" s="49">
        <v>2031</v>
      </c>
      <c r="T357" s="46">
        <v>0</v>
      </c>
      <c r="U357" s="47">
        <v>201.52878207126349</v>
      </c>
      <c r="V357" s="47">
        <v>229.69323484220121</v>
      </c>
      <c r="W357" s="48">
        <v>0</v>
      </c>
      <c r="X357" s="57">
        <f t="shared" si="20"/>
        <v>431.2220169134647</v>
      </c>
      <c r="Y357" s="119"/>
    </row>
    <row r="358" spans="1:25">
      <c r="A358" s="44" t="s">
        <v>477</v>
      </c>
      <c r="B358" s="19" t="s">
        <v>423</v>
      </c>
      <c r="C358" s="49">
        <v>2032</v>
      </c>
      <c r="D358" s="46">
        <v>0</v>
      </c>
      <c r="E358" s="47">
        <v>153.66084719794117</v>
      </c>
      <c r="F358" s="47">
        <v>175.13556475028724</v>
      </c>
      <c r="G358" s="48">
        <v>0</v>
      </c>
      <c r="H358" s="57">
        <f t="shared" si="21"/>
        <v>219.39832046134129</v>
      </c>
      <c r="I358" s="119"/>
      <c r="J358" s="119"/>
      <c r="K358" s="119"/>
      <c r="L358" s="119"/>
      <c r="M358" s="119"/>
      <c r="N358" s="119"/>
      <c r="O358" s="119"/>
      <c r="P358" s="119"/>
      <c r="Q358" s="44" t="s">
        <v>477</v>
      </c>
      <c r="R358" s="19" t="s">
        <v>423</v>
      </c>
      <c r="S358" s="49">
        <v>2032</v>
      </c>
      <c r="T358" s="46">
        <v>0</v>
      </c>
      <c r="U358" s="47">
        <v>359.22020491062995</v>
      </c>
      <c r="V358" s="47">
        <v>409.42266428933249</v>
      </c>
      <c r="W358" s="48">
        <v>0</v>
      </c>
      <c r="X358" s="57">
        <f t="shared" si="20"/>
        <v>768.64286919996243</v>
      </c>
      <c r="Y358" s="119"/>
    </row>
    <row r="359" spans="1:25">
      <c r="A359" s="44" t="s">
        <v>477</v>
      </c>
      <c r="B359" s="19" t="s">
        <v>423</v>
      </c>
      <c r="C359" s="49">
        <v>2033</v>
      </c>
      <c r="D359" s="46">
        <v>0</v>
      </c>
      <c r="E359" s="47">
        <v>33.586315515847012</v>
      </c>
      <c r="F359" s="47">
        <v>38.280137348012843</v>
      </c>
      <c r="G359" s="48">
        <v>0</v>
      </c>
      <c r="H359" s="57">
        <f t="shared" si="21"/>
        <v>44.828080554927205</v>
      </c>
      <c r="I359" s="119"/>
      <c r="J359" s="119"/>
      <c r="K359" s="119"/>
      <c r="L359" s="119"/>
      <c r="M359" s="119"/>
      <c r="N359" s="119"/>
      <c r="O359" s="119"/>
      <c r="P359" s="119"/>
      <c r="Q359" s="44" t="s">
        <v>477</v>
      </c>
      <c r="R359" s="19" t="s">
        <v>423</v>
      </c>
      <c r="S359" s="49">
        <v>2033</v>
      </c>
      <c r="T359" s="46">
        <v>0</v>
      </c>
      <c r="U359" s="47">
        <v>399.99092452468955</v>
      </c>
      <c r="V359" s="47">
        <v>455.89125492313195</v>
      </c>
      <c r="W359" s="48">
        <v>0</v>
      </c>
      <c r="X359" s="57">
        <f t="shared" si="20"/>
        <v>855.8821794478215</v>
      </c>
      <c r="Y359" s="119"/>
    </row>
    <row r="360" spans="1:25">
      <c r="A360" s="44" t="s">
        <v>477</v>
      </c>
      <c r="B360" s="19" t="s">
        <v>423</v>
      </c>
      <c r="C360" s="49">
        <v>2034</v>
      </c>
      <c r="D360" s="46">
        <v>0</v>
      </c>
      <c r="E360" s="47">
        <v>0</v>
      </c>
      <c r="F360" s="47">
        <v>0</v>
      </c>
      <c r="G360" s="48">
        <v>0</v>
      </c>
      <c r="H360" s="57">
        <f t="shared" si="21"/>
        <v>0</v>
      </c>
      <c r="I360" s="119"/>
      <c r="J360" s="119"/>
      <c r="K360" s="119"/>
      <c r="L360" s="119"/>
      <c r="M360" s="119"/>
      <c r="N360" s="119"/>
      <c r="O360" s="119"/>
      <c r="P360" s="119"/>
      <c r="Q360" s="44" t="s">
        <v>477</v>
      </c>
      <c r="R360" s="19" t="s">
        <v>423</v>
      </c>
      <c r="S360" s="49">
        <v>2034</v>
      </c>
      <c r="T360" s="46">
        <v>0</v>
      </c>
      <c r="U360" s="47">
        <v>407.99074301518334</v>
      </c>
      <c r="V360" s="47">
        <v>465.00908002159463</v>
      </c>
      <c r="W360" s="48">
        <v>0</v>
      </c>
      <c r="X360" s="57">
        <f t="shared" si="20"/>
        <v>872.99982303677803</v>
      </c>
      <c r="Y360" s="119"/>
    </row>
    <row r="361" spans="1:25">
      <c r="A361" s="44" t="s">
        <v>477</v>
      </c>
      <c r="B361" s="19" t="s">
        <v>423</v>
      </c>
      <c r="C361" s="49">
        <v>2035</v>
      </c>
      <c r="D361" s="46">
        <v>0</v>
      </c>
      <c r="E361" s="47">
        <v>0</v>
      </c>
      <c r="F361" s="47">
        <v>0</v>
      </c>
      <c r="G361" s="48">
        <v>0</v>
      </c>
      <c r="H361" s="57">
        <f t="shared" si="21"/>
        <v>0</v>
      </c>
      <c r="I361" s="119"/>
      <c r="J361" s="119"/>
      <c r="K361" s="119"/>
      <c r="L361" s="119"/>
      <c r="M361" s="119"/>
      <c r="N361" s="119"/>
      <c r="O361" s="119"/>
      <c r="P361" s="119"/>
      <c r="Q361" s="44" t="s">
        <v>477</v>
      </c>
      <c r="R361" s="19" t="s">
        <v>423</v>
      </c>
      <c r="S361" s="49">
        <v>2035</v>
      </c>
      <c r="T361" s="46">
        <v>0</v>
      </c>
      <c r="U361" s="47">
        <v>416.15055787548704</v>
      </c>
      <c r="V361" s="47">
        <v>474.30926162202655</v>
      </c>
      <c r="W361" s="48">
        <v>0</v>
      </c>
      <c r="X361" s="57">
        <f t="shared" si="20"/>
        <v>890.45981949751354</v>
      </c>
      <c r="Y361" s="119">
        <f>NPV($Y$10,X352:X361)/((1-(1+$Y$10)^-10)/$Y$10)</f>
        <v>335.84171731833891</v>
      </c>
    </row>
    <row r="362" spans="1:25">
      <c r="A362" s="44"/>
      <c r="B362" s="19" t="s">
        <v>401</v>
      </c>
      <c r="C362" s="49"/>
      <c r="D362" s="42" t="s">
        <v>401</v>
      </c>
      <c r="E362" s="19" t="s">
        <v>401</v>
      </c>
      <c r="F362" s="19" t="s">
        <v>401</v>
      </c>
      <c r="G362" s="43" t="s">
        <v>401</v>
      </c>
      <c r="H362" s="57">
        <f t="shared" si="21"/>
        <v>0</v>
      </c>
      <c r="I362" s="119"/>
      <c r="J362" s="119"/>
      <c r="K362" s="119"/>
      <c r="L362" s="119"/>
      <c r="M362" s="119"/>
      <c r="N362" s="119"/>
      <c r="O362" s="119"/>
      <c r="P362" s="119"/>
      <c r="Q362" s="44"/>
      <c r="R362" s="19" t="s">
        <v>401</v>
      </c>
      <c r="S362" s="49"/>
      <c r="T362" s="42"/>
      <c r="U362" s="19"/>
      <c r="V362" s="19"/>
      <c r="W362" s="43"/>
      <c r="X362" s="57">
        <f t="shared" si="20"/>
        <v>0</v>
      </c>
      <c r="Y362" s="119"/>
    </row>
    <row r="363" spans="1:25">
      <c r="A363" s="44" t="s">
        <v>477</v>
      </c>
      <c r="B363" s="19" t="s">
        <v>424</v>
      </c>
      <c r="C363" s="49">
        <v>2026</v>
      </c>
      <c r="D363" s="46">
        <v>0</v>
      </c>
      <c r="E363" s="47">
        <v>0</v>
      </c>
      <c r="F363" s="47">
        <v>0</v>
      </c>
      <c r="G363" s="48">
        <v>0</v>
      </c>
      <c r="H363" s="57">
        <f t="shared" si="21"/>
        <v>0</v>
      </c>
      <c r="I363" s="119"/>
      <c r="J363" s="119"/>
      <c r="K363" s="119"/>
      <c r="L363" s="119"/>
      <c r="M363" s="119"/>
      <c r="N363" s="119"/>
      <c r="O363" s="119"/>
      <c r="P363" s="119"/>
      <c r="Q363" s="44" t="s">
        <v>477</v>
      </c>
      <c r="R363" s="19" t="s">
        <v>424</v>
      </c>
      <c r="S363" s="49">
        <v>2026</v>
      </c>
      <c r="T363" s="46">
        <v>0</v>
      </c>
      <c r="U363" s="47">
        <v>0</v>
      </c>
      <c r="V363" s="47">
        <v>0</v>
      </c>
      <c r="W363" s="48">
        <v>0</v>
      </c>
      <c r="X363" s="57">
        <f t="shared" si="20"/>
        <v>0</v>
      </c>
      <c r="Y363" s="119"/>
    </row>
    <row r="364" spans="1:25">
      <c r="A364" s="44" t="s">
        <v>477</v>
      </c>
      <c r="B364" s="19" t="s">
        <v>424</v>
      </c>
      <c r="C364" s="49">
        <v>2027</v>
      </c>
      <c r="D364" s="46">
        <v>0</v>
      </c>
      <c r="E364" s="47">
        <v>0</v>
      </c>
      <c r="F364" s="47">
        <v>0</v>
      </c>
      <c r="G364" s="48">
        <v>0</v>
      </c>
      <c r="H364" s="57">
        <f t="shared" si="21"/>
        <v>0</v>
      </c>
      <c r="I364" s="119"/>
      <c r="J364" s="119"/>
      <c r="K364" s="119"/>
      <c r="L364" s="119"/>
      <c r="M364" s="119"/>
      <c r="N364" s="119"/>
      <c r="O364" s="119"/>
      <c r="P364" s="119"/>
      <c r="Q364" s="44" t="s">
        <v>477</v>
      </c>
      <c r="R364" s="19" t="s">
        <v>424</v>
      </c>
      <c r="S364" s="49">
        <v>2027</v>
      </c>
      <c r="T364" s="46">
        <v>0</v>
      </c>
      <c r="U364" s="47">
        <v>0</v>
      </c>
      <c r="V364" s="47">
        <v>0</v>
      </c>
      <c r="W364" s="48">
        <v>0</v>
      </c>
      <c r="X364" s="57">
        <f t="shared" si="20"/>
        <v>0</v>
      </c>
      <c r="Y364" s="119"/>
    </row>
    <row r="365" spans="1:25">
      <c r="A365" s="44" t="s">
        <v>477</v>
      </c>
      <c r="B365" s="19" t="s">
        <v>424</v>
      </c>
      <c r="C365" s="49">
        <v>2028</v>
      </c>
      <c r="D365" s="46">
        <v>0</v>
      </c>
      <c r="E365" s="47">
        <v>0</v>
      </c>
      <c r="F365" s="47">
        <v>0</v>
      </c>
      <c r="G365" s="48">
        <v>0</v>
      </c>
      <c r="H365" s="57">
        <f t="shared" si="21"/>
        <v>0</v>
      </c>
      <c r="I365" s="119"/>
      <c r="J365" s="119"/>
      <c r="K365" s="119"/>
      <c r="L365" s="119"/>
      <c r="M365" s="119"/>
      <c r="N365" s="119"/>
      <c r="O365" s="119"/>
      <c r="P365" s="119"/>
      <c r="Q365" s="44" t="s">
        <v>477</v>
      </c>
      <c r="R365" s="19" t="s">
        <v>424</v>
      </c>
      <c r="S365" s="49">
        <v>2028</v>
      </c>
      <c r="T365" s="46">
        <v>0</v>
      </c>
      <c r="U365" s="47">
        <v>0</v>
      </c>
      <c r="V365" s="47">
        <v>0</v>
      </c>
      <c r="W365" s="48">
        <v>0</v>
      </c>
      <c r="X365" s="57">
        <f t="shared" si="20"/>
        <v>0</v>
      </c>
      <c r="Y365" s="119"/>
    </row>
    <row r="366" spans="1:25">
      <c r="A366" s="44" t="s">
        <v>477</v>
      </c>
      <c r="B366" s="19" t="s">
        <v>424</v>
      </c>
      <c r="C366" s="49">
        <v>2029</v>
      </c>
      <c r="D366" s="46">
        <v>0</v>
      </c>
      <c r="E366" s="47">
        <v>0</v>
      </c>
      <c r="F366" s="47">
        <v>0</v>
      </c>
      <c r="G366" s="48">
        <v>0</v>
      </c>
      <c r="H366" s="57">
        <f t="shared" si="21"/>
        <v>0</v>
      </c>
      <c r="I366" s="119"/>
      <c r="J366" s="119"/>
      <c r="K366" s="119"/>
      <c r="L366" s="119"/>
      <c r="M366" s="119"/>
      <c r="N366" s="119"/>
      <c r="O366" s="119"/>
      <c r="P366" s="119"/>
      <c r="Q366" s="44" t="s">
        <v>477</v>
      </c>
      <c r="R366" s="19" t="s">
        <v>424</v>
      </c>
      <c r="S366" s="49">
        <v>2029</v>
      </c>
      <c r="T366" s="46">
        <v>0</v>
      </c>
      <c r="U366" s="47">
        <v>0</v>
      </c>
      <c r="V366" s="47">
        <v>0</v>
      </c>
      <c r="W366" s="48">
        <v>0</v>
      </c>
      <c r="X366" s="57">
        <f t="shared" si="20"/>
        <v>0</v>
      </c>
      <c r="Y366" s="119"/>
    </row>
    <row r="367" spans="1:25">
      <c r="A367" s="44" t="s">
        <v>477</v>
      </c>
      <c r="B367" s="19" t="s">
        <v>424</v>
      </c>
      <c r="C367" s="49">
        <v>2030</v>
      </c>
      <c r="D367" s="46">
        <v>0</v>
      </c>
      <c r="E367" s="47">
        <v>0</v>
      </c>
      <c r="F367" s="47">
        <v>0</v>
      </c>
      <c r="G367" s="48">
        <v>0</v>
      </c>
      <c r="H367" s="57">
        <f t="shared" si="21"/>
        <v>0</v>
      </c>
      <c r="I367" s="119"/>
      <c r="J367" s="119"/>
      <c r="K367" s="119"/>
      <c r="L367" s="119"/>
      <c r="M367" s="119"/>
      <c r="N367" s="119"/>
      <c r="O367" s="119"/>
      <c r="P367" s="119"/>
      <c r="Q367" s="44" t="s">
        <v>477</v>
      </c>
      <c r="R367" s="19" t="s">
        <v>424</v>
      </c>
      <c r="S367" s="49">
        <v>2030</v>
      </c>
      <c r="T367" s="46">
        <v>0</v>
      </c>
      <c r="U367" s="47">
        <v>0</v>
      </c>
      <c r="V367" s="47">
        <v>0</v>
      </c>
      <c r="W367" s="48">
        <v>0</v>
      </c>
      <c r="X367" s="57">
        <f t="shared" si="20"/>
        <v>0</v>
      </c>
      <c r="Y367" s="119"/>
    </row>
    <row r="368" spans="1:25">
      <c r="A368" s="44" t="s">
        <v>477</v>
      </c>
      <c r="B368" s="19" t="s">
        <v>424</v>
      </c>
      <c r="C368" s="49">
        <v>2031</v>
      </c>
      <c r="D368" s="46">
        <v>0</v>
      </c>
      <c r="E368" s="47">
        <v>0</v>
      </c>
      <c r="F368" s="47">
        <v>0</v>
      </c>
      <c r="G368" s="48">
        <v>0</v>
      </c>
      <c r="H368" s="57">
        <f t="shared" si="21"/>
        <v>0</v>
      </c>
      <c r="I368" s="119"/>
      <c r="J368" s="119"/>
      <c r="K368" s="119"/>
      <c r="L368" s="119"/>
      <c r="M368" s="119"/>
      <c r="N368" s="119"/>
      <c r="O368" s="119"/>
      <c r="P368" s="119"/>
      <c r="Q368" s="44" t="s">
        <v>477</v>
      </c>
      <c r="R368" s="19" t="s">
        <v>424</v>
      </c>
      <c r="S368" s="49">
        <v>2031</v>
      </c>
      <c r="T368" s="46">
        <v>0</v>
      </c>
      <c r="U368" s="47">
        <v>0</v>
      </c>
      <c r="V368" s="47">
        <v>0</v>
      </c>
      <c r="W368" s="48">
        <v>0</v>
      </c>
      <c r="X368" s="57">
        <f t="shared" si="20"/>
        <v>0</v>
      </c>
      <c r="Y368" s="119"/>
    </row>
    <row r="369" spans="1:25">
      <c r="A369" s="44" t="s">
        <v>477</v>
      </c>
      <c r="B369" s="19" t="s">
        <v>424</v>
      </c>
      <c r="C369" s="49">
        <v>2032</v>
      </c>
      <c r="D369" s="46">
        <v>0</v>
      </c>
      <c r="E369" s="47">
        <v>0</v>
      </c>
      <c r="F369" s="47">
        <v>0</v>
      </c>
      <c r="G369" s="48">
        <v>61.576304731967326</v>
      </c>
      <c r="H369" s="57">
        <f t="shared" si="21"/>
        <v>41.088458837977186</v>
      </c>
      <c r="I369" s="119"/>
      <c r="J369" s="119"/>
      <c r="K369" s="119"/>
      <c r="L369" s="119"/>
      <c r="M369" s="119"/>
      <c r="N369" s="119"/>
      <c r="O369" s="119"/>
      <c r="P369" s="119"/>
      <c r="Q369" s="44" t="s">
        <v>477</v>
      </c>
      <c r="R369" s="19" t="s">
        <v>424</v>
      </c>
      <c r="S369" s="49">
        <v>2032</v>
      </c>
      <c r="T369" s="46">
        <v>0</v>
      </c>
      <c r="U369" s="47">
        <v>0</v>
      </c>
      <c r="V369" s="47">
        <v>0</v>
      </c>
      <c r="W369" s="48">
        <v>61.576304731967326</v>
      </c>
      <c r="X369" s="57">
        <f t="shared" si="20"/>
        <v>61.576304731967326</v>
      </c>
      <c r="Y369" s="119"/>
    </row>
    <row r="370" spans="1:25">
      <c r="A370" s="44" t="s">
        <v>477</v>
      </c>
      <c r="B370" s="19" t="s">
        <v>424</v>
      </c>
      <c r="C370" s="49">
        <v>2033</v>
      </c>
      <c r="D370" s="46">
        <v>0</v>
      </c>
      <c r="E370" s="47">
        <v>0</v>
      </c>
      <c r="F370" s="47">
        <v>0</v>
      </c>
      <c r="G370" s="48">
        <v>18.305382044964642</v>
      </c>
      <c r="H370" s="57">
        <f t="shared" si="21"/>
        <v>11.418333703694639</v>
      </c>
      <c r="I370" s="119"/>
      <c r="J370" s="119"/>
      <c r="K370" s="119"/>
      <c r="L370" s="119"/>
      <c r="M370" s="119"/>
      <c r="N370" s="119"/>
      <c r="O370" s="119"/>
      <c r="P370" s="119"/>
      <c r="Q370" s="44" t="s">
        <v>477</v>
      </c>
      <c r="R370" s="19" t="s">
        <v>424</v>
      </c>
      <c r="S370" s="49">
        <v>2033</v>
      </c>
      <c r="T370" s="46">
        <v>0</v>
      </c>
      <c r="U370" s="47">
        <v>0</v>
      </c>
      <c r="V370" s="47">
        <v>0</v>
      </c>
      <c r="W370" s="48">
        <v>81.113212871571321</v>
      </c>
      <c r="X370" s="57">
        <f t="shared" si="20"/>
        <v>81.113212871571321</v>
      </c>
      <c r="Y370" s="119"/>
    </row>
    <row r="371" spans="1:25">
      <c r="A371" s="44" t="s">
        <v>477</v>
      </c>
      <c r="B371" s="19" t="s">
        <v>424</v>
      </c>
      <c r="C371" s="49">
        <v>2034</v>
      </c>
      <c r="D371" s="46">
        <v>0</v>
      </c>
      <c r="E371" s="47">
        <v>0</v>
      </c>
      <c r="F371" s="47">
        <v>0</v>
      </c>
      <c r="G371" s="48">
        <v>0</v>
      </c>
      <c r="H371" s="57">
        <f t="shared" si="21"/>
        <v>0</v>
      </c>
      <c r="I371" s="119"/>
      <c r="J371" s="119"/>
      <c r="K371" s="119"/>
      <c r="L371" s="119"/>
      <c r="M371" s="119"/>
      <c r="N371" s="119"/>
      <c r="O371" s="119"/>
      <c r="P371" s="119"/>
      <c r="Q371" s="44" t="s">
        <v>477</v>
      </c>
      <c r="R371" s="19" t="s">
        <v>424</v>
      </c>
      <c r="S371" s="49">
        <v>2034</v>
      </c>
      <c r="T371" s="46">
        <v>0</v>
      </c>
      <c r="U371" s="47">
        <v>0</v>
      </c>
      <c r="V371" s="47">
        <v>0</v>
      </c>
      <c r="W371" s="48">
        <v>82.735477129002746</v>
      </c>
      <c r="X371" s="57">
        <f t="shared" si="20"/>
        <v>82.735477129002746</v>
      </c>
      <c r="Y371" s="119"/>
    </row>
    <row r="372" spans="1:25">
      <c r="A372" s="44" t="s">
        <v>477</v>
      </c>
      <c r="B372" s="19" t="s">
        <v>424</v>
      </c>
      <c r="C372" s="49">
        <v>2035</v>
      </c>
      <c r="D372" s="46">
        <v>0</v>
      </c>
      <c r="E372" s="47">
        <v>0</v>
      </c>
      <c r="F372" s="47">
        <v>0</v>
      </c>
      <c r="G372" s="48">
        <v>0</v>
      </c>
      <c r="H372" s="57">
        <f t="shared" si="21"/>
        <v>0</v>
      </c>
      <c r="I372" s="119"/>
      <c r="J372" s="119"/>
      <c r="K372" s="119"/>
      <c r="L372" s="119"/>
      <c r="M372" s="119"/>
      <c r="N372" s="119"/>
      <c r="O372" s="119"/>
      <c r="P372" s="119"/>
      <c r="Q372" s="44" t="s">
        <v>477</v>
      </c>
      <c r="R372" s="19" t="s">
        <v>424</v>
      </c>
      <c r="S372" s="49">
        <v>2035</v>
      </c>
      <c r="T372" s="46">
        <v>0</v>
      </c>
      <c r="U372" s="47">
        <v>0</v>
      </c>
      <c r="V372" s="47">
        <v>0</v>
      </c>
      <c r="W372" s="48">
        <v>84.390186671582796</v>
      </c>
      <c r="X372" s="57">
        <f t="shared" si="20"/>
        <v>84.390186671582796</v>
      </c>
      <c r="Y372" s="119">
        <f>NPV($Y$10,X363:X372)/((1-(1+$Y$10)^-10)/$Y$10)</f>
        <v>24.717158860190743</v>
      </c>
    </row>
    <row r="373" spans="1:25">
      <c r="A373" s="44"/>
      <c r="B373" s="19" t="s">
        <v>401</v>
      </c>
      <c r="C373" s="49"/>
      <c r="D373" s="46" t="s">
        <v>401</v>
      </c>
      <c r="E373" s="47" t="s">
        <v>401</v>
      </c>
      <c r="F373" s="47" t="s">
        <v>401</v>
      </c>
      <c r="G373" s="48" t="s">
        <v>401</v>
      </c>
      <c r="H373" s="57">
        <f t="shared" si="21"/>
        <v>0</v>
      </c>
      <c r="I373" s="119"/>
      <c r="J373" s="119"/>
      <c r="K373" s="119"/>
      <c r="L373" s="119"/>
      <c r="M373" s="119"/>
      <c r="N373" s="119"/>
      <c r="O373" s="119"/>
      <c r="P373" s="119"/>
      <c r="Q373" s="44"/>
      <c r="R373" s="19" t="s">
        <v>401</v>
      </c>
      <c r="S373" s="49"/>
      <c r="T373" s="46"/>
      <c r="U373" s="47"/>
      <c r="V373" s="47"/>
      <c r="W373" s="48"/>
      <c r="X373" s="57">
        <f t="shared" si="20"/>
        <v>0</v>
      </c>
      <c r="Y373" s="119"/>
    </row>
    <row r="374" spans="1:25">
      <c r="A374" s="44" t="s">
        <v>477</v>
      </c>
      <c r="B374" s="19" t="s">
        <v>425</v>
      </c>
      <c r="C374" s="49">
        <v>2026</v>
      </c>
      <c r="D374" s="46">
        <v>0</v>
      </c>
      <c r="E374" s="47">
        <v>0</v>
      </c>
      <c r="F374" s="47">
        <v>0</v>
      </c>
      <c r="G374" s="48">
        <v>0</v>
      </c>
      <c r="H374" s="57">
        <f t="shared" si="21"/>
        <v>0</v>
      </c>
      <c r="I374" s="119"/>
      <c r="J374" s="119"/>
      <c r="K374" s="119"/>
      <c r="L374" s="119"/>
      <c r="M374" s="119"/>
      <c r="N374" s="119"/>
      <c r="O374" s="119"/>
      <c r="P374" s="119"/>
      <c r="Q374" s="44" t="s">
        <v>477</v>
      </c>
      <c r="R374" s="19" t="s">
        <v>425</v>
      </c>
      <c r="S374" s="49">
        <v>2026</v>
      </c>
      <c r="T374" s="46">
        <v>0</v>
      </c>
      <c r="U374" s="47">
        <v>0</v>
      </c>
      <c r="V374" s="47">
        <v>0</v>
      </c>
      <c r="W374" s="48">
        <v>0</v>
      </c>
      <c r="X374" s="57">
        <f t="shared" si="20"/>
        <v>0</v>
      </c>
      <c r="Y374" s="119"/>
    </row>
    <row r="375" spans="1:25">
      <c r="A375" s="44" t="s">
        <v>477</v>
      </c>
      <c r="B375" s="19" t="s">
        <v>425</v>
      </c>
      <c r="C375" s="49">
        <v>2027</v>
      </c>
      <c r="D375" s="46">
        <v>0</v>
      </c>
      <c r="E375" s="47">
        <v>0</v>
      </c>
      <c r="F375" s="47">
        <v>0</v>
      </c>
      <c r="G375" s="48">
        <v>0</v>
      </c>
      <c r="H375" s="57">
        <f t="shared" si="21"/>
        <v>0</v>
      </c>
      <c r="I375" s="119"/>
      <c r="J375" s="119"/>
      <c r="K375" s="119"/>
      <c r="L375" s="119"/>
      <c r="M375" s="119"/>
      <c r="N375" s="119"/>
      <c r="O375" s="119"/>
      <c r="P375" s="119"/>
      <c r="Q375" s="44" t="s">
        <v>477</v>
      </c>
      <c r="R375" s="19" t="s">
        <v>425</v>
      </c>
      <c r="S375" s="49">
        <v>2027</v>
      </c>
      <c r="T375" s="46">
        <v>0</v>
      </c>
      <c r="U375" s="47">
        <v>0</v>
      </c>
      <c r="V375" s="47">
        <v>0</v>
      </c>
      <c r="W375" s="48">
        <v>0</v>
      </c>
      <c r="X375" s="57">
        <f t="shared" si="20"/>
        <v>0</v>
      </c>
      <c r="Y375" s="119"/>
    </row>
    <row r="376" spans="1:25">
      <c r="A376" s="44" t="s">
        <v>477</v>
      </c>
      <c r="B376" s="19" t="s">
        <v>425</v>
      </c>
      <c r="C376" s="49">
        <v>2028</v>
      </c>
      <c r="D376" s="46">
        <v>8.1670136675587326</v>
      </c>
      <c r="E376" s="47">
        <v>9.3455891407088512</v>
      </c>
      <c r="F376" s="47">
        <v>0</v>
      </c>
      <c r="G376" s="48">
        <v>0</v>
      </c>
      <c r="H376" s="57">
        <f t="shared" si="21"/>
        <v>15.303335781686</v>
      </c>
      <c r="I376" s="119"/>
      <c r="J376" s="119"/>
      <c r="K376" s="119"/>
      <c r="L376" s="119"/>
      <c r="M376" s="119"/>
      <c r="N376" s="119"/>
      <c r="O376" s="119"/>
      <c r="P376" s="119"/>
      <c r="Q376" s="44" t="s">
        <v>477</v>
      </c>
      <c r="R376" s="19" t="s">
        <v>425</v>
      </c>
      <c r="S376" s="49">
        <v>2028</v>
      </c>
      <c r="T376" s="46">
        <v>8.1670136675587326</v>
      </c>
      <c r="U376" s="47">
        <v>9.3455891407088512</v>
      </c>
      <c r="V376" s="47">
        <v>0</v>
      </c>
      <c r="W376" s="48">
        <v>0</v>
      </c>
      <c r="X376" s="57">
        <f t="shared" si="20"/>
        <v>17.512602808267584</v>
      </c>
      <c r="Y376" s="119"/>
    </row>
    <row r="377" spans="1:25">
      <c r="A377" s="44" t="s">
        <v>477</v>
      </c>
      <c r="B377" s="19" t="s">
        <v>425</v>
      </c>
      <c r="C377" s="49">
        <v>2029</v>
      </c>
      <c r="D377" s="46">
        <v>21.341265495691864</v>
      </c>
      <c r="E377" s="47">
        <v>24.421007137256399</v>
      </c>
      <c r="F377" s="47">
        <v>0</v>
      </c>
      <c r="G377" s="48">
        <v>0</v>
      </c>
      <c r="H377" s="57">
        <f t="shared" si="21"/>
        <v>37.381842096205808</v>
      </c>
      <c r="I377" s="119"/>
      <c r="J377" s="119"/>
      <c r="K377" s="119"/>
      <c r="L377" s="119"/>
      <c r="M377" s="119"/>
      <c r="N377" s="119"/>
      <c r="O377" s="119"/>
      <c r="P377" s="119"/>
      <c r="Q377" s="44" t="s">
        <v>477</v>
      </c>
      <c r="R377" s="19" t="s">
        <v>425</v>
      </c>
      <c r="S377" s="49">
        <v>2029</v>
      </c>
      <c r="T377" s="46">
        <v>29.671619436601773</v>
      </c>
      <c r="U377" s="47">
        <v>33.953508060779427</v>
      </c>
      <c r="V377" s="47">
        <v>0</v>
      </c>
      <c r="W377" s="48">
        <v>0</v>
      </c>
      <c r="X377" s="57">
        <f t="shared" si="20"/>
        <v>63.6251274973812</v>
      </c>
      <c r="Y377" s="119"/>
    </row>
    <row r="378" spans="1:25">
      <c r="A378" s="44" t="s">
        <v>477</v>
      </c>
      <c r="B378" s="19" t="s">
        <v>425</v>
      </c>
      <c r="C378" s="49">
        <v>2030</v>
      </c>
      <c r="D378" s="46">
        <v>41.085019048535457</v>
      </c>
      <c r="E378" s="47">
        <v>47.01396660948442</v>
      </c>
      <c r="F378" s="47">
        <v>0</v>
      </c>
      <c r="G378" s="48">
        <v>0</v>
      </c>
      <c r="H378" s="57">
        <f t="shared" si="21"/>
        <v>67.273144411145807</v>
      </c>
      <c r="I378" s="119"/>
      <c r="J378" s="119"/>
      <c r="K378" s="119"/>
      <c r="L378" s="119"/>
      <c r="M378" s="119"/>
      <c r="N378" s="119"/>
      <c r="O378" s="119"/>
      <c r="P378" s="119"/>
      <c r="Q378" s="44" t="s">
        <v>477</v>
      </c>
      <c r="R378" s="19" t="s">
        <v>425</v>
      </c>
      <c r="S378" s="49">
        <v>2030</v>
      </c>
      <c r="T378" s="46">
        <v>71.350070873869271</v>
      </c>
      <c r="U378" s="47">
        <v>81.646544831479446</v>
      </c>
      <c r="V378" s="47">
        <v>0</v>
      </c>
      <c r="W378" s="48">
        <v>0</v>
      </c>
      <c r="X378" s="57">
        <f t="shared" si="20"/>
        <v>152.99661570534872</v>
      </c>
      <c r="Y378" s="119"/>
    </row>
    <row r="379" spans="1:25">
      <c r="A379" s="44" t="s">
        <v>477</v>
      </c>
      <c r="B379" s="19" t="s">
        <v>425</v>
      </c>
      <c r="C379" s="49">
        <v>2031</v>
      </c>
      <c r="D379" s="46">
        <v>54.402712235093894</v>
      </c>
      <c r="E379" s="47">
        <v>62.253525876782277</v>
      </c>
      <c r="F379" s="47">
        <v>0</v>
      </c>
      <c r="G379" s="48">
        <v>0</v>
      </c>
      <c r="H379" s="57">
        <f t="shared" si="21"/>
        <v>83.271519890042612</v>
      </c>
      <c r="I379" s="119"/>
      <c r="J379" s="119"/>
      <c r="K379" s="119"/>
      <c r="L379" s="119"/>
      <c r="M379" s="119"/>
      <c r="N379" s="119"/>
      <c r="O379" s="119"/>
      <c r="P379" s="119"/>
      <c r="Q379" s="44" t="s">
        <v>477</v>
      </c>
      <c r="R379" s="19" t="s">
        <v>425</v>
      </c>
      <c r="S379" s="49">
        <v>2031</v>
      </c>
      <c r="T379" s="46">
        <v>127.17978452644056</v>
      </c>
      <c r="U379" s="47">
        <v>145.5330016048913</v>
      </c>
      <c r="V379" s="47">
        <v>0</v>
      </c>
      <c r="W379" s="48">
        <v>0</v>
      </c>
      <c r="X379" s="57">
        <f t="shared" si="20"/>
        <v>272.71278613133188</v>
      </c>
      <c r="Y379" s="119"/>
    </row>
    <row r="380" spans="1:25">
      <c r="A380" s="44" t="s">
        <v>477</v>
      </c>
      <c r="B380" s="19" t="s">
        <v>425</v>
      </c>
      <c r="C380" s="49">
        <v>2032</v>
      </c>
      <c r="D380" s="46">
        <v>11.891035949398148</v>
      </c>
      <c r="E380" s="47">
        <v>13.607022219382703</v>
      </c>
      <c r="F380" s="47">
        <v>0</v>
      </c>
      <c r="G380" s="48">
        <v>0</v>
      </c>
      <c r="H380" s="57">
        <f t="shared" si="21"/>
        <v>17.014270636678837</v>
      </c>
      <c r="I380" s="119"/>
      <c r="J380" s="119"/>
      <c r="K380" s="119"/>
      <c r="L380" s="119"/>
      <c r="M380" s="119"/>
      <c r="N380" s="119"/>
      <c r="O380" s="119"/>
      <c r="P380" s="119"/>
      <c r="Q380" s="44" t="s">
        <v>477</v>
      </c>
      <c r="R380" s="19" t="s">
        <v>425</v>
      </c>
      <c r="S380" s="49">
        <v>2032</v>
      </c>
      <c r="T380" s="46">
        <v>141.6144161663675</v>
      </c>
      <c r="U380" s="47">
        <v>162.05068385637185</v>
      </c>
      <c r="V380" s="47">
        <v>0</v>
      </c>
      <c r="W380" s="48">
        <v>0</v>
      </c>
      <c r="X380" s="57">
        <f t="shared" si="20"/>
        <v>303.66510002273935</v>
      </c>
      <c r="Y380" s="119"/>
    </row>
    <row r="381" spans="1:25">
      <c r="A381" s="44" t="s">
        <v>477</v>
      </c>
      <c r="B381" s="19" t="s">
        <v>425</v>
      </c>
      <c r="C381" s="49">
        <v>2033</v>
      </c>
      <c r="D381" s="46">
        <v>0</v>
      </c>
      <c r="E381" s="47">
        <v>0</v>
      </c>
      <c r="F381" s="47">
        <v>0</v>
      </c>
      <c r="G381" s="48">
        <v>0</v>
      </c>
      <c r="H381" s="57">
        <f t="shared" si="21"/>
        <v>0</v>
      </c>
      <c r="I381" s="119"/>
      <c r="J381" s="119"/>
      <c r="K381" s="119"/>
      <c r="L381" s="119"/>
      <c r="M381" s="119"/>
      <c r="N381" s="119"/>
      <c r="O381" s="119"/>
      <c r="P381" s="119"/>
      <c r="Q381" s="44" t="s">
        <v>477</v>
      </c>
      <c r="R381" s="19" t="s">
        <v>425</v>
      </c>
      <c r="S381" s="49">
        <v>2033</v>
      </c>
      <c r="T381" s="46">
        <v>144.44670448969487</v>
      </c>
      <c r="U381" s="47">
        <v>165.29169753349927</v>
      </c>
      <c r="V381" s="47">
        <v>0</v>
      </c>
      <c r="W381" s="48">
        <v>0</v>
      </c>
      <c r="X381" s="57">
        <f t="shared" si="20"/>
        <v>309.73840202319411</v>
      </c>
      <c r="Y381" s="119"/>
    </row>
    <row r="382" spans="1:25">
      <c r="A382" s="44" t="s">
        <v>477</v>
      </c>
      <c r="B382" s="19" t="s">
        <v>425</v>
      </c>
      <c r="C382" s="49">
        <v>2034</v>
      </c>
      <c r="D382" s="46">
        <v>0</v>
      </c>
      <c r="E382" s="47">
        <v>0</v>
      </c>
      <c r="F382" s="47">
        <v>0</v>
      </c>
      <c r="G382" s="48">
        <v>0</v>
      </c>
      <c r="H382" s="57">
        <f t="shared" si="21"/>
        <v>0</v>
      </c>
      <c r="I382" s="119"/>
      <c r="J382" s="119"/>
      <c r="K382" s="119"/>
      <c r="L382" s="119"/>
      <c r="M382" s="119"/>
      <c r="N382" s="119"/>
      <c r="O382" s="119"/>
      <c r="P382" s="119"/>
      <c r="Q382" s="44" t="s">
        <v>477</v>
      </c>
      <c r="R382" s="19" t="s">
        <v>425</v>
      </c>
      <c r="S382" s="49">
        <v>2034</v>
      </c>
      <c r="T382" s="46">
        <v>147.33563857948877</v>
      </c>
      <c r="U382" s="47">
        <v>168.59753148416925</v>
      </c>
      <c r="V382" s="47">
        <v>0</v>
      </c>
      <c r="W382" s="48">
        <v>0</v>
      </c>
      <c r="X382" s="57">
        <f t="shared" si="20"/>
        <v>315.93317006365805</v>
      </c>
      <c r="Y382" s="119"/>
    </row>
    <row r="383" spans="1:25">
      <c r="A383" s="44" t="s">
        <v>477</v>
      </c>
      <c r="B383" s="19" t="s">
        <v>425</v>
      </c>
      <c r="C383" s="49">
        <v>2035</v>
      </c>
      <c r="D383" s="46">
        <v>0</v>
      </c>
      <c r="E383" s="47">
        <v>0</v>
      </c>
      <c r="F383" s="47">
        <v>0</v>
      </c>
      <c r="G383" s="48">
        <v>0</v>
      </c>
      <c r="H383" s="57">
        <f t="shared" si="21"/>
        <v>0</v>
      </c>
      <c r="I383" s="119"/>
      <c r="J383" s="119"/>
      <c r="K383" s="119"/>
      <c r="L383" s="119"/>
      <c r="M383" s="119"/>
      <c r="N383" s="119"/>
      <c r="O383" s="119"/>
      <c r="P383" s="119"/>
      <c r="Q383" s="44" t="s">
        <v>477</v>
      </c>
      <c r="R383" s="19" t="s">
        <v>425</v>
      </c>
      <c r="S383" s="49">
        <v>2035</v>
      </c>
      <c r="T383" s="46">
        <v>150.28235135107855</v>
      </c>
      <c r="U383" s="47">
        <v>171.96948211385265</v>
      </c>
      <c r="V383" s="47">
        <v>0</v>
      </c>
      <c r="W383" s="48">
        <v>0</v>
      </c>
      <c r="X383" s="57">
        <f t="shared" si="20"/>
        <v>322.25183346493122</v>
      </c>
      <c r="Y383" s="119">
        <f>NPV($Y$10,X374:X383)/((1-(1+$Y$10)^-10)/$Y$10)</f>
        <v>150.81835924319182</v>
      </c>
    </row>
    <row r="384" spans="1:25">
      <c r="A384" s="44"/>
      <c r="B384" s="19" t="s">
        <v>401</v>
      </c>
      <c r="C384" s="49"/>
      <c r="D384" s="42" t="s">
        <v>401</v>
      </c>
      <c r="E384" s="19" t="s">
        <v>401</v>
      </c>
      <c r="F384" s="19" t="s">
        <v>401</v>
      </c>
      <c r="G384" s="43" t="s">
        <v>401</v>
      </c>
      <c r="H384" s="57">
        <f t="shared" si="21"/>
        <v>0</v>
      </c>
      <c r="I384" s="119"/>
      <c r="J384" s="119"/>
      <c r="K384" s="119"/>
      <c r="L384" s="119"/>
      <c r="M384" s="119"/>
      <c r="N384" s="119"/>
      <c r="O384" s="119"/>
      <c r="P384" s="119"/>
      <c r="Q384" s="44"/>
      <c r="R384" s="19" t="s">
        <v>401</v>
      </c>
      <c r="S384" s="49"/>
      <c r="T384" s="42"/>
      <c r="U384" s="19"/>
      <c r="V384" s="19"/>
      <c r="W384" s="43"/>
      <c r="X384" s="57">
        <f t="shared" si="20"/>
        <v>0</v>
      </c>
      <c r="Y384" s="119"/>
    </row>
    <row r="385" spans="1:25">
      <c r="A385" s="44" t="s">
        <v>477</v>
      </c>
      <c r="B385" s="19" t="s">
        <v>470</v>
      </c>
      <c r="C385" s="49">
        <v>2026</v>
      </c>
      <c r="D385" s="46">
        <v>0</v>
      </c>
      <c r="E385" s="47">
        <v>0</v>
      </c>
      <c r="F385" s="47">
        <v>0</v>
      </c>
      <c r="G385" s="48">
        <v>0</v>
      </c>
      <c r="H385" s="57">
        <f t="shared" si="21"/>
        <v>0</v>
      </c>
      <c r="I385" s="119"/>
      <c r="J385" s="119"/>
      <c r="K385" s="119"/>
      <c r="L385" s="119"/>
      <c r="M385" s="119"/>
      <c r="N385" s="119"/>
      <c r="O385" s="119"/>
      <c r="P385" s="119"/>
      <c r="Q385" s="44" t="s">
        <v>477</v>
      </c>
      <c r="R385" s="19" t="s">
        <v>470</v>
      </c>
      <c r="S385" s="49">
        <v>2026</v>
      </c>
      <c r="T385" s="46">
        <v>0</v>
      </c>
      <c r="U385" s="47">
        <v>0</v>
      </c>
      <c r="V385" s="47">
        <v>0</v>
      </c>
      <c r="W385" s="48">
        <v>0</v>
      </c>
      <c r="X385" s="57">
        <f t="shared" si="20"/>
        <v>0</v>
      </c>
      <c r="Y385" s="119"/>
    </row>
    <row r="386" spans="1:25">
      <c r="A386" s="44" t="s">
        <v>477</v>
      </c>
      <c r="B386" s="19" t="s">
        <v>470</v>
      </c>
      <c r="C386" s="49">
        <v>2027</v>
      </c>
      <c r="D386" s="46">
        <v>0</v>
      </c>
      <c r="E386" s="47">
        <v>0</v>
      </c>
      <c r="F386" s="47">
        <v>0</v>
      </c>
      <c r="G386" s="48">
        <v>0</v>
      </c>
      <c r="H386" s="57">
        <f t="shared" si="21"/>
        <v>0</v>
      </c>
      <c r="I386" s="119"/>
      <c r="J386" s="119"/>
      <c r="K386" s="119"/>
      <c r="L386" s="119"/>
      <c r="M386" s="119"/>
      <c r="N386" s="119"/>
      <c r="O386" s="119"/>
      <c r="P386" s="119"/>
      <c r="Q386" s="44" t="s">
        <v>477</v>
      </c>
      <c r="R386" s="19" t="s">
        <v>470</v>
      </c>
      <c r="S386" s="49">
        <v>2027</v>
      </c>
      <c r="T386" s="46">
        <v>0</v>
      </c>
      <c r="U386" s="47">
        <v>0</v>
      </c>
      <c r="V386" s="47">
        <v>0</v>
      </c>
      <c r="W386" s="48">
        <v>0</v>
      </c>
      <c r="X386" s="57">
        <f t="shared" si="20"/>
        <v>0</v>
      </c>
      <c r="Y386" s="119"/>
    </row>
    <row r="387" spans="1:25">
      <c r="A387" s="44" t="s">
        <v>477</v>
      </c>
      <c r="B387" s="19" t="s">
        <v>470</v>
      </c>
      <c r="C387" s="49">
        <v>2028</v>
      </c>
      <c r="D387" s="46">
        <v>0</v>
      </c>
      <c r="E387" s="47">
        <v>0</v>
      </c>
      <c r="F387" s="47">
        <v>0</v>
      </c>
      <c r="G387" s="48">
        <v>0</v>
      </c>
      <c r="H387" s="57">
        <f t="shared" si="21"/>
        <v>0</v>
      </c>
      <c r="I387" s="119"/>
      <c r="J387" s="119"/>
      <c r="K387" s="119"/>
      <c r="L387" s="119"/>
      <c r="M387" s="119"/>
      <c r="N387" s="119"/>
      <c r="O387" s="119"/>
      <c r="P387" s="119"/>
      <c r="Q387" s="44" t="s">
        <v>477</v>
      </c>
      <c r="R387" s="19" t="s">
        <v>470</v>
      </c>
      <c r="S387" s="49">
        <v>2028</v>
      </c>
      <c r="T387" s="46">
        <v>0</v>
      </c>
      <c r="U387" s="47">
        <v>0</v>
      </c>
      <c r="V387" s="47">
        <v>0</v>
      </c>
      <c r="W387" s="48">
        <v>0</v>
      </c>
      <c r="X387" s="57">
        <f t="shared" si="20"/>
        <v>0</v>
      </c>
      <c r="Y387" s="119"/>
    </row>
    <row r="388" spans="1:25">
      <c r="A388" s="44" t="s">
        <v>477</v>
      </c>
      <c r="B388" s="19" t="s">
        <v>470</v>
      </c>
      <c r="C388" s="49">
        <v>2029</v>
      </c>
      <c r="D388" s="46">
        <v>0</v>
      </c>
      <c r="E388" s="47">
        <v>0</v>
      </c>
      <c r="F388" s="47">
        <v>0</v>
      </c>
      <c r="G388" s="48">
        <v>0</v>
      </c>
      <c r="H388" s="57">
        <f t="shared" si="21"/>
        <v>0</v>
      </c>
      <c r="I388" s="119"/>
      <c r="J388" s="119"/>
      <c r="K388" s="119"/>
      <c r="L388" s="119"/>
      <c r="M388" s="119"/>
      <c r="N388" s="119"/>
      <c r="O388" s="119"/>
      <c r="P388" s="119"/>
      <c r="Q388" s="44" t="s">
        <v>477</v>
      </c>
      <c r="R388" s="19" t="s">
        <v>470</v>
      </c>
      <c r="S388" s="49">
        <v>2029</v>
      </c>
      <c r="T388" s="46">
        <v>0</v>
      </c>
      <c r="U388" s="47">
        <v>0</v>
      </c>
      <c r="V388" s="47">
        <v>0</v>
      </c>
      <c r="W388" s="48">
        <v>0</v>
      </c>
      <c r="X388" s="57">
        <f t="shared" si="20"/>
        <v>0</v>
      </c>
      <c r="Y388" s="119"/>
    </row>
    <row r="389" spans="1:25">
      <c r="A389" s="44" t="s">
        <v>477</v>
      </c>
      <c r="B389" s="19" t="s">
        <v>470</v>
      </c>
      <c r="C389" s="49">
        <v>2030</v>
      </c>
      <c r="D389" s="46">
        <v>0</v>
      </c>
      <c r="E389" s="47">
        <v>0</v>
      </c>
      <c r="F389" s="47">
        <v>62.88308769198531</v>
      </c>
      <c r="G389" s="48">
        <v>0</v>
      </c>
      <c r="H389" s="57">
        <f t="shared" si="21"/>
        <v>48.018067492205851</v>
      </c>
      <c r="I389" s="119"/>
      <c r="J389" s="119"/>
      <c r="K389" s="119"/>
      <c r="L389" s="119"/>
      <c r="M389" s="119"/>
      <c r="N389" s="119"/>
      <c r="O389" s="119"/>
      <c r="P389" s="119"/>
      <c r="Q389" s="44" t="s">
        <v>477</v>
      </c>
      <c r="R389" s="19" t="s">
        <v>470</v>
      </c>
      <c r="S389" s="49">
        <v>2030</v>
      </c>
      <c r="T389" s="46">
        <v>0</v>
      </c>
      <c r="U389" s="47">
        <v>0</v>
      </c>
      <c r="V389" s="47">
        <v>62.88308769198531</v>
      </c>
      <c r="W389" s="48">
        <v>0</v>
      </c>
      <c r="X389" s="57">
        <f t="shared" si="20"/>
        <v>62.88308769198531</v>
      </c>
      <c r="Y389" s="119"/>
    </row>
    <row r="390" spans="1:25">
      <c r="A390" s="44" t="s">
        <v>477</v>
      </c>
      <c r="B390" s="19" t="s">
        <v>470</v>
      </c>
      <c r="C390" s="49">
        <v>2031</v>
      </c>
      <c r="D390" s="46">
        <v>0</v>
      </c>
      <c r="E390" s="47">
        <v>0</v>
      </c>
      <c r="F390" s="47">
        <v>0</v>
      </c>
      <c r="G390" s="48">
        <v>0</v>
      </c>
      <c r="H390" s="57">
        <f t="shared" si="21"/>
        <v>0</v>
      </c>
      <c r="I390" s="119"/>
      <c r="J390" s="119"/>
      <c r="K390" s="119"/>
      <c r="L390" s="119"/>
      <c r="M390" s="119"/>
      <c r="N390" s="119"/>
      <c r="O390" s="119"/>
      <c r="P390" s="119"/>
      <c r="Q390" s="44" t="s">
        <v>477</v>
      </c>
      <c r="R390" s="19" t="s">
        <v>470</v>
      </c>
      <c r="S390" s="49">
        <v>2031</v>
      </c>
      <c r="T390" s="46">
        <v>0</v>
      </c>
      <c r="U390" s="47">
        <v>0</v>
      </c>
      <c r="V390" s="47">
        <v>64.140749445825023</v>
      </c>
      <c r="W390" s="48">
        <v>0</v>
      </c>
      <c r="X390" s="57">
        <f t="shared" si="20"/>
        <v>64.140749445825023</v>
      </c>
      <c r="Y390" s="119"/>
    </row>
    <row r="391" spans="1:25">
      <c r="A391" s="44" t="s">
        <v>477</v>
      </c>
      <c r="B391" s="19" t="s">
        <v>470</v>
      </c>
      <c r="C391" s="49">
        <v>2032</v>
      </c>
      <c r="D391" s="46">
        <v>0</v>
      </c>
      <c r="E391" s="47">
        <v>0</v>
      </c>
      <c r="F391" s="47">
        <v>0</v>
      </c>
      <c r="G391" s="48">
        <v>0</v>
      </c>
      <c r="H391" s="57">
        <f t="shared" si="21"/>
        <v>0</v>
      </c>
      <c r="I391" s="119"/>
      <c r="J391" s="119"/>
      <c r="K391" s="119"/>
      <c r="L391" s="119"/>
      <c r="M391" s="119"/>
      <c r="N391" s="119"/>
      <c r="O391" s="119"/>
      <c r="P391" s="119"/>
      <c r="Q391" s="44" t="s">
        <v>477</v>
      </c>
      <c r="R391" s="19" t="s">
        <v>470</v>
      </c>
      <c r="S391" s="49">
        <v>2032</v>
      </c>
      <c r="T391" s="46">
        <v>0</v>
      </c>
      <c r="U391" s="47">
        <v>0</v>
      </c>
      <c r="V391" s="47">
        <v>65.423564434741522</v>
      </c>
      <c r="W391" s="48">
        <v>0</v>
      </c>
      <c r="X391" s="57">
        <f t="shared" si="20"/>
        <v>65.423564434741522</v>
      </c>
      <c r="Y391" s="119"/>
    </row>
    <row r="392" spans="1:25">
      <c r="A392" s="44" t="s">
        <v>477</v>
      </c>
      <c r="B392" s="19" t="s">
        <v>470</v>
      </c>
      <c r="C392" s="49">
        <v>2033</v>
      </c>
      <c r="D392" s="46">
        <v>0</v>
      </c>
      <c r="E392" s="47">
        <v>0</v>
      </c>
      <c r="F392" s="47">
        <v>0</v>
      </c>
      <c r="G392" s="48">
        <v>0</v>
      </c>
      <c r="H392" s="57">
        <f t="shared" si="21"/>
        <v>0</v>
      </c>
      <c r="I392" s="119"/>
      <c r="J392" s="119"/>
      <c r="K392" s="119"/>
      <c r="L392" s="119"/>
      <c r="M392" s="119"/>
      <c r="N392" s="119"/>
      <c r="O392" s="119"/>
      <c r="P392" s="119"/>
      <c r="Q392" s="44" t="s">
        <v>477</v>
      </c>
      <c r="R392" s="19" t="s">
        <v>470</v>
      </c>
      <c r="S392" s="49">
        <v>2033</v>
      </c>
      <c r="T392" s="46">
        <v>0</v>
      </c>
      <c r="U392" s="47">
        <v>0</v>
      </c>
      <c r="V392" s="47">
        <v>66.732035723436354</v>
      </c>
      <c r="W392" s="48">
        <v>0</v>
      </c>
      <c r="X392" s="57">
        <f t="shared" si="20"/>
        <v>66.732035723436354</v>
      </c>
      <c r="Y392" s="119"/>
    </row>
    <row r="393" spans="1:25">
      <c r="A393" s="44" t="s">
        <v>477</v>
      </c>
      <c r="B393" s="19" t="s">
        <v>470</v>
      </c>
      <c r="C393" s="49">
        <v>2034</v>
      </c>
      <c r="D393" s="46">
        <v>0</v>
      </c>
      <c r="E393" s="47">
        <v>0</v>
      </c>
      <c r="F393" s="47">
        <v>0</v>
      </c>
      <c r="G393" s="48">
        <v>0</v>
      </c>
      <c r="H393" s="57">
        <f t="shared" si="21"/>
        <v>0</v>
      </c>
      <c r="I393" s="119"/>
      <c r="J393" s="119"/>
      <c r="K393" s="119"/>
      <c r="L393" s="119"/>
      <c r="M393" s="119"/>
      <c r="N393" s="119"/>
      <c r="O393" s="119"/>
      <c r="P393" s="119"/>
      <c r="Q393" s="44" t="s">
        <v>477</v>
      </c>
      <c r="R393" s="19" t="s">
        <v>470</v>
      </c>
      <c r="S393" s="49">
        <v>2034</v>
      </c>
      <c r="T393" s="46">
        <v>0</v>
      </c>
      <c r="U393" s="47">
        <v>0</v>
      </c>
      <c r="V393" s="47">
        <v>68.066676437905087</v>
      </c>
      <c r="W393" s="48">
        <v>0</v>
      </c>
      <c r="X393" s="57">
        <f t="shared" si="20"/>
        <v>68.066676437905087</v>
      </c>
      <c r="Y393" s="119"/>
    </row>
    <row r="394" spans="1:25">
      <c r="A394" s="44" t="s">
        <v>477</v>
      </c>
      <c r="B394" s="19" t="s">
        <v>470</v>
      </c>
      <c r="C394" s="49">
        <v>2035</v>
      </c>
      <c r="D394" s="46">
        <v>0</v>
      </c>
      <c r="E394" s="47">
        <v>0</v>
      </c>
      <c r="F394" s="47">
        <v>0</v>
      </c>
      <c r="G394" s="48">
        <v>0</v>
      </c>
      <c r="H394" s="57">
        <f t="shared" si="21"/>
        <v>0</v>
      </c>
      <c r="I394" s="119"/>
      <c r="J394" s="119"/>
      <c r="K394" s="119"/>
      <c r="L394" s="119"/>
      <c r="M394" s="119"/>
      <c r="N394" s="119"/>
      <c r="O394" s="119"/>
      <c r="P394" s="119"/>
      <c r="Q394" s="44" t="s">
        <v>477</v>
      </c>
      <c r="R394" s="19" t="s">
        <v>470</v>
      </c>
      <c r="S394" s="49">
        <v>2035</v>
      </c>
      <c r="T394" s="46">
        <v>0</v>
      </c>
      <c r="U394" s="47">
        <v>0</v>
      </c>
      <c r="V394" s="47">
        <v>69.428009966663197</v>
      </c>
      <c r="W394" s="48">
        <v>0</v>
      </c>
      <c r="X394" s="57">
        <f t="shared" si="20"/>
        <v>69.428009966663197</v>
      </c>
      <c r="Y394" s="119">
        <f>NPV($Y$10,X385:X394)/((1-(1+$Y$10)^-10)/$Y$10)</f>
        <v>34.114814593249889</v>
      </c>
    </row>
    <row r="395" spans="1:25">
      <c r="A395" s="44"/>
      <c r="B395" s="19" t="s">
        <v>401</v>
      </c>
      <c r="C395" s="49"/>
      <c r="D395" s="46" t="s">
        <v>401</v>
      </c>
      <c r="E395" s="47" t="s">
        <v>401</v>
      </c>
      <c r="F395" s="47" t="s">
        <v>401</v>
      </c>
      <c r="G395" s="48" t="s">
        <v>401</v>
      </c>
      <c r="H395" s="57">
        <f t="shared" si="21"/>
        <v>0</v>
      </c>
      <c r="I395" s="119"/>
      <c r="J395" s="119"/>
      <c r="K395" s="119"/>
      <c r="L395" s="119"/>
      <c r="M395" s="119"/>
      <c r="N395" s="119"/>
      <c r="O395" s="119"/>
      <c r="P395" s="119"/>
      <c r="Q395" s="44"/>
      <c r="R395" s="19" t="s">
        <v>401</v>
      </c>
      <c r="S395" s="49"/>
      <c r="T395" s="46"/>
      <c r="U395" s="47"/>
      <c r="V395" s="47"/>
      <c r="W395" s="48"/>
      <c r="X395" s="57">
        <f t="shared" si="20"/>
        <v>0</v>
      </c>
      <c r="Y395" s="119"/>
    </row>
    <row r="396" spans="1:25">
      <c r="A396" s="44" t="s">
        <v>477</v>
      </c>
      <c r="B396" s="19" t="s">
        <v>426</v>
      </c>
      <c r="C396" s="49">
        <v>2026</v>
      </c>
      <c r="D396" s="46">
        <v>0</v>
      </c>
      <c r="E396" s="47">
        <v>0</v>
      </c>
      <c r="F396" s="47">
        <v>0</v>
      </c>
      <c r="G396" s="48">
        <v>0</v>
      </c>
      <c r="H396" s="57">
        <f t="shared" si="21"/>
        <v>0</v>
      </c>
      <c r="I396" s="119"/>
      <c r="J396" s="119"/>
      <c r="K396" s="119"/>
      <c r="L396" s="119"/>
      <c r="M396" s="119"/>
      <c r="N396" s="119"/>
      <c r="O396" s="119"/>
      <c r="P396" s="119"/>
      <c r="Q396" s="44" t="s">
        <v>477</v>
      </c>
      <c r="R396" s="19" t="s">
        <v>426</v>
      </c>
      <c r="S396" s="49">
        <v>2026</v>
      </c>
      <c r="T396" s="46">
        <v>0</v>
      </c>
      <c r="U396" s="47">
        <v>0</v>
      </c>
      <c r="V396" s="47">
        <v>0</v>
      </c>
      <c r="W396" s="48">
        <v>0</v>
      </c>
      <c r="X396" s="57">
        <f t="shared" ref="X396:X459" si="22">SUM(T396:W396)</f>
        <v>0</v>
      </c>
      <c r="Y396" s="119"/>
    </row>
    <row r="397" spans="1:25">
      <c r="A397" s="44" t="s">
        <v>477</v>
      </c>
      <c r="B397" s="19" t="s">
        <v>426</v>
      </c>
      <c r="C397" s="49">
        <v>2027</v>
      </c>
      <c r="D397" s="46">
        <v>0</v>
      </c>
      <c r="E397" s="47">
        <v>0</v>
      </c>
      <c r="F397" s="47">
        <v>0</v>
      </c>
      <c r="G397" s="48">
        <v>0</v>
      </c>
      <c r="H397" s="57">
        <f t="shared" ref="H397:H460" si="23">SUM(D397:G397)/((1+$L$7)^(C397-C$11))</f>
        <v>0</v>
      </c>
      <c r="I397" s="119"/>
      <c r="J397" s="119"/>
      <c r="K397" s="119"/>
      <c r="L397" s="119"/>
      <c r="M397" s="119"/>
      <c r="N397" s="119"/>
      <c r="O397" s="119"/>
      <c r="P397" s="119"/>
      <c r="Q397" s="44" t="s">
        <v>477</v>
      </c>
      <c r="R397" s="19" t="s">
        <v>426</v>
      </c>
      <c r="S397" s="49">
        <v>2027</v>
      </c>
      <c r="T397" s="46">
        <v>0</v>
      </c>
      <c r="U397" s="47">
        <v>0</v>
      </c>
      <c r="V397" s="47">
        <v>0</v>
      </c>
      <c r="W397" s="48">
        <v>0</v>
      </c>
      <c r="X397" s="57">
        <f t="shared" si="22"/>
        <v>0</v>
      </c>
      <c r="Y397" s="119"/>
    </row>
    <row r="398" spans="1:25">
      <c r="A398" s="44" t="s">
        <v>477</v>
      </c>
      <c r="B398" s="19" t="s">
        <v>426</v>
      </c>
      <c r="C398" s="49">
        <v>2028</v>
      </c>
      <c r="D398" s="46">
        <v>0</v>
      </c>
      <c r="E398" s="47">
        <v>0</v>
      </c>
      <c r="F398" s="47">
        <v>0</v>
      </c>
      <c r="G398" s="48">
        <v>0</v>
      </c>
      <c r="H398" s="57">
        <f t="shared" si="23"/>
        <v>0</v>
      </c>
      <c r="I398" s="119"/>
      <c r="J398" s="119"/>
      <c r="K398" s="119"/>
      <c r="L398" s="119"/>
      <c r="M398" s="119"/>
      <c r="N398" s="119"/>
      <c r="O398" s="119"/>
      <c r="P398" s="119"/>
      <c r="Q398" s="44" t="s">
        <v>477</v>
      </c>
      <c r="R398" s="19" t="s">
        <v>426</v>
      </c>
      <c r="S398" s="49">
        <v>2028</v>
      </c>
      <c r="T398" s="46">
        <v>0</v>
      </c>
      <c r="U398" s="47">
        <v>0</v>
      </c>
      <c r="V398" s="47">
        <v>0</v>
      </c>
      <c r="W398" s="48">
        <v>0</v>
      </c>
      <c r="X398" s="57">
        <f t="shared" si="22"/>
        <v>0</v>
      </c>
      <c r="Y398" s="119"/>
    </row>
    <row r="399" spans="1:25">
      <c r="A399" s="44" t="s">
        <v>477</v>
      </c>
      <c r="B399" s="19" t="s">
        <v>426</v>
      </c>
      <c r="C399" s="49">
        <v>2029</v>
      </c>
      <c r="D399" s="46">
        <v>0</v>
      </c>
      <c r="E399" s="47">
        <v>0</v>
      </c>
      <c r="F399" s="47">
        <v>0</v>
      </c>
      <c r="G399" s="48">
        <v>0</v>
      </c>
      <c r="H399" s="57">
        <f t="shared" si="23"/>
        <v>0</v>
      </c>
      <c r="I399" s="119"/>
      <c r="J399" s="119"/>
      <c r="K399" s="119"/>
      <c r="L399" s="119"/>
      <c r="M399" s="119"/>
      <c r="N399" s="119"/>
      <c r="O399" s="119"/>
      <c r="P399" s="119"/>
      <c r="Q399" s="44" t="s">
        <v>477</v>
      </c>
      <c r="R399" s="19" t="s">
        <v>426</v>
      </c>
      <c r="S399" s="49">
        <v>2029</v>
      </c>
      <c r="T399" s="46">
        <v>0</v>
      </c>
      <c r="U399" s="47">
        <v>0</v>
      </c>
      <c r="V399" s="47">
        <v>0</v>
      </c>
      <c r="W399" s="48">
        <v>0</v>
      </c>
      <c r="X399" s="57">
        <f t="shared" si="22"/>
        <v>0</v>
      </c>
      <c r="Y399" s="119"/>
    </row>
    <row r="400" spans="1:25">
      <c r="A400" s="44" t="s">
        <v>477</v>
      </c>
      <c r="B400" s="19" t="s">
        <v>426</v>
      </c>
      <c r="C400" s="49">
        <v>2030</v>
      </c>
      <c r="D400" s="46">
        <v>0</v>
      </c>
      <c r="E400" s="47">
        <v>0</v>
      </c>
      <c r="F400" s="47">
        <v>0</v>
      </c>
      <c r="G400" s="48">
        <v>0</v>
      </c>
      <c r="H400" s="57">
        <f t="shared" si="23"/>
        <v>0</v>
      </c>
      <c r="I400" s="119"/>
      <c r="J400" s="119"/>
      <c r="K400" s="119"/>
      <c r="L400" s="119"/>
      <c r="M400" s="119"/>
      <c r="N400" s="119"/>
      <c r="O400" s="119"/>
      <c r="P400" s="119"/>
      <c r="Q400" s="44" t="s">
        <v>477</v>
      </c>
      <c r="R400" s="19" t="s">
        <v>426</v>
      </c>
      <c r="S400" s="49">
        <v>2030</v>
      </c>
      <c r="T400" s="46">
        <v>0</v>
      </c>
      <c r="U400" s="47">
        <v>0</v>
      </c>
      <c r="V400" s="47">
        <v>0</v>
      </c>
      <c r="W400" s="48">
        <v>0</v>
      </c>
      <c r="X400" s="57">
        <f t="shared" si="22"/>
        <v>0</v>
      </c>
      <c r="Y400" s="119"/>
    </row>
    <row r="401" spans="1:25">
      <c r="A401" s="44" t="s">
        <v>477</v>
      </c>
      <c r="B401" s="19" t="s">
        <v>426</v>
      </c>
      <c r="C401" s="49">
        <v>2031</v>
      </c>
      <c r="D401" s="46">
        <v>0</v>
      </c>
      <c r="E401" s="47">
        <v>0</v>
      </c>
      <c r="F401" s="47">
        <v>0</v>
      </c>
      <c r="G401" s="48">
        <v>0</v>
      </c>
      <c r="H401" s="57">
        <f t="shared" si="23"/>
        <v>0</v>
      </c>
      <c r="I401" s="119"/>
      <c r="J401" s="119"/>
      <c r="K401" s="119"/>
      <c r="L401" s="119"/>
      <c r="M401" s="119"/>
      <c r="N401" s="119"/>
      <c r="O401" s="119"/>
      <c r="P401" s="119"/>
      <c r="Q401" s="44" t="s">
        <v>477</v>
      </c>
      <c r="R401" s="19" t="s">
        <v>426</v>
      </c>
      <c r="S401" s="49">
        <v>2031</v>
      </c>
      <c r="T401" s="46">
        <v>0</v>
      </c>
      <c r="U401" s="47">
        <v>0</v>
      </c>
      <c r="V401" s="47">
        <v>0</v>
      </c>
      <c r="W401" s="48">
        <v>0</v>
      </c>
      <c r="X401" s="57">
        <f t="shared" si="22"/>
        <v>0</v>
      </c>
      <c r="Y401" s="119"/>
    </row>
    <row r="402" spans="1:25">
      <c r="A402" s="44" t="s">
        <v>477</v>
      </c>
      <c r="B402" s="19" t="s">
        <v>426</v>
      </c>
      <c r="C402" s="49">
        <v>2032</v>
      </c>
      <c r="D402" s="46">
        <v>64.153231906334781</v>
      </c>
      <c r="E402" s="47">
        <v>0</v>
      </c>
      <c r="F402" s="47">
        <v>0</v>
      </c>
      <c r="G402" s="48">
        <v>0</v>
      </c>
      <c r="H402" s="57">
        <f t="shared" si="23"/>
        <v>42.80798336276559</v>
      </c>
      <c r="I402" s="119"/>
      <c r="J402" s="119"/>
      <c r="K402" s="119"/>
      <c r="L402" s="119"/>
      <c r="M402" s="119"/>
      <c r="N402" s="119"/>
      <c r="O402" s="119"/>
      <c r="P402" s="119"/>
      <c r="Q402" s="44" t="s">
        <v>477</v>
      </c>
      <c r="R402" s="19" t="s">
        <v>426</v>
      </c>
      <c r="S402" s="49">
        <v>2032</v>
      </c>
      <c r="T402" s="46">
        <v>64.153231906334781</v>
      </c>
      <c r="U402" s="47">
        <v>0</v>
      </c>
      <c r="V402" s="47">
        <v>0</v>
      </c>
      <c r="W402" s="48">
        <v>0</v>
      </c>
      <c r="X402" s="57">
        <f t="shared" si="22"/>
        <v>64.153231906334781</v>
      </c>
      <c r="Y402" s="119"/>
    </row>
    <row r="403" spans="1:25">
      <c r="A403" s="44" t="s">
        <v>477</v>
      </c>
      <c r="B403" s="19" t="s">
        <v>426</v>
      </c>
      <c r="C403" s="49">
        <v>2033</v>
      </c>
      <c r="D403" s="46">
        <v>59.97030325434428</v>
      </c>
      <c r="E403" s="47">
        <v>0</v>
      </c>
      <c r="F403" s="47">
        <v>0</v>
      </c>
      <c r="G403" s="48">
        <v>0</v>
      </c>
      <c r="H403" s="57">
        <f t="shared" si="23"/>
        <v>37.407628706565475</v>
      </c>
      <c r="I403" s="119"/>
      <c r="J403" s="119"/>
      <c r="K403" s="119"/>
      <c r="L403" s="119"/>
      <c r="M403" s="119"/>
      <c r="N403" s="119"/>
      <c r="O403" s="119"/>
      <c r="P403" s="119"/>
      <c r="Q403" s="44" t="s">
        <v>477</v>
      </c>
      <c r="R403" s="19" t="s">
        <v>426</v>
      </c>
      <c r="S403" s="49">
        <v>2033</v>
      </c>
      <c r="T403" s="46">
        <v>125.40659979880576</v>
      </c>
      <c r="U403" s="47">
        <v>0</v>
      </c>
      <c r="V403" s="47">
        <v>0</v>
      </c>
      <c r="W403" s="48">
        <v>0</v>
      </c>
      <c r="X403" s="57">
        <f t="shared" si="22"/>
        <v>125.40659979880576</v>
      </c>
      <c r="Y403" s="119"/>
    </row>
    <row r="404" spans="1:25">
      <c r="A404" s="44" t="s">
        <v>477</v>
      </c>
      <c r="B404" s="19" t="s">
        <v>426</v>
      </c>
      <c r="C404" s="49">
        <v>2034</v>
      </c>
      <c r="D404" s="46">
        <v>0</v>
      </c>
      <c r="E404" s="47">
        <v>0</v>
      </c>
      <c r="F404" s="47">
        <v>0</v>
      </c>
      <c r="G404" s="48">
        <v>0</v>
      </c>
      <c r="H404" s="57">
        <f t="shared" si="23"/>
        <v>0</v>
      </c>
      <c r="I404" s="119"/>
      <c r="J404" s="119"/>
      <c r="K404" s="119"/>
      <c r="L404" s="119"/>
      <c r="M404" s="119"/>
      <c r="N404" s="119"/>
      <c r="O404" s="119"/>
      <c r="P404" s="119"/>
      <c r="Q404" s="44" t="s">
        <v>477</v>
      </c>
      <c r="R404" s="19" t="s">
        <v>426</v>
      </c>
      <c r="S404" s="49">
        <v>2034</v>
      </c>
      <c r="T404" s="46">
        <v>127.91473179478187</v>
      </c>
      <c r="U404" s="47">
        <v>0</v>
      </c>
      <c r="V404" s="47">
        <v>0</v>
      </c>
      <c r="W404" s="48">
        <v>0</v>
      </c>
      <c r="X404" s="57">
        <f t="shared" si="22"/>
        <v>127.91473179478187</v>
      </c>
      <c r="Y404" s="119"/>
    </row>
    <row r="405" spans="1:25">
      <c r="A405" s="44" t="s">
        <v>477</v>
      </c>
      <c r="B405" s="19" t="s">
        <v>426</v>
      </c>
      <c r="C405" s="49">
        <v>2035</v>
      </c>
      <c r="D405" s="46">
        <v>0</v>
      </c>
      <c r="E405" s="47">
        <v>0</v>
      </c>
      <c r="F405" s="47">
        <v>0</v>
      </c>
      <c r="G405" s="48">
        <v>0</v>
      </c>
      <c r="H405" s="57">
        <f t="shared" si="23"/>
        <v>0</v>
      </c>
      <c r="I405" s="119"/>
      <c r="J405" s="119"/>
      <c r="K405" s="119"/>
      <c r="L405" s="119"/>
      <c r="M405" s="119"/>
      <c r="N405" s="119"/>
      <c r="O405" s="119"/>
      <c r="P405" s="119"/>
      <c r="Q405" s="44" t="s">
        <v>477</v>
      </c>
      <c r="R405" s="19" t="s">
        <v>426</v>
      </c>
      <c r="S405" s="49">
        <v>2035</v>
      </c>
      <c r="T405" s="46">
        <v>130.47302643067752</v>
      </c>
      <c r="U405" s="47">
        <v>0</v>
      </c>
      <c r="V405" s="47">
        <v>0</v>
      </c>
      <c r="W405" s="48">
        <v>0</v>
      </c>
      <c r="X405" s="57">
        <f t="shared" si="22"/>
        <v>130.47302643067752</v>
      </c>
      <c r="Y405" s="119">
        <f>NPV($Y$10,X396:X405)/((1-(1+$Y$10)^-10)/$Y$10)</f>
        <v>35.460219739266748</v>
      </c>
    </row>
    <row r="406" spans="1:25">
      <c r="A406" s="44"/>
      <c r="B406" s="19" t="s">
        <v>401</v>
      </c>
      <c r="C406" s="49"/>
      <c r="D406" s="42" t="s">
        <v>401</v>
      </c>
      <c r="E406" s="19" t="s">
        <v>401</v>
      </c>
      <c r="F406" s="19" t="s">
        <v>401</v>
      </c>
      <c r="G406" s="43" t="s">
        <v>401</v>
      </c>
      <c r="H406" s="57">
        <f t="shared" si="23"/>
        <v>0</v>
      </c>
      <c r="I406" s="119"/>
      <c r="J406" s="119"/>
      <c r="K406" s="119"/>
      <c r="L406" s="119"/>
      <c r="M406" s="119"/>
      <c r="N406" s="119"/>
      <c r="O406" s="119"/>
      <c r="P406" s="119"/>
      <c r="Q406" s="44"/>
      <c r="R406" s="19" t="s">
        <v>401</v>
      </c>
      <c r="S406" s="49"/>
      <c r="T406" s="42"/>
      <c r="U406" s="19"/>
      <c r="V406" s="19"/>
      <c r="W406" s="43"/>
      <c r="X406" s="57">
        <f t="shared" si="22"/>
        <v>0</v>
      </c>
      <c r="Y406" s="119"/>
    </row>
    <row r="407" spans="1:25">
      <c r="A407" s="44" t="s">
        <v>477</v>
      </c>
      <c r="B407" s="19" t="s">
        <v>471</v>
      </c>
      <c r="C407" s="49">
        <v>2026</v>
      </c>
      <c r="D407" s="46">
        <v>0</v>
      </c>
      <c r="E407" s="47">
        <v>0</v>
      </c>
      <c r="F407" s="47">
        <v>0</v>
      </c>
      <c r="G407" s="48">
        <v>0</v>
      </c>
      <c r="H407" s="57">
        <f t="shared" si="23"/>
        <v>0</v>
      </c>
      <c r="I407" s="119"/>
      <c r="J407" s="119"/>
      <c r="K407" s="119"/>
      <c r="L407" s="119"/>
      <c r="M407" s="119"/>
      <c r="N407" s="119"/>
      <c r="O407" s="119"/>
      <c r="P407" s="119"/>
      <c r="Q407" s="44" t="s">
        <v>477</v>
      </c>
      <c r="R407" s="19" t="s">
        <v>470</v>
      </c>
      <c r="S407" s="49">
        <v>2026</v>
      </c>
      <c r="T407" s="46">
        <v>0</v>
      </c>
      <c r="U407" s="47">
        <v>0</v>
      </c>
      <c r="V407" s="47">
        <v>0</v>
      </c>
      <c r="W407" s="48">
        <v>0</v>
      </c>
      <c r="X407" s="57">
        <f t="shared" si="22"/>
        <v>0</v>
      </c>
      <c r="Y407" s="119"/>
    </row>
    <row r="408" spans="1:25">
      <c r="A408" s="44" t="s">
        <v>477</v>
      </c>
      <c r="B408" s="19" t="s">
        <v>471</v>
      </c>
      <c r="C408" s="49">
        <v>2027</v>
      </c>
      <c r="D408" s="46">
        <v>0</v>
      </c>
      <c r="E408" s="47">
        <v>0</v>
      </c>
      <c r="F408" s="47">
        <v>0</v>
      </c>
      <c r="G408" s="48">
        <v>0</v>
      </c>
      <c r="H408" s="57">
        <f t="shared" si="23"/>
        <v>0</v>
      </c>
      <c r="I408" s="119"/>
      <c r="J408" s="119"/>
      <c r="K408" s="119"/>
      <c r="L408" s="119"/>
      <c r="M408" s="119"/>
      <c r="N408" s="119"/>
      <c r="O408" s="119"/>
      <c r="P408" s="119"/>
      <c r="Q408" s="44" t="s">
        <v>477</v>
      </c>
      <c r="R408" s="19" t="s">
        <v>470</v>
      </c>
      <c r="S408" s="49">
        <v>2027</v>
      </c>
      <c r="T408" s="46">
        <v>0</v>
      </c>
      <c r="U408" s="47">
        <v>0</v>
      </c>
      <c r="V408" s="47">
        <v>0</v>
      </c>
      <c r="W408" s="48">
        <v>0</v>
      </c>
      <c r="X408" s="57">
        <f t="shared" si="22"/>
        <v>0</v>
      </c>
      <c r="Y408" s="119"/>
    </row>
    <row r="409" spans="1:25">
      <c r="A409" s="44" t="s">
        <v>477</v>
      </c>
      <c r="B409" s="19" t="s">
        <v>471</v>
      </c>
      <c r="C409" s="49">
        <v>2028</v>
      </c>
      <c r="D409" s="46">
        <v>0</v>
      </c>
      <c r="E409" s="47">
        <v>0</v>
      </c>
      <c r="F409" s="47">
        <v>0</v>
      </c>
      <c r="G409" s="48">
        <v>0</v>
      </c>
      <c r="H409" s="57">
        <f t="shared" si="23"/>
        <v>0</v>
      </c>
      <c r="I409" s="119"/>
      <c r="J409" s="119"/>
      <c r="K409" s="119"/>
      <c r="L409" s="119"/>
      <c r="M409" s="119"/>
      <c r="N409" s="119"/>
      <c r="O409" s="119"/>
      <c r="P409" s="119"/>
      <c r="Q409" s="44" t="s">
        <v>477</v>
      </c>
      <c r="R409" s="19" t="s">
        <v>470</v>
      </c>
      <c r="S409" s="49">
        <v>2028</v>
      </c>
      <c r="T409" s="46">
        <v>0</v>
      </c>
      <c r="U409" s="47">
        <v>0</v>
      </c>
      <c r="V409" s="47">
        <v>0</v>
      </c>
      <c r="W409" s="48">
        <v>0</v>
      </c>
      <c r="X409" s="57">
        <f t="shared" si="22"/>
        <v>0</v>
      </c>
      <c r="Y409" s="119"/>
    </row>
    <row r="410" spans="1:25">
      <c r="A410" s="44" t="s">
        <v>477</v>
      </c>
      <c r="B410" s="19" t="s">
        <v>471</v>
      </c>
      <c r="C410" s="49">
        <v>2029</v>
      </c>
      <c r="D410" s="46">
        <v>0</v>
      </c>
      <c r="E410" s="47">
        <v>0</v>
      </c>
      <c r="F410" s="47">
        <v>0</v>
      </c>
      <c r="G410" s="48">
        <v>0</v>
      </c>
      <c r="H410" s="57">
        <f t="shared" si="23"/>
        <v>0</v>
      </c>
      <c r="I410" s="119"/>
      <c r="J410" s="119"/>
      <c r="K410" s="119"/>
      <c r="L410" s="119"/>
      <c r="M410" s="119"/>
      <c r="N410" s="119"/>
      <c r="O410" s="119"/>
      <c r="P410" s="119"/>
      <c r="Q410" s="44" t="s">
        <v>477</v>
      </c>
      <c r="R410" s="19" t="s">
        <v>470</v>
      </c>
      <c r="S410" s="49">
        <v>2029</v>
      </c>
      <c r="T410" s="46">
        <v>0</v>
      </c>
      <c r="U410" s="47">
        <v>0</v>
      </c>
      <c r="V410" s="47">
        <v>0</v>
      </c>
      <c r="W410" s="48">
        <v>0</v>
      </c>
      <c r="X410" s="57">
        <f t="shared" si="22"/>
        <v>0</v>
      </c>
      <c r="Y410" s="119"/>
    </row>
    <row r="411" spans="1:25">
      <c r="A411" s="44" t="s">
        <v>477</v>
      </c>
      <c r="B411" s="19" t="s">
        <v>471</v>
      </c>
      <c r="C411" s="49">
        <v>2030</v>
      </c>
      <c r="D411" s="46">
        <v>0</v>
      </c>
      <c r="E411" s="47">
        <v>0</v>
      </c>
      <c r="F411" s="47">
        <v>0</v>
      </c>
      <c r="G411" s="48">
        <v>0</v>
      </c>
      <c r="H411" s="57">
        <f t="shared" si="23"/>
        <v>0</v>
      </c>
      <c r="I411" s="119"/>
      <c r="J411" s="119"/>
      <c r="K411" s="119"/>
      <c r="L411" s="119"/>
      <c r="M411" s="119"/>
      <c r="N411" s="119"/>
      <c r="O411" s="119"/>
      <c r="P411" s="119"/>
      <c r="Q411" s="44" t="s">
        <v>477</v>
      </c>
      <c r="R411" s="19" t="s">
        <v>470</v>
      </c>
      <c r="S411" s="49">
        <v>2030</v>
      </c>
      <c r="T411" s="46">
        <v>0</v>
      </c>
      <c r="U411" s="47">
        <v>0</v>
      </c>
      <c r="V411" s="47">
        <v>0</v>
      </c>
      <c r="W411" s="48">
        <v>0</v>
      </c>
      <c r="X411" s="57">
        <f t="shared" si="22"/>
        <v>0</v>
      </c>
      <c r="Y411" s="119"/>
    </row>
    <row r="412" spans="1:25">
      <c r="A412" s="44" t="s">
        <v>477</v>
      </c>
      <c r="B412" s="19" t="s">
        <v>471</v>
      </c>
      <c r="C412" s="49">
        <v>2031</v>
      </c>
      <c r="D412" s="46">
        <v>0</v>
      </c>
      <c r="E412" s="47">
        <v>0</v>
      </c>
      <c r="F412" s="47">
        <v>0</v>
      </c>
      <c r="G412" s="48">
        <v>0</v>
      </c>
      <c r="H412" s="57">
        <f t="shared" si="23"/>
        <v>0</v>
      </c>
      <c r="I412" s="119"/>
      <c r="J412" s="119"/>
      <c r="K412" s="119"/>
      <c r="L412" s="119"/>
      <c r="M412" s="119"/>
      <c r="N412" s="119"/>
      <c r="O412" s="119"/>
      <c r="P412" s="119"/>
      <c r="Q412" s="44" t="s">
        <v>477</v>
      </c>
      <c r="R412" s="19" t="s">
        <v>470</v>
      </c>
      <c r="S412" s="49">
        <v>2031</v>
      </c>
      <c r="T412" s="46">
        <v>0</v>
      </c>
      <c r="U412" s="47">
        <v>0</v>
      </c>
      <c r="V412" s="47">
        <v>0</v>
      </c>
      <c r="W412" s="48">
        <v>0</v>
      </c>
      <c r="X412" s="57">
        <f t="shared" si="22"/>
        <v>0</v>
      </c>
      <c r="Y412" s="119"/>
    </row>
    <row r="413" spans="1:25">
      <c r="A413" s="44" t="s">
        <v>477</v>
      </c>
      <c r="B413" s="19" t="s">
        <v>471</v>
      </c>
      <c r="C413" s="49">
        <v>2032</v>
      </c>
      <c r="D413" s="46">
        <v>0</v>
      </c>
      <c r="E413" s="47">
        <v>0</v>
      </c>
      <c r="F413" s="47">
        <v>0</v>
      </c>
      <c r="G413" s="48">
        <v>0</v>
      </c>
      <c r="H413" s="57">
        <f t="shared" si="23"/>
        <v>0</v>
      </c>
      <c r="I413" s="119"/>
      <c r="J413" s="119"/>
      <c r="K413" s="119"/>
      <c r="L413" s="119"/>
      <c r="M413" s="119"/>
      <c r="N413" s="119"/>
      <c r="O413" s="119"/>
      <c r="P413" s="119"/>
      <c r="Q413" s="44" t="s">
        <v>477</v>
      </c>
      <c r="R413" s="19" t="s">
        <v>470</v>
      </c>
      <c r="S413" s="49">
        <v>2032</v>
      </c>
      <c r="T413" s="46">
        <v>0</v>
      </c>
      <c r="U413" s="47">
        <v>0</v>
      </c>
      <c r="V413" s="47">
        <v>0</v>
      </c>
      <c r="W413" s="48">
        <v>0</v>
      </c>
      <c r="X413" s="57">
        <f t="shared" si="22"/>
        <v>0</v>
      </c>
      <c r="Y413" s="119"/>
    </row>
    <row r="414" spans="1:25">
      <c r="A414" s="44" t="s">
        <v>477</v>
      </c>
      <c r="B414" s="19" t="s">
        <v>471</v>
      </c>
      <c r="C414" s="49">
        <v>2033</v>
      </c>
      <c r="D414" s="46">
        <v>0</v>
      </c>
      <c r="E414" s="47">
        <v>0</v>
      </c>
      <c r="F414" s="47">
        <v>0</v>
      </c>
      <c r="G414" s="48">
        <v>0</v>
      </c>
      <c r="H414" s="57">
        <f t="shared" si="23"/>
        <v>0</v>
      </c>
      <c r="I414" s="119"/>
      <c r="J414" s="119"/>
      <c r="K414" s="119"/>
      <c r="L414" s="119"/>
      <c r="M414" s="119"/>
      <c r="N414" s="119"/>
      <c r="O414" s="119"/>
      <c r="P414" s="119"/>
      <c r="Q414" s="44" t="s">
        <v>477</v>
      </c>
      <c r="R414" s="19" t="s">
        <v>470</v>
      </c>
      <c r="S414" s="49">
        <v>2033</v>
      </c>
      <c r="T414" s="46">
        <v>0</v>
      </c>
      <c r="U414" s="47">
        <v>0</v>
      </c>
      <c r="V414" s="47">
        <v>0</v>
      </c>
      <c r="W414" s="48">
        <v>0</v>
      </c>
      <c r="X414" s="57">
        <f t="shared" si="22"/>
        <v>0</v>
      </c>
      <c r="Y414" s="119"/>
    </row>
    <row r="415" spans="1:25">
      <c r="A415" s="44" t="s">
        <v>477</v>
      </c>
      <c r="B415" s="19" t="s">
        <v>471</v>
      </c>
      <c r="C415" s="49">
        <v>2034</v>
      </c>
      <c r="D415" s="46">
        <v>68.68718833153099</v>
      </c>
      <c r="E415" s="47">
        <v>0</v>
      </c>
      <c r="F415" s="47">
        <v>0</v>
      </c>
      <c r="G415" s="48">
        <v>0</v>
      </c>
      <c r="H415" s="57">
        <f t="shared" si="23"/>
        <v>40.051370159421865</v>
      </c>
      <c r="I415" s="119"/>
      <c r="J415" s="119"/>
      <c r="K415" s="119"/>
      <c r="L415" s="119"/>
      <c r="M415" s="119"/>
      <c r="N415" s="119"/>
      <c r="O415" s="119"/>
      <c r="P415" s="119"/>
      <c r="Q415" s="44" t="s">
        <v>477</v>
      </c>
      <c r="R415" s="19" t="s">
        <v>470</v>
      </c>
      <c r="S415" s="49">
        <v>2034</v>
      </c>
      <c r="T415" s="46">
        <v>68.68718833153099</v>
      </c>
      <c r="U415" s="47">
        <v>0</v>
      </c>
      <c r="V415" s="47">
        <v>0</v>
      </c>
      <c r="W415" s="48">
        <v>0</v>
      </c>
      <c r="X415" s="57">
        <f t="shared" si="22"/>
        <v>68.68718833153099</v>
      </c>
      <c r="Y415" s="119"/>
    </row>
    <row r="416" spans="1:25">
      <c r="A416" s="44" t="s">
        <v>477</v>
      </c>
      <c r="B416" s="19" t="s">
        <v>471</v>
      </c>
      <c r="C416" s="49">
        <v>2035</v>
      </c>
      <c r="D416" s="46">
        <v>90.820912258908805</v>
      </c>
      <c r="E416" s="47">
        <v>0</v>
      </c>
      <c r="F416" s="47">
        <v>0</v>
      </c>
      <c r="G416" s="48">
        <v>0</v>
      </c>
      <c r="H416" s="57">
        <f t="shared" si="23"/>
        <v>49.504559848228048</v>
      </c>
      <c r="I416" s="119"/>
      <c r="J416" s="119"/>
      <c r="K416" s="119"/>
      <c r="L416" s="119"/>
      <c r="M416" s="119"/>
      <c r="N416" s="119"/>
      <c r="O416" s="119"/>
      <c r="P416" s="119"/>
      <c r="Q416" s="44" t="s">
        <v>477</v>
      </c>
      <c r="R416" s="19" t="s">
        <v>470</v>
      </c>
      <c r="S416" s="49">
        <v>2035</v>
      </c>
      <c r="T416" s="46">
        <v>160.88184435707041</v>
      </c>
      <c r="U416" s="47">
        <v>0</v>
      </c>
      <c r="V416" s="47">
        <v>0</v>
      </c>
      <c r="W416" s="48">
        <v>0</v>
      </c>
      <c r="X416" s="57">
        <f t="shared" si="22"/>
        <v>160.88184435707041</v>
      </c>
      <c r="Y416" s="119">
        <f>NPV($Y$10,X407:X416)/((1-(1+$Y$10)^-10)/$Y$10)</f>
        <v>16.982428978851278</v>
      </c>
    </row>
    <row r="417" spans="1:25">
      <c r="A417" s="44"/>
      <c r="B417" s="19" t="s">
        <v>401</v>
      </c>
      <c r="C417" s="49"/>
      <c r="D417" s="46" t="s">
        <v>401</v>
      </c>
      <c r="E417" s="47" t="s">
        <v>401</v>
      </c>
      <c r="F417" s="47" t="s">
        <v>401</v>
      </c>
      <c r="G417" s="48" t="s">
        <v>401</v>
      </c>
      <c r="H417" s="57">
        <f t="shared" si="23"/>
        <v>0</v>
      </c>
      <c r="I417" s="119"/>
      <c r="J417" s="119"/>
      <c r="K417" s="119"/>
      <c r="L417" s="119"/>
      <c r="M417" s="119"/>
      <c r="N417" s="119"/>
      <c r="O417" s="119"/>
      <c r="P417" s="119"/>
      <c r="Q417" s="44"/>
      <c r="R417" s="19" t="s">
        <v>401</v>
      </c>
      <c r="S417" s="49"/>
      <c r="T417" s="46"/>
      <c r="U417" s="47"/>
      <c r="V417" s="47"/>
      <c r="W417" s="48"/>
      <c r="X417" s="57">
        <f t="shared" si="22"/>
        <v>0</v>
      </c>
      <c r="Y417" s="119"/>
    </row>
    <row r="418" spans="1:25">
      <c r="A418" s="44" t="s">
        <v>478</v>
      </c>
      <c r="B418" s="19" t="s">
        <v>427</v>
      </c>
      <c r="C418" s="49">
        <v>2026</v>
      </c>
      <c r="D418" s="46">
        <v>0</v>
      </c>
      <c r="E418" s="47">
        <v>0</v>
      </c>
      <c r="F418" s="47">
        <v>10.259087540607219</v>
      </c>
      <c r="G418" s="48">
        <v>0</v>
      </c>
      <c r="H418" s="57">
        <f t="shared" si="23"/>
        <v>10.259087540607219</v>
      </c>
      <c r="I418" s="119"/>
      <c r="J418" s="119"/>
      <c r="K418" s="119"/>
      <c r="L418" s="119"/>
      <c r="M418" s="119"/>
      <c r="N418" s="119"/>
      <c r="O418" s="119"/>
      <c r="P418" s="119"/>
      <c r="Q418" s="44" t="s">
        <v>478</v>
      </c>
      <c r="R418" s="19" t="s">
        <v>427</v>
      </c>
      <c r="S418" s="49">
        <v>2026</v>
      </c>
      <c r="T418" s="46">
        <v>0</v>
      </c>
      <c r="U418" s="47">
        <v>0</v>
      </c>
      <c r="V418" s="47">
        <v>10.259087540607219</v>
      </c>
      <c r="W418" s="48">
        <v>0</v>
      </c>
      <c r="X418" s="57">
        <f t="shared" si="22"/>
        <v>10.259087540607219</v>
      </c>
      <c r="Y418" s="119"/>
    </row>
    <row r="419" spans="1:25">
      <c r="A419" s="44" t="s">
        <v>478</v>
      </c>
      <c r="B419" s="19" t="s">
        <v>427</v>
      </c>
      <c r="C419" s="49">
        <v>2027</v>
      </c>
      <c r="D419" s="46">
        <v>0</v>
      </c>
      <c r="E419" s="47">
        <v>0</v>
      </c>
      <c r="F419" s="47">
        <v>22.394280596644439</v>
      </c>
      <c r="G419" s="48">
        <v>0</v>
      </c>
      <c r="H419" s="57">
        <f t="shared" si="23"/>
        <v>20.93412535325491</v>
      </c>
      <c r="I419" s="119"/>
      <c r="J419" s="119"/>
      <c r="K419" s="119"/>
      <c r="L419" s="119"/>
      <c r="M419" s="119"/>
      <c r="N419" s="119"/>
      <c r="O419" s="119"/>
      <c r="P419" s="119"/>
      <c r="Q419" s="44" t="s">
        <v>478</v>
      </c>
      <c r="R419" s="19" t="s">
        <v>427</v>
      </c>
      <c r="S419" s="49">
        <v>2027</v>
      </c>
      <c r="T419" s="46">
        <v>0</v>
      </c>
      <c r="U419" s="47">
        <v>0</v>
      </c>
      <c r="V419" s="47">
        <v>32.858549888063806</v>
      </c>
      <c r="W419" s="48">
        <v>0</v>
      </c>
      <c r="X419" s="57">
        <f t="shared" si="22"/>
        <v>32.858549888063806</v>
      </c>
      <c r="Y419" s="119"/>
    </row>
    <row r="420" spans="1:25">
      <c r="A420" s="44" t="s">
        <v>478</v>
      </c>
      <c r="B420" s="19" t="s">
        <v>427</v>
      </c>
      <c r="C420" s="49">
        <v>2028</v>
      </c>
      <c r="D420" s="46">
        <v>0</v>
      </c>
      <c r="E420" s="47">
        <v>0</v>
      </c>
      <c r="F420" s="47">
        <v>12.687460394879647</v>
      </c>
      <c r="G420" s="48">
        <v>0</v>
      </c>
      <c r="H420" s="57">
        <f t="shared" si="23"/>
        <v>11.086899461228219</v>
      </c>
      <c r="I420" s="119"/>
      <c r="J420" s="119"/>
      <c r="K420" s="119"/>
      <c r="L420" s="119"/>
      <c r="M420" s="119"/>
      <c r="N420" s="119"/>
      <c r="O420" s="119"/>
      <c r="P420" s="119"/>
      <c r="Q420" s="44" t="s">
        <v>478</v>
      </c>
      <c r="R420" s="19" t="s">
        <v>427</v>
      </c>
      <c r="S420" s="49">
        <v>2028</v>
      </c>
      <c r="T420" s="46">
        <v>0</v>
      </c>
      <c r="U420" s="47">
        <v>0</v>
      </c>
      <c r="V420" s="47">
        <v>46.203181280704726</v>
      </c>
      <c r="W420" s="48">
        <v>0</v>
      </c>
      <c r="X420" s="57">
        <f t="shared" si="22"/>
        <v>46.203181280704726</v>
      </c>
      <c r="Y420" s="119"/>
    </row>
    <row r="421" spans="1:25">
      <c r="A421" s="44" t="s">
        <v>478</v>
      </c>
      <c r="B421" s="19" t="s">
        <v>427</v>
      </c>
      <c r="C421" s="49">
        <v>2029</v>
      </c>
      <c r="D421" s="46">
        <v>0</v>
      </c>
      <c r="E421" s="47">
        <v>0</v>
      </c>
      <c r="F421" s="47">
        <v>0</v>
      </c>
      <c r="G421" s="48">
        <v>0</v>
      </c>
      <c r="H421" s="57">
        <f t="shared" si="23"/>
        <v>0</v>
      </c>
      <c r="I421" s="119"/>
      <c r="J421" s="119"/>
      <c r="K421" s="119"/>
      <c r="L421" s="119"/>
      <c r="M421" s="119"/>
      <c r="N421" s="119"/>
      <c r="O421" s="119"/>
      <c r="P421" s="119"/>
      <c r="Q421" s="44" t="s">
        <v>478</v>
      </c>
      <c r="R421" s="19" t="s">
        <v>427</v>
      </c>
      <c r="S421" s="49">
        <v>2029</v>
      </c>
      <c r="T421" s="46">
        <v>0</v>
      </c>
      <c r="U421" s="47">
        <v>0</v>
      </c>
      <c r="V421" s="47">
        <v>47.127244906318822</v>
      </c>
      <c r="W421" s="48">
        <v>0</v>
      </c>
      <c r="X421" s="57">
        <f t="shared" si="22"/>
        <v>47.127244906318822</v>
      </c>
      <c r="Y421" s="119"/>
    </row>
    <row r="422" spans="1:25">
      <c r="A422" s="44" t="s">
        <v>478</v>
      </c>
      <c r="B422" s="19" t="s">
        <v>427</v>
      </c>
      <c r="C422" s="49">
        <v>2030</v>
      </c>
      <c r="D422" s="46">
        <v>0</v>
      </c>
      <c r="E422" s="47">
        <v>0</v>
      </c>
      <c r="F422" s="47">
        <v>0</v>
      </c>
      <c r="G422" s="48">
        <v>0</v>
      </c>
      <c r="H422" s="57">
        <f t="shared" si="23"/>
        <v>0</v>
      </c>
      <c r="I422" s="119"/>
      <c r="J422" s="119"/>
      <c r="K422" s="119"/>
      <c r="L422" s="119"/>
      <c r="M422" s="119"/>
      <c r="N422" s="119"/>
      <c r="O422" s="119"/>
      <c r="P422" s="119"/>
      <c r="Q422" s="44" t="s">
        <v>478</v>
      </c>
      <c r="R422" s="19" t="s">
        <v>427</v>
      </c>
      <c r="S422" s="49">
        <v>2030</v>
      </c>
      <c r="T422" s="46">
        <v>0</v>
      </c>
      <c r="U422" s="47">
        <v>0</v>
      </c>
      <c r="V422" s="47">
        <v>48.0697898044452</v>
      </c>
      <c r="W422" s="48">
        <v>0</v>
      </c>
      <c r="X422" s="57">
        <f t="shared" si="22"/>
        <v>48.0697898044452</v>
      </c>
      <c r="Y422" s="119"/>
    </row>
    <row r="423" spans="1:25">
      <c r="A423" s="44" t="s">
        <v>478</v>
      </c>
      <c r="B423" s="19" t="s">
        <v>427</v>
      </c>
      <c r="C423" s="49">
        <v>2031</v>
      </c>
      <c r="D423" s="46">
        <v>0</v>
      </c>
      <c r="E423" s="47">
        <v>0</v>
      </c>
      <c r="F423" s="47">
        <v>0</v>
      </c>
      <c r="G423" s="48">
        <v>0</v>
      </c>
      <c r="H423" s="57">
        <f t="shared" si="23"/>
        <v>0</v>
      </c>
      <c r="I423" s="119"/>
      <c r="J423" s="119"/>
      <c r="K423" s="119"/>
      <c r="L423" s="119"/>
      <c r="M423" s="119"/>
      <c r="N423" s="119"/>
      <c r="O423" s="119"/>
      <c r="P423" s="119"/>
      <c r="Q423" s="44" t="s">
        <v>478</v>
      </c>
      <c r="R423" s="19" t="s">
        <v>427</v>
      </c>
      <c r="S423" s="49">
        <v>2031</v>
      </c>
      <c r="T423" s="46">
        <v>0</v>
      </c>
      <c r="U423" s="47">
        <v>0</v>
      </c>
      <c r="V423" s="47">
        <v>49.031185600534108</v>
      </c>
      <c r="W423" s="48">
        <v>0</v>
      </c>
      <c r="X423" s="57">
        <f t="shared" si="22"/>
        <v>49.031185600534108</v>
      </c>
      <c r="Y423" s="119"/>
    </row>
    <row r="424" spans="1:25">
      <c r="A424" s="44" t="s">
        <v>478</v>
      </c>
      <c r="B424" s="19" t="s">
        <v>427</v>
      </c>
      <c r="C424" s="49">
        <v>2032</v>
      </c>
      <c r="D424" s="46">
        <v>0</v>
      </c>
      <c r="E424" s="47">
        <v>0</v>
      </c>
      <c r="F424" s="47">
        <v>0</v>
      </c>
      <c r="G424" s="48">
        <v>0</v>
      </c>
      <c r="H424" s="57">
        <f t="shared" si="23"/>
        <v>0</v>
      </c>
      <c r="I424" s="119"/>
      <c r="J424" s="119"/>
      <c r="K424" s="119"/>
      <c r="L424" s="119"/>
      <c r="M424" s="119"/>
      <c r="N424" s="119"/>
      <c r="O424" s="119"/>
      <c r="P424" s="119"/>
      <c r="Q424" s="44" t="s">
        <v>478</v>
      </c>
      <c r="R424" s="19" t="s">
        <v>427</v>
      </c>
      <c r="S424" s="49">
        <v>2032</v>
      </c>
      <c r="T424" s="46">
        <v>0</v>
      </c>
      <c r="U424" s="47">
        <v>0</v>
      </c>
      <c r="V424" s="47">
        <v>50.011809312544791</v>
      </c>
      <c r="W424" s="48">
        <v>0</v>
      </c>
      <c r="X424" s="57">
        <f t="shared" si="22"/>
        <v>50.011809312544791</v>
      </c>
      <c r="Y424" s="119"/>
    </row>
    <row r="425" spans="1:25">
      <c r="A425" s="44" t="s">
        <v>478</v>
      </c>
      <c r="B425" s="19" t="s">
        <v>427</v>
      </c>
      <c r="C425" s="49">
        <v>2033</v>
      </c>
      <c r="D425" s="46">
        <v>0</v>
      </c>
      <c r="E425" s="47">
        <v>0</v>
      </c>
      <c r="F425" s="47">
        <v>0</v>
      </c>
      <c r="G425" s="48">
        <v>0</v>
      </c>
      <c r="H425" s="57">
        <f t="shared" si="23"/>
        <v>0</v>
      </c>
      <c r="I425" s="119"/>
      <c r="J425" s="119"/>
      <c r="K425" s="119"/>
      <c r="L425" s="119"/>
      <c r="M425" s="119"/>
      <c r="N425" s="119"/>
      <c r="O425" s="119"/>
      <c r="P425" s="119"/>
      <c r="Q425" s="44" t="s">
        <v>478</v>
      </c>
      <c r="R425" s="19" t="s">
        <v>427</v>
      </c>
      <c r="S425" s="49">
        <v>2033</v>
      </c>
      <c r="T425" s="46">
        <v>0</v>
      </c>
      <c r="U425" s="47">
        <v>0</v>
      </c>
      <c r="V425" s="47">
        <v>51.012045498795686</v>
      </c>
      <c r="W425" s="48">
        <v>0</v>
      </c>
      <c r="X425" s="57">
        <f t="shared" si="22"/>
        <v>51.012045498795686</v>
      </c>
      <c r="Y425" s="119"/>
    </row>
    <row r="426" spans="1:25">
      <c r="A426" s="44" t="s">
        <v>478</v>
      </c>
      <c r="B426" s="19" t="s">
        <v>427</v>
      </c>
      <c r="C426" s="49">
        <v>2034</v>
      </c>
      <c r="D426" s="46">
        <v>0</v>
      </c>
      <c r="E426" s="47">
        <v>0</v>
      </c>
      <c r="F426" s="47">
        <v>0</v>
      </c>
      <c r="G426" s="48">
        <v>0</v>
      </c>
      <c r="H426" s="57">
        <f t="shared" si="23"/>
        <v>0</v>
      </c>
      <c r="I426" s="119"/>
      <c r="J426" s="119"/>
      <c r="K426" s="119"/>
      <c r="L426" s="119"/>
      <c r="M426" s="119"/>
      <c r="N426" s="119"/>
      <c r="O426" s="119"/>
      <c r="P426" s="119"/>
      <c r="Q426" s="44" t="s">
        <v>478</v>
      </c>
      <c r="R426" s="19" t="s">
        <v>427</v>
      </c>
      <c r="S426" s="49">
        <v>2034</v>
      </c>
      <c r="T426" s="46">
        <v>0</v>
      </c>
      <c r="U426" s="47">
        <v>0</v>
      </c>
      <c r="V426" s="47">
        <v>52.032286408771604</v>
      </c>
      <c r="W426" s="48">
        <v>0</v>
      </c>
      <c r="X426" s="57">
        <f t="shared" si="22"/>
        <v>52.032286408771604</v>
      </c>
      <c r="Y426" s="119"/>
    </row>
    <row r="427" spans="1:25">
      <c r="A427" s="44" t="s">
        <v>478</v>
      </c>
      <c r="B427" s="19" t="s">
        <v>427</v>
      </c>
      <c r="C427" s="49">
        <v>2035</v>
      </c>
      <c r="D427" s="46">
        <v>0</v>
      </c>
      <c r="E427" s="47">
        <v>0</v>
      </c>
      <c r="F427" s="47">
        <v>0</v>
      </c>
      <c r="G427" s="48">
        <v>0</v>
      </c>
      <c r="H427" s="57">
        <f t="shared" si="23"/>
        <v>0</v>
      </c>
      <c r="I427" s="119"/>
      <c r="J427" s="119"/>
      <c r="K427" s="119"/>
      <c r="L427" s="119"/>
      <c r="M427" s="119"/>
      <c r="N427" s="119"/>
      <c r="O427" s="119"/>
      <c r="P427" s="119"/>
      <c r="Q427" s="44" t="s">
        <v>478</v>
      </c>
      <c r="R427" s="19" t="s">
        <v>427</v>
      </c>
      <c r="S427" s="49">
        <v>2035</v>
      </c>
      <c r="T427" s="46">
        <v>0</v>
      </c>
      <c r="U427" s="47">
        <v>0</v>
      </c>
      <c r="V427" s="47">
        <v>53.072932136947038</v>
      </c>
      <c r="W427" s="48">
        <v>0</v>
      </c>
      <c r="X427" s="57">
        <f t="shared" si="22"/>
        <v>53.072932136947038</v>
      </c>
      <c r="Y427" s="119">
        <f>NPV($Y$10,X418:X427)/((1-(1+$Y$10)^-10)/$Y$10)</f>
        <v>42.010876633030897</v>
      </c>
    </row>
    <row r="428" spans="1:25">
      <c r="A428" s="44"/>
      <c r="B428" s="19" t="s">
        <v>401</v>
      </c>
      <c r="C428" s="49"/>
      <c r="D428" s="42" t="s">
        <v>401</v>
      </c>
      <c r="E428" s="19" t="s">
        <v>401</v>
      </c>
      <c r="F428" s="19" t="s">
        <v>401</v>
      </c>
      <c r="G428" s="43" t="s">
        <v>401</v>
      </c>
      <c r="H428" s="57">
        <f t="shared" si="23"/>
        <v>0</v>
      </c>
      <c r="I428" s="119"/>
      <c r="J428" s="119"/>
      <c r="K428" s="119"/>
      <c r="L428" s="119"/>
      <c r="M428" s="119"/>
      <c r="N428" s="119"/>
      <c r="O428" s="119"/>
      <c r="P428" s="119"/>
      <c r="Q428" s="44"/>
      <c r="R428" s="19" t="s">
        <v>401</v>
      </c>
      <c r="S428" s="49"/>
      <c r="T428" s="42"/>
      <c r="U428" s="19"/>
      <c r="V428" s="19"/>
      <c r="W428" s="43"/>
      <c r="X428" s="57">
        <f t="shared" si="22"/>
        <v>0</v>
      </c>
      <c r="Y428" s="119"/>
    </row>
    <row r="429" spans="1:25">
      <c r="A429" s="44" t="s">
        <v>478</v>
      </c>
      <c r="B429" s="19" t="s">
        <v>428</v>
      </c>
      <c r="C429" s="49">
        <v>2026</v>
      </c>
      <c r="D429" s="46">
        <v>0</v>
      </c>
      <c r="E429" s="47">
        <v>0</v>
      </c>
      <c r="F429" s="47">
        <v>0</v>
      </c>
      <c r="G429" s="48">
        <v>0</v>
      </c>
      <c r="H429" s="57">
        <f t="shared" si="23"/>
        <v>0</v>
      </c>
      <c r="I429" s="119"/>
      <c r="J429" s="119"/>
      <c r="K429" s="119"/>
      <c r="L429" s="119"/>
      <c r="M429" s="119"/>
      <c r="N429" s="119"/>
      <c r="O429" s="119"/>
      <c r="P429" s="119"/>
      <c r="Q429" s="44" t="s">
        <v>478</v>
      </c>
      <c r="R429" s="19" t="s">
        <v>428</v>
      </c>
      <c r="S429" s="49">
        <v>2026</v>
      </c>
      <c r="T429" s="46">
        <v>0</v>
      </c>
      <c r="U429" s="47">
        <v>0</v>
      </c>
      <c r="V429" s="47">
        <v>0</v>
      </c>
      <c r="W429" s="48">
        <v>0</v>
      </c>
      <c r="X429" s="57">
        <f t="shared" si="22"/>
        <v>0</v>
      </c>
      <c r="Y429" s="119"/>
    </row>
    <row r="430" spans="1:25">
      <c r="A430" s="44" t="s">
        <v>478</v>
      </c>
      <c r="B430" s="19" t="s">
        <v>428</v>
      </c>
      <c r="C430" s="49">
        <v>2027</v>
      </c>
      <c r="D430" s="46">
        <v>0</v>
      </c>
      <c r="E430" s="47">
        <v>0</v>
      </c>
      <c r="F430" s="47">
        <v>0</v>
      </c>
      <c r="G430" s="48">
        <v>0</v>
      </c>
      <c r="H430" s="57">
        <f t="shared" si="23"/>
        <v>0</v>
      </c>
      <c r="I430" s="119"/>
      <c r="J430" s="119"/>
      <c r="K430" s="119"/>
      <c r="L430" s="119"/>
      <c r="M430" s="119"/>
      <c r="N430" s="119"/>
      <c r="O430" s="119"/>
      <c r="P430" s="119"/>
      <c r="Q430" s="44" t="s">
        <v>478</v>
      </c>
      <c r="R430" s="19" t="s">
        <v>428</v>
      </c>
      <c r="S430" s="49">
        <v>2027</v>
      </c>
      <c r="T430" s="46">
        <v>0</v>
      </c>
      <c r="U430" s="47">
        <v>0</v>
      </c>
      <c r="V430" s="47">
        <v>0</v>
      </c>
      <c r="W430" s="48">
        <v>0</v>
      </c>
      <c r="X430" s="57">
        <f t="shared" si="22"/>
        <v>0</v>
      </c>
      <c r="Y430" s="119"/>
    </row>
    <row r="431" spans="1:25">
      <c r="A431" s="44" t="s">
        <v>478</v>
      </c>
      <c r="B431" s="19" t="s">
        <v>428</v>
      </c>
      <c r="C431" s="49">
        <v>2028</v>
      </c>
      <c r="D431" s="46">
        <v>0</v>
      </c>
      <c r="E431" s="47">
        <v>0</v>
      </c>
      <c r="F431" s="47">
        <v>0</v>
      </c>
      <c r="G431" s="48">
        <v>0</v>
      </c>
      <c r="H431" s="57">
        <f t="shared" si="23"/>
        <v>0</v>
      </c>
      <c r="I431" s="119"/>
      <c r="J431" s="119"/>
      <c r="K431" s="119"/>
      <c r="L431" s="119"/>
      <c r="M431" s="119"/>
      <c r="N431" s="119"/>
      <c r="O431" s="119"/>
      <c r="P431" s="119"/>
      <c r="Q431" s="44" t="s">
        <v>478</v>
      </c>
      <c r="R431" s="19" t="s">
        <v>428</v>
      </c>
      <c r="S431" s="49">
        <v>2028</v>
      </c>
      <c r="T431" s="46">
        <v>0</v>
      </c>
      <c r="U431" s="47">
        <v>0</v>
      </c>
      <c r="V431" s="47">
        <v>0</v>
      </c>
      <c r="W431" s="48">
        <v>0</v>
      </c>
      <c r="X431" s="57">
        <f t="shared" si="22"/>
        <v>0</v>
      </c>
      <c r="Y431" s="119"/>
    </row>
    <row r="432" spans="1:25">
      <c r="A432" s="44" t="s">
        <v>478</v>
      </c>
      <c r="B432" s="19" t="s">
        <v>428</v>
      </c>
      <c r="C432" s="49">
        <v>2029</v>
      </c>
      <c r="D432" s="46">
        <v>16.737974842171486</v>
      </c>
      <c r="E432" s="47">
        <v>0</v>
      </c>
      <c r="F432" s="47">
        <v>0</v>
      </c>
      <c r="G432" s="48">
        <v>0</v>
      </c>
      <c r="H432" s="57">
        <f t="shared" si="23"/>
        <v>13.672754794739504</v>
      </c>
      <c r="I432" s="119"/>
      <c r="J432" s="119"/>
      <c r="K432" s="119"/>
      <c r="L432" s="119"/>
      <c r="M432" s="119"/>
      <c r="N432" s="119"/>
      <c r="O432" s="119"/>
      <c r="P432" s="119"/>
      <c r="Q432" s="44" t="s">
        <v>478</v>
      </c>
      <c r="R432" s="19" t="s">
        <v>428</v>
      </c>
      <c r="S432" s="49">
        <v>2029</v>
      </c>
      <c r="T432" s="46">
        <v>16.737974842171486</v>
      </c>
      <c r="U432" s="47">
        <v>0</v>
      </c>
      <c r="V432" s="47">
        <v>0</v>
      </c>
      <c r="W432" s="48">
        <v>0</v>
      </c>
      <c r="X432" s="57">
        <f t="shared" si="22"/>
        <v>16.737974842171486</v>
      </c>
      <c r="Y432" s="119"/>
    </row>
    <row r="433" spans="1:25">
      <c r="A433" s="44" t="s">
        <v>478</v>
      </c>
      <c r="B433" s="19" t="s">
        <v>428</v>
      </c>
      <c r="C433" s="49">
        <v>2030</v>
      </c>
      <c r="D433" s="46">
        <v>30.73299786017748</v>
      </c>
      <c r="E433" s="47">
        <v>0</v>
      </c>
      <c r="F433" s="47">
        <v>0</v>
      </c>
      <c r="G433" s="48">
        <v>0</v>
      </c>
      <c r="H433" s="57">
        <f t="shared" si="23"/>
        <v>23.467981927291859</v>
      </c>
      <c r="I433" s="119"/>
      <c r="J433" s="119"/>
      <c r="K433" s="119"/>
      <c r="L433" s="119"/>
      <c r="M433" s="119"/>
      <c r="N433" s="119"/>
      <c r="O433" s="119"/>
      <c r="P433" s="119"/>
      <c r="Q433" s="44" t="s">
        <v>478</v>
      </c>
      <c r="R433" s="19" t="s">
        <v>428</v>
      </c>
      <c r="S433" s="49">
        <v>2030</v>
      </c>
      <c r="T433" s="46">
        <v>47.805732199192391</v>
      </c>
      <c r="U433" s="47">
        <v>0</v>
      </c>
      <c r="V433" s="47">
        <v>0</v>
      </c>
      <c r="W433" s="48">
        <v>0</v>
      </c>
      <c r="X433" s="57">
        <f t="shared" si="22"/>
        <v>47.805732199192391</v>
      </c>
      <c r="Y433" s="119"/>
    </row>
    <row r="434" spans="1:25">
      <c r="A434" s="44" t="s">
        <v>478</v>
      </c>
      <c r="B434" s="19" t="s">
        <v>428</v>
      </c>
      <c r="C434" s="49">
        <v>2031</v>
      </c>
      <c r="D434" s="46">
        <v>14.512888975013132</v>
      </c>
      <c r="E434" s="47">
        <v>0</v>
      </c>
      <c r="F434" s="47">
        <v>0</v>
      </c>
      <c r="G434" s="48">
        <v>0</v>
      </c>
      <c r="H434" s="57">
        <f t="shared" si="23"/>
        <v>10.359585929607942</v>
      </c>
      <c r="I434" s="119"/>
      <c r="J434" s="119"/>
      <c r="K434" s="119"/>
      <c r="L434" s="119"/>
      <c r="M434" s="119"/>
      <c r="N434" s="119"/>
      <c r="O434" s="119"/>
      <c r="P434" s="119"/>
      <c r="Q434" s="44" t="s">
        <v>478</v>
      </c>
      <c r="R434" s="19" t="s">
        <v>428</v>
      </c>
      <c r="S434" s="49">
        <v>2031</v>
      </c>
      <c r="T434" s="46">
        <v>63.27473581818937</v>
      </c>
      <c r="U434" s="47">
        <v>0</v>
      </c>
      <c r="V434" s="47">
        <v>0</v>
      </c>
      <c r="W434" s="48">
        <v>0</v>
      </c>
      <c r="X434" s="57">
        <f t="shared" si="22"/>
        <v>63.27473581818937</v>
      </c>
      <c r="Y434" s="119"/>
    </row>
    <row r="435" spans="1:25">
      <c r="A435" s="44" t="s">
        <v>478</v>
      </c>
      <c r="B435" s="19" t="s">
        <v>428</v>
      </c>
      <c r="C435" s="49">
        <v>2032</v>
      </c>
      <c r="D435" s="46">
        <v>0</v>
      </c>
      <c r="E435" s="47">
        <v>0</v>
      </c>
      <c r="F435" s="47">
        <v>0</v>
      </c>
      <c r="G435" s="48">
        <v>0</v>
      </c>
      <c r="H435" s="57">
        <f t="shared" si="23"/>
        <v>0</v>
      </c>
      <c r="I435" s="119"/>
      <c r="J435" s="119"/>
      <c r="K435" s="119"/>
      <c r="L435" s="119"/>
      <c r="M435" s="119"/>
      <c r="N435" s="119"/>
      <c r="O435" s="119"/>
      <c r="P435" s="119"/>
      <c r="Q435" s="44" t="s">
        <v>478</v>
      </c>
      <c r="R435" s="19" t="s">
        <v>428</v>
      </c>
      <c r="S435" s="49">
        <v>2032</v>
      </c>
      <c r="T435" s="46">
        <v>64.54023053455316</v>
      </c>
      <c r="U435" s="47">
        <v>0</v>
      </c>
      <c r="V435" s="47">
        <v>0</v>
      </c>
      <c r="W435" s="48">
        <v>0</v>
      </c>
      <c r="X435" s="57">
        <f t="shared" si="22"/>
        <v>64.54023053455316</v>
      </c>
      <c r="Y435" s="119"/>
    </row>
    <row r="436" spans="1:25">
      <c r="A436" s="44" t="s">
        <v>478</v>
      </c>
      <c r="B436" s="19" t="s">
        <v>428</v>
      </c>
      <c r="C436" s="49">
        <v>2033</v>
      </c>
      <c r="D436" s="46">
        <v>0</v>
      </c>
      <c r="E436" s="47">
        <v>0</v>
      </c>
      <c r="F436" s="47">
        <v>0</v>
      </c>
      <c r="G436" s="48">
        <v>0</v>
      </c>
      <c r="H436" s="57">
        <f t="shared" si="23"/>
        <v>0</v>
      </c>
      <c r="I436" s="119"/>
      <c r="J436" s="119"/>
      <c r="K436" s="119"/>
      <c r="L436" s="119"/>
      <c r="M436" s="119"/>
      <c r="N436" s="119"/>
      <c r="O436" s="119"/>
      <c r="P436" s="119"/>
      <c r="Q436" s="44" t="s">
        <v>478</v>
      </c>
      <c r="R436" s="19" t="s">
        <v>428</v>
      </c>
      <c r="S436" s="49">
        <v>2033</v>
      </c>
      <c r="T436" s="46">
        <v>65.831035145244229</v>
      </c>
      <c r="U436" s="47">
        <v>0</v>
      </c>
      <c r="V436" s="47">
        <v>0</v>
      </c>
      <c r="W436" s="48">
        <v>0</v>
      </c>
      <c r="X436" s="57">
        <f t="shared" si="22"/>
        <v>65.831035145244229</v>
      </c>
      <c r="Y436" s="119"/>
    </row>
    <row r="437" spans="1:25">
      <c r="A437" s="44" t="s">
        <v>478</v>
      </c>
      <c r="B437" s="19" t="s">
        <v>428</v>
      </c>
      <c r="C437" s="49">
        <v>2034</v>
      </c>
      <c r="D437" s="46">
        <v>0</v>
      </c>
      <c r="E437" s="47">
        <v>0</v>
      </c>
      <c r="F437" s="47">
        <v>0</v>
      </c>
      <c r="G437" s="48">
        <v>0</v>
      </c>
      <c r="H437" s="57">
        <f t="shared" si="23"/>
        <v>0</v>
      </c>
      <c r="I437" s="119"/>
      <c r="J437" s="119"/>
      <c r="K437" s="119"/>
      <c r="L437" s="119"/>
      <c r="M437" s="119"/>
      <c r="N437" s="119"/>
      <c r="O437" s="119"/>
      <c r="P437" s="119"/>
      <c r="Q437" s="44" t="s">
        <v>478</v>
      </c>
      <c r="R437" s="19" t="s">
        <v>428</v>
      </c>
      <c r="S437" s="49">
        <v>2034</v>
      </c>
      <c r="T437" s="46">
        <v>67.147655848149114</v>
      </c>
      <c r="U437" s="47">
        <v>0</v>
      </c>
      <c r="V437" s="47">
        <v>0</v>
      </c>
      <c r="W437" s="48">
        <v>0</v>
      </c>
      <c r="X437" s="57">
        <f t="shared" si="22"/>
        <v>67.147655848149114</v>
      </c>
      <c r="Y437" s="119"/>
    </row>
    <row r="438" spans="1:25">
      <c r="A438" s="44" t="s">
        <v>478</v>
      </c>
      <c r="B438" s="19" t="s">
        <v>428</v>
      </c>
      <c r="C438" s="49">
        <v>2035</v>
      </c>
      <c r="D438" s="46">
        <v>0</v>
      </c>
      <c r="E438" s="47">
        <v>0</v>
      </c>
      <c r="F438" s="47">
        <v>0</v>
      </c>
      <c r="G438" s="48">
        <v>0</v>
      </c>
      <c r="H438" s="57">
        <f t="shared" si="23"/>
        <v>0</v>
      </c>
      <c r="I438" s="119"/>
      <c r="J438" s="119"/>
      <c r="K438" s="119"/>
      <c r="L438" s="119"/>
      <c r="M438" s="119"/>
      <c r="N438" s="119"/>
      <c r="O438" s="119"/>
      <c r="P438" s="119"/>
      <c r="Q438" s="44" t="s">
        <v>478</v>
      </c>
      <c r="R438" s="19" t="s">
        <v>428</v>
      </c>
      <c r="S438" s="49">
        <v>2035</v>
      </c>
      <c r="T438" s="46">
        <v>68.490608965112102</v>
      </c>
      <c r="U438" s="47">
        <v>0</v>
      </c>
      <c r="V438" s="47">
        <v>0</v>
      </c>
      <c r="W438" s="48">
        <v>0</v>
      </c>
      <c r="X438" s="57">
        <f t="shared" si="22"/>
        <v>68.490608965112102</v>
      </c>
      <c r="Y438" s="119">
        <f>NPV($Y$10,X429:X438)/((1-(1+$Y$10)^-10)/$Y$10)</f>
        <v>34.027485647887453</v>
      </c>
    </row>
    <row r="439" spans="1:25">
      <c r="A439" s="44"/>
      <c r="B439" s="19" t="s">
        <v>401</v>
      </c>
      <c r="C439" s="49"/>
      <c r="D439" s="46" t="s">
        <v>401</v>
      </c>
      <c r="E439" s="47" t="s">
        <v>401</v>
      </c>
      <c r="F439" s="47" t="s">
        <v>401</v>
      </c>
      <c r="G439" s="48" t="s">
        <v>401</v>
      </c>
      <c r="H439" s="57">
        <f t="shared" si="23"/>
        <v>0</v>
      </c>
      <c r="I439" s="119"/>
      <c r="J439" s="119"/>
      <c r="K439" s="119"/>
      <c r="L439" s="119"/>
      <c r="M439" s="119"/>
      <c r="N439" s="119"/>
      <c r="O439" s="119"/>
      <c r="P439" s="119"/>
      <c r="Q439" s="44"/>
      <c r="R439" s="19" t="s">
        <v>401</v>
      </c>
      <c r="S439" s="49"/>
      <c r="T439" s="46"/>
      <c r="U439" s="47"/>
      <c r="V439" s="47"/>
      <c r="W439" s="48"/>
      <c r="X439" s="57">
        <f t="shared" si="22"/>
        <v>0</v>
      </c>
      <c r="Y439" s="119"/>
    </row>
    <row r="440" spans="1:25">
      <c r="A440" s="44" t="s">
        <v>478</v>
      </c>
      <c r="B440" s="19" t="s">
        <v>429</v>
      </c>
      <c r="C440" s="49">
        <v>2026</v>
      </c>
      <c r="D440" s="46">
        <v>0</v>
      </c>
      <c r="E440" s="47">
        <v>0</v>
      </c>
      <c r="F440" s="47">
        <v>0</v>
      </c>
      <c r="G440" s="48">
        <v>0</v>
      </c>
      <c r="H440" s="57">
        <f t="shared" si="23"/>
        <v>0</v>
      </c>
      <c r="I440" s="119"/>
      <c r="J440" s="119"/>
      <c r="K440" s="119"/>
      <c r="L440" s="119"/>
      <c r="M440" s="119"/>
      <c r="N440" s="119"/>
      <c r="O440" s="119"/>
      <c r="P440" s="119"/>
      <c r="Q440" s="44" t="s">
        <v>478</v>
      </c>
      <c r="R440" s="19" t="s">
        <v>429</v>
      </c>
      <c r="S440" s="49">
        <v>2026</v>
      </c>
      <c r="T440" s="46">
        <v>0</v>
      </c>
      <c r="U440" s="47">
        <v>0</v>
      </c>
      <c r="V440" s="47">
        <v>0</v>
      </c>
      <c r="W440" s="48">
        <v>0</v>
      </c>
      <c r="X440" s="57">
        <f t="shared" si="22"/>
        <v>0</v>
      </c>
      <c r="Y440" s="119"/>
    </row>
    <row r="441" spans="1:25">
      <c r="A441" s="44" t="s">
        <v>478</v>
      </c>
      <c r="B441" s="19" t="s">
        <v>429</v>
      </c>
      <c r="C441" s="49">
        <v>2027</v>
      </c>
      <c r="D441" s="46">
        <v>0</v>
      </c>
      <c r="E441" s="47">
        <v>0</v>
      </c>
      <c r="F441" s="47">
        <v>0</v>
      </c>
      <c r="G441" s="48">
        <v>0</v>
      </c>
      <c r="H441" s="57">
        <f t="shared" si="23"/>
        <v>0</v>
      </c>
      <c r="I441" s="119"/>
      <c r="J441" s="119"/>
      <c r="K441" s="119"/>
      <c r="L441" s="119"/>
      <c r="M441" s="119"/>
      <c r="N441" s="119"/>
      <c r="O441" s="119"/>
      <c r="P441" s="119"/>
      <c r="Q441" s="44" t="s">
        <v>478</v>
      </c>
      <c r="R441" s="19" t="s">
        <v>429</v>
      </c>
      <c r="S441" s="49">
        <v>2027</v>
      </c>
      <c r="T441" s="46">
        <v>0</v>
      </c>
      <c r="U441" s="47">
        <v>0</v>
      </c>
      <c r="V441" s="47">
        <v>0</v>
      </c>
      <c r="W441" s="48">
        <v>0</v>
      </c>
      <c r="X441" s="57">
        <f t="shared" si="22"/>
        <v>0</v>
      </c>
      <c r="Y441" s="119"/>
    </row>
    <row r="442" spans="1:25">
      <c r="A442" s="44" t="s">
        <v>478</v>
      </c>
      <c r="B442" s="19" t="s">
        <v>429</v>
      </c>
      <c r="C442" s="49">
        <v>2028</v>
      </c>
      <c r="D442" s="46">
        <v>0</v>
      </c>
      <c r="E442" s="47">
        <v>0</v>
      </c>
      <c r="F442" s="47">
        <v>0</v>
      </c>
      <c r="G442" s="48">
        <v>0</v>
      </c>
      <c r="H442" s="57">
        <f t="shared" si="23"/>
        <v>0</v>
      </c>
      <c r="I442" s="119"/>
      <c r="J442" s="119"/>
      <c r="K442" s="119"/>
      <c r="L442" s="119"/>
      <c r="M442" s="119"/>
      <c r="N442" s="119"/>
      <c r="O442" s="119"/>
      <c r="P442" s="119"/>
      <c r="Q442" s="44" t="s">
        <v>478</v>
      </c>
      <c r="R442" s="19" t="s">
        <v>429</v>
      </c>
      <c r="S442" s="49">
        <v>2028</v>
      </c>
      <c r="T442" s="46">
        <v>0</v>
      </c>
      <c r="U442" s="47">
        <v>0</v>
      </c>
      <c r="V442" s="47">
        <v>0</v>
      </c>
      <c r="W442" s="48">
        <v>0</v>
      </c>
      <c r="X442" s="57">
        <f t="shared" si="22"/>
        <v>0</v>
      </c>
      <c r="Y442" s="119"/>
    </row>
    <row r="443" spans="1:25">
      <c r="A443" s="44" t="s">
        <v>478</v>
      </c>
      <c r="B443" s="19" t="s">
        <v>429</v>
      </c>
      <c r="C443" s="49">
        <v>2029</v>
      </c>
      <c r="D443" s="46">
        <v>0</v>
      </c>
      <c r="E443" s="47">
        <v>22.837071735403185</v>
      </c>
      <c r="F443" s="47">
        <v>0</v>
      </c>
      <c r="G443" s="48">
        <v>0</v>
      </c>
      <c r="H443" s="57">
        <f t="shared" si="23"/>
        <v>18.654925999849038</v>
      </c>
      <c r="I443" s="119"/>
      <c r="J443" s="119"/>
      <c r="K443" s="119"/>
      <c r="L443" s="119"/>
      <c r="M443" s="119"/>
      <c r="N443" s="119"/>
      <c r="O443" s="119"/>
      <c r="P443" s="119"/>
      <c r="Q443" s="44" t="s">
        <v>478</v>
      </c>
      <c r="R443" s="19" t="s">
        <v>429</v>
      </c>
      <c r="S443" s="49">
        <v>2029</v>
      </c>
      <c r="T443" s="46">
        <v>0</v>
      </c>
      <c r="U443" s="47">
        <v>22.837071735403185</v>
      </c>
      <c r="V443" s="47">
        <v>0</v>
      </c>
      <c r="W443" s="48">
        <v>0</v>
      </c>
      <c r="X443" s="57">
        <f t="shared" si="22"/>
        <v>22.837071735403185</v>
      </c>
      <c r="Y443" s="119"/>
    </row>
    <row r="444" spans="1:25">
      <c r="A444" s="44" t="s">
        <v>478</v>
      </c>
      <c r="B444" s="19" t="s">
        <v>429</v>
      </c>
      <c r="C444" s="49">
        <v>2030</v>
      </c>
      <c r="D444" s="46">
        <v>0</v>
      </c>
      <c r="E444" s="47">
        <v>91.912660409910117</v>
      </c>
      <c r="F444" s="47">
        <v>0</v>
      </c>
      <c r="G444" s="48">
        <v>0</v>
      </c>
      <c r="H444" s="57">
        <f t="shared" si="23"/>
        <v>70.185299306060855</v>
      </c>
      <c r="I444" s="119"/>
      <c r="J444" s="119"/>
      <c r="K444" s="119"/>
      <c r="L444" s="119"/>
      <c r="M444" s="119"/>
      <c r="N444" s="119"/>
      <c r="O444" s="119"/>
      <c r="P444" s="119"/>
      <c r="Q444" s="44" t="s">
        <v>478</v>
      </c>
      <c r="R444" s="19" t="s">
        <v>429</v>
      </c>
      <c r="S444" s="49">
        <v>2030</v>
      </c>
      <c r="T444" s="46">
        <v>0</v>
      </c>
      <c r="U444" s="47">
        <v>115.20647358002137</v>
      </c>
      <c r="V444" s="47">
        <v>0</v>
      </c>
      <c r="W444" s="48">
        <v>0</v>
      </c>
      <c r="X444" s="57">
        <f t="shared" si="22"/>
        <v>115.20647358002137</v>
      </c>
      <c r="Y444" s="119"/>
    </row>
    <row r="445" spans="1:25">
      <c r="A445" s="44" t="s">
        <v>478</v>
      </c>
      <c r="B445" s="19" t="s">
        <v>429</v>
      </c>
      <c r="C445" s="49">
        <v>2031</v>
      </c>
      <c r="D445" s="46">
        <v>0</v>
      </c>
      <c r="E445" s="47">
        <v>12.011901877130686</v>
      </c>
      <c r="F445" s="47">
        <v>0</v>
      </c>
      <c r="G445" s="48">
        <v>0</v>
      </c>
      <c r="H445" s="57">
        <f t="shared" si="23"/>
        <v>8.5743320911777108</v>
      </c>
      <c r="I445" s="119"/>
      <c r="J445" s="119"/>
      <c r="K445" s="119"/>
      <c r="L445" s="119"/>
      <c r="M445" s="119"/>
      <c r="N445" s="119"/>
      <c r="O445" s="119"/>
      <c r="P445" s="119"/>
      <c r="Q445" s="44" t="s">
        <v>478</v>
      </c>
      <c r="R445" s="19" t="s">
        <v>429</v>
      </c>
      <c r="S445" s="49">
        <v>2031</v>
      </c>
      <c r="T445" s="46">
        <v>0</v>
      </c>
      <c r="U445" s="47">
        <v>129.52250492875248</v>
      </c>
      <c r="V445" s="47">
        <v>0</v>
      </c>
      <c r="W445" s="48">
        <v>0</v>
      </c>
      <c r="X445" s="57">
        <f t="shared" si="22"/>
        <v>129.52250492875248</v>
      </c>
      <c r="Y445" s="119"/>
    </row>
    <row r="446" spans="1:25">
      <c r="A446" s="44" t="s">
        <v>478</v>
      </c>
      <c r="B446" s="19" t="s">
        <v>429</v>
      </c>
      <c r="C446" s="49">
        <v>2032</v>
      </c>
      <c r="D446" s="46">
        <v>0</v>
      </c>
      <c r="E446" s="47">
        <v>0</v>
      </c>
      <c r="F446" s="47">
        <v>0</v>
      </c>
      <c r="G446" s="48">
        <v>0</v>
      </c>
      <c r="H446" s="57">
        <f t="shared" si="23"/>
        <v>0</v>
      </c>
      <c r="I446" s="119"/>
      <c r="J446" s="119"/>
      <c r="K446" s="119"/>
      <c r="L446" s="119"/>
      <c r="M446" s="119"/>
      <c r="N446" s="119"/>
      <c r="O446" s="119"/>
      <c r="P446" s="119"/>
      <c r="Q446" s="44" t="s">
        <v>478</v>
      </c>
      <c r="R446" s="19" t="s">
        <v>429</v>
      </c>
      <c r="S446" s="49">
        <v>2032</v>
      </c>
      <c r="T446" s="46">
        <v>0</v>
      </c>
      <c r="U446" s="47">
        <v>132.11295502732753</v>
      </c>
      <c r="V446" s="47">
        <v>0</v>
      </c>
      <c r="W446" s="48">
        <v>0</v>
      </c>
      <c r="X446" s="57">
        <f t="shared" si="22"/>
        <v>132.11295502732753</v>
      </c>
      <c r="Y446" s="119"/>
    </row>
    <row r="447" spans="1:25">
      <c r="A447" s="44" t="s">
        <v>478</v>
      </c>
      <c r="B447" s="19" t="s">
        <v>429</v>
      </c>
      <c r="C447" s="49">
        <v>2033</v>
      </c>
      <c r="D447" s="46">
        <v>0</v>
      </c>
      <c r="E447" s="47">
        <v>0</v>
      </c>
      <c r="F447" s="47">
        <v>0</v>
      </c>
      <c r="G447" s="48">
        <v>0</v>
      </c>
      <c r="H447" s="57">
        <f t="shared" si="23"/>
        <v>0</v>
      </c>
      <c r="I447" s="119"/>
      <c r="J447" s="119"/>
      <c r="K447" s="119"/>
      <c r="L447" s="119"/>
      <c r="M447" s="119"/>
      <c r="N447" s="119"/>
      <c r="O447" s="119"/>
      <c r="P447" s="119"/>
      <c r="Q447" s="44" t="s">
        <v>478</v>
      </c>
      <c r="R447" s="19" t="s">
        <v>429</v>
      </c>
      <c r="S447" s="49">
        <v>2033</v>
      </c>
      <c r="T447" s="46">
        <v>0</v>
      </c>
      <c r="U447" s="47">
        <v>134.75521412787407</v>
      </c>
      <c r="V447" s="47">
        <v>0</v>
      </c>
      <c r="W447" s="48">
        <v>0</v>
      </c>
      <c r="X447" s="57">
        <f t="shared" si="22"/>
        <v>134.75521412787407</v>
      </c>
      <c r="Y447" s="119"/>
    </row>
    <row r="448" spans="1:25">
      <c r="A448" s="44" t="s">
        <v>478</v>
      </c>
      <c r="B448" s="19" t="s">
        <v>429</v>
      </c>
      <c r="C448" s="49">
        <v>2034</v>
      </c>
      <c r="D448" s="46">
        <v>0</v>
      </c>
      <c r="E448" s="47">
        <v>0</v>
      </c>
      <c r="F448" s="47">
        <v>0</v>
      </c>
      <c r="G448" s="48">
        <v>0</v>
      </c>
      <c r="H448" s="57">
        <f t="shared" si="23"/>
        <v>0</v>
      </c>
      <c r="I448" s="119"/>
      <c r="J448" s="119"/>
      <c r="K448" s="119"/>
      <c r="L448" s="119"/>
      <c r="M448" s="119"/>
      <c r="N448" s="119"/>
      <c r="O448" s="119"/>
      <c r="P448" s="119"/>
      <c r="Q448" s="44" t="s">
        <v>478</v>
      </c>
      <c r="R448" s="19" t="s">
        <v>429</v>
      </c>
      <c r="S448" s="49">
        <v>2034</v>
      </c>
      <c r="T448" s="46">
        <v>0</v>
      </c>
      <c r="U448" s="47">
        <v>137.45031841043155</v>
      </c>
      <c r="V448" s="47">
        <v>0</v>
      </c>
      <c r="W448" s="48">
        <v>0</v>
      </c>
      <c r="X448" s="57">
        <f t="shared" si="22"/>
        <v>137.45031841043155</v>
      </c>
      <c r="Y448" s="119"/>
    </row>
    <row r="449" spans="1:25">
      <c r="A449" s="44" t="s">
        <v>478</v>
      </c>
      <c r="B449" s="19" t="s">
        <v>429</v>
      </c>
      <c r="C449" s="49">
        <v>2035</v>
      </c>
      <c r="D449" s="46">
        <v>0</v>
      </c>
      <c r="E449" s="47">
        <v>0</v>
      </c>
      <c r="F449" s="47">
        <v>0</v>
      </c>
      <c r="G449" s="48">
        <v>0</v>
      </c>
      <c r="H449" s="57">
        <f t="shared" si="23"/>
        <v>0</v>
      </c>
      <c r="I449" s="119"/>
      <c r="J449" s="119"/>
      <c r="K449" s="119"/>
      <c r="L449" s="119"/>
      <c r="M449" s="119"/>
      <c r="N449" s="119"/>
      <c r="O449" s="119"/>
      <c r="P449" s="119"/>
      <c r="Q449" s="44" t="s">
        <v>478</v>
      </c>
      <c r="R449" s="19" t="s">
        <v>429</v>
      </c>
      <c r="S449" s="49">
        <v>2035</v>
      </c>
      <c r="T449" s="46">
        <v>0</v>
      </c>
      <c r="U449" s="47">
        <v>140.19932477864018</v>
      </c>
      <c r="V449" s="47">
        <v>0</v>
      </c>
      <c r="W449" s="48">
        <v>0</v>
      </c>
      <c r="X449" s="57">
        <f t="shared" si="22"/>
        <v>140.19932477864018</v>
      </c>
      <c r="Y449" s="119">
        <f>NPV($Y$10,X440:X449)/((1-(1+$Y$10)^-10)/$Y$10)</f>
        <v>70.174209883785394</v>
      </c>
    </row>
    <row r="450" spans="1:25">
      <c r="A450" s="44"/>
      <c r="B450" s="19" t="s">
        <v>401</v>
      </c>
      <c r="C450" s="49"/>
      <c r="D450" s="42" t="s">
        <v>401</v>
      </c>
      <c r="E450" s="19" t="s">
        <v>401</v>
      </c>
      <c r="F450" s="19" t="s">
        <v>401</v>
      </c>
      <c r="G450" s="43" t="s">
        <v>401</v>
      </c>
      <c r="H450" s="57">
        <f t="shared" si="23"/>
        <v>0</v>
      </c>
      <c r="I450" s="119"/>
      <c r="J450" s="119"/>
      <c r="K450" s="119"/>
      <c r="L450" s="119"/>
      <c r="M450" s="119"/>
      <c r="N450" s="119"/>
      <c r="O450" s="119"/>
      <c r="P450" s="119"/>
      <c r="Q450" s="44"/>
      <c r="R450" s="19" t="s">
        <v>401</v>
      </c>
      <c r="S450" s="49"/>
      <c r="T450" s="42"/>
      <c r="U450" s="19"/>
      <c r="V450" s="19"/>
      <c r="W450" s="43"/>
      <c r="X450" s="57">
        <f t="shared" si="22"/>
        <v>0</v>
      </c>
      <c r="Y450" s="119"/>
    </row>
    <row r="451" spans="1:25">
      <c r="A451" s="44" t="s">
        <v>478</v>
      </c>
      <c r="B451" s="19" t="s">
        <v>430</v>
      </c>
      <c r="C451" s="49">
        <v>2026</v>
      </c>
      <c r="D451" s="46">
        <v>0</v>
      </c>
      <c r="E451" s="47">
        <v>0</v>
      </c>
      <c r="F451" s="47">
        <v>0</v>
      </c>
      <c r="G451" s="48">
        <v>0</v>
      </c>
      <c r="H451" s="57">
        <f t="shared" si="23"/>
        <v>0</v>
      </c>
      <c r="I451" s="119"/>
      <c r="J451" s="119"/>
      <c r="K451" s="119"/>
      <c r="L451" s="119"/>
      <c r="M451" s="119"/>
      <c r="N451" s="119"/>
      <c r="O451" s="119"/>
      <c r="P451" s="119"/>
      <c r="Q451" s="44" t="s">
        <v>478</v>
      </c>
      <c r="R451" s="19" t="s">
        <v>430</v>
      </c>
      <c r="S451" s="49">
        <v>2026</v>
      </c>
      <c r="T451" s="46">
        <v>0</v>
      </c>
      <c r="U451" s="47">
        <v>0</v>
      </c>
      <c r="V451" s="47">
        <v>0</v>
      </c>
      <c r="W451" s="48">
        <v>0</v>
      </c>
      <c r="X451" s="57">
        <f t="shared" si="22"/>
        <v>0</v>
      </c>
      <c r="Y451" s="119"/>
    </row>
    <row r="452" spans="1:25">
      <c r="A452" s="44" t="s">
        <v>478</v>
      </c>
      <c r="B452" s="19" t="s">
        <v>430</v>
      </c>
      <c r="C452" s="49">
        <v>2027</v>
      </c>
      <c r="D452" s="46">
        <v>0</v>
      </c>
      <c r="E452" s="47">
        <v>0</v>
      </c>
      <c r="F452" s="47">
        <v>0</v>
      </c>
      <c r="G452" s="48">
        <v>0</v>
      </c>
      <c r="H452" s="57">
        <f t="shared" si="23"/>
        <v>0</v>
      </c>
      <c r="I452" s="119"/>
      <c r="J452" s="119"/>
      <c r="K452" s="119"/>
      <c r="L452" s="119"/>
      <c r="M452" s="119"/>
      <c r="N452" s="119"/>
      <c r="O452" s="119"/>
      <c r="P452" s="119"/>
      <c r="Q452" s="44" t="s">
        <v>478</v>
      </c>
      <c r="R452" s="19" t="s">
        <v>430</v>
      </c>
      <c r="S452" s="49">
        <v>2027</v>
      </c>
      <c r="T452" s="46">
        <v>0</v>
      </c>
      <c r="U452" s="47">
        <v>0</v>
      </c>
      <c r="V452" s="47">
        <v>0</v>
      </c>
      <c r="W452" s="48">
        <v>0</v>
      </c>
      <c r="X452" s="57">
        <f t="shared" si="22"/>
        <v>0</v>
      </c>
      <c r="Y452" s="119"/>
    </row>
    <row r="453" spans="1:25">
      <c r="A453" s="44" t="s">
        <v>478</v>
      </c>
      <c r="B453" s="19" t="s">
        <v>430</v>
      </c>
      <c r="C453" s="49">
        <v>2028</v>
      </c>
      <c r="D453" s="46">
        <v>0</v>
      </c>
      <c r="E453" s="47">
        <v>0</v>
      </c>
      <c r="F453" s="47">
        <v>0</v>
      </c>
      <c r="G453" s="48">
        <v>0</v>
      </c>
      <c r="H453" s="57">
        <f t="shared" si="23"/>
        <v>0</v>
      </c>
      <c r="I453" s="119"/>
      <c r="J453" s="119"/>
      <c r="K453" s="119"/>
      <c r="L453" s="119"/>
      <c r="M453" s="119"/>
      <c r="N453" s="119"/>
      <c r="O453" s="119"/>
      <c r="P453" s="119"/>
      <c r="Q453" s="44" t="s">
        <v>478</v>
      </c>
      <c r="R453" s="19" t="s">
        <v>430</v>
      </c>
      <c r="S453" s="49">
        <v>2028</v>
      </c>
      <c r="T453" s="46">
        <v>0</v>
      </c>
      <c r="U453" s="47">
        <v>0</v>
      </c>
      <c r="V453" s="47">
        <v>0</v>
      </c>
      <c r="W453" s="48">
        <v>0</v>
      </c>
      <c r="X453" s="57">
        <f t="shared" si="22"/>
        <v>0</v>
      </c>
      <c r="Y453" s="119"/>
    </row>
    <row r="454" spans="1:25">
      <c r="A454" s="44" t="s">
        <v>478</v>
      </c>
      <c r="B454" s="19" t="s">
        <v>430</v>
      </c>
      <c r="C454" s="49">
        <v>2029</v>
      </c>
      <c r="D454" s="46">
        <v>0</v>
      </c>
      <c r="E454" s="47">
        <v>0</v>
      </c>
      <c r="F454" s="47">
        <v>0</v>
      </c>
      <c r="G454" s="48">
        <v>0</v>
      </c>
      <c r="H454" s="57">
        <f t="shared" si="23"/>
        <v>0</v>
      </c>
      <c r="I454" s="119"/>
      <c r="J454" s="119"/>
      <c r="K454" s="119"/>
      <c r="L454" s="119"/>
      <c r="M454" s="119"/>
      <c r="N454" s="119"/>
      <c r="O454" s="119"/>
      <c r="P454" s="119"/>
      <c r="Q454" s="44" t="s">
        <v>478</v>
      </c>
      <c r="R454" s="19" t="s">
        <v>430</v>
      </c>
      <c r="S454" s="49">
        <v>2029</v>
      </c>
      <c r="T454" s="46">
        <v>0</v>
      </c>
      <c r="U454" s="47">
        <v>0</v>
      </c>
      <c r="V454" s="47">
        <v>0</v>
      </c>
      <c r="W454" s="48">
        <v>0</v>
      </c>
      <c r="X454" s="57">
        <f t="shared" si="22"/>
        <v>0</v>
      </c>
      <c r="Y454" s="119"/>
    </row>
    <row r="455" spans="1:25">
      <c r="A455" s="44" t="s">
        <v>478</v>
      </c>
      <c r="B455" s="19" t="s">
        <v>430</v>
      </c>
      <c r="C455" s="49">
        <v>2030</v>
      </c>
      <c r="D455" s="46">
        <v>0</v>
      </c>
      <c r="E455" s="47">
        <v>0</v>
      </c>
      <c r="F455" s="47">
        <v>0</v>
      </c>
      <c r="G455" s="48">
        <v>0</v>
      </c>
      <c r="H455" s="57">
        <f t="shared" si="23"/>
        <v>0</v>
      </c>
      <c r="I455" s="119"/>
      <c r="J455" s="119"/>
      <c r="K455" s="119"/>
      <c r="L455" s="119"/>
      <c r="M455" s="119"/>
      <c r="N455" s="119"/>
      <c r="O455" s="119"/>
      <c r="P455" s="119"/>
      <c r="Q455" s="44" t="s">
        <v>478</v>
      </c>
      <c r="R455" s="19" t="s">
        <v>430</v>
      </c>
      <c r="S455" s="49">
        <v>2030</v>
      </c>
      <c r="T455" s="46">
        <v>0</v>
      </c>
      <c r="U455" s="47">
        <v>0</v>
      </c>
      <c r="V455" s="47">
        <v>0</v>
      </c>
      <c r="W455" s="48">
        <v>0</v>
      </c>
      <c r="X455" s="57">
        <f t="shared" si="22"/>
        <v>0</v>
      </c>
      <c r="Y455" s="119"/>
    </row>
    <row r="456" spans="1:25">
      <c r="A456" s="44" t="s">
        <v>478</v>
      </c>
      <c r="B456" s="19" t="s">
        <v>430</v>
      </c>
      <c r="C456" s="49">
        <v>2031</v>
      </c>
      <c r="D456" s="46">
        <v>0</v>
      </c>
      <c r="E456" s="47">
        <v>0</v>
      </c>
      <c r="F456" s="47">
        <v>0</v>
      </c>
      <c r="G456" s="48">
        <v>0</v>
      </c>
      <c r="H456" s="57">
        <f t="shared" si="23"/>
        <v>0</v>
      </c>
      <c r="I456" s="119"/>
      <c r="J456" s="119"/>
      <c r="K456" s="119"/>
      <c r="L456" s="119"/>
      <c r="M456" s="119"/>
      <c r="N456" s="119"/>
      <c r="O456" s="119"/>
      <c r="P456" s="119"/>
      <c r="Q456" s="44" t="s">
        <v>478</v>
      </c>
      <c r="R456" s="19" t="s">
        <v>430</v>
      </c>
      <c r="S456" s="49">
        <v>2031</v>
      </c>
      <c r="T456" s="46">
        <v>0</v>
      </c>
      <c r="U456" s="47">
        <v>0</v>
      </c>
      <c r="V456" s="47">
        <v>0</v>
      </c>
      <c r="W456" s="48">
        <v>0</v>
      </c>
      <c r="X456" s="57">
        <f t="shared" si="22"/>
        <v>0</v>
      </c>
      <c r="Y456" s="119"/>
    </row>
    <row r="457" spans="1:25">
      <c r="A457" s="44" t="s">
        <v>478</v>
      </c>
      <c r="B457" s="19" t="s">
        <v>430</v>
      </c>
      <c r="C457" s="49">
        <v>2032</v>
      </c>
      <c r="D457" s="46">
        <v>0</v>
      </c>
      <c r="E457" s="47">
        <v>0</v>
      </c>
      <c r="F457" s="47">
        <v>0</v>
      </c>
      <c r="G457" s="48">
        <v>0</v>
      </c>
      <c r="H457" s="57">
        <f t="shared" si="23"/>
        <v>0</v>
      </c>
      <c r="I457" s="119"/>
      <c r="J457" s="119"/>
      <c r="K457" s="119"/>
      <c r="L457" s="119"/>
      <c r="M457" s="119"/>
      <c r="N457" s="119"/>
      <c r="O457" s="119"/>
      <c r="P457" s="119"/>
      <c r="Q457" s="44" t="s">
        <v>478</v>
      </c>
      <c r="R457" s="19" t="s">
        <v>430</v>
      </c>
      <c r="S457" s="49">
        <v>2032</v>
      </c>
      <c r="T457" s="46">
        <v>0</v>
      </c>
      <c r="U457" s="47">
        <v>0</v>
      </c>
      <c r="V457" s="47">
        <v>0</v>
      </c>
      <c r="W457" s="48">
        <v>0</v>
      </c>
      <c r="X457" s="57">
        <f t="shared" si="22"/>
        <v>0</v>
      </c>
      <c r="Y457" s="119"/>
    </row>
    <row r="458" spans="1:25">
      <c r="A458" s="44" t="s">
        <v>478</v>
      </c>
      <c r="B458" s="19" t="s">
        <v>430</v>
      </c>
      <c r="C458" s="49">
        <v>2033</v>
      </c>
      <c r="D458" s="46">
        <v>0</v>
      </c>
      <c r="E458" s="47">
        <v>0</v>
      </c>
      <c r="F458" s="47">
        <v>0</v>
      </c>
      <c r="G458" s="48">
        <v>0</v>
      </c>
      <c r="H458" s="57">
        <f t="shared" si="23"/>
        <v>0</v>
      </c>
      <c r="I458" s="119"/>
      <c r="J458" s="119"/>
      <c r="K458" s="119"/>
      <c r="L458" s="119"/>
      <c r="M458" s="119"/>
      <c r="N458" s="119"/>
      <c r="O458" s="119"/>
      <c r="P458" s="119"/>
      <c r="Q458" s="44" t="s">
        <v>478</v>
      </c>
      <c r="R458" s="19" t="s">
        <v>430</v>
      </c>
      <c r="S458" s="49">
        <v>2033</v>
      </c>
      <c r="T458" s="46">
        <v>0</v>
      </c>
      <c r="U458" s="47">
        <v>0</v>
      </c>
      <c r="V458" s="47">
        <v>0</v>
      </c>
      <c r="W458" s="48">
        <v>0</v>
      </c>
      <c r="X458" s="57">
        <f t="shared" si="22"/>
        <v>0</v>
      </c>
      <c r="Y458" s="119"/>
    </row>
    <row r="459" spans="1:25">
      <c r="A459" s="44" t="s">
        <v>478</v>
      </c>
      <c r="B459" s="19" t="s">
        <v>430</v>
      </c>
      <c r="C459" s="49">
        <v>2034</v>
      </c>
      <c r="D459" s="46">
        <v>0</v>
      </c>
      <c r="E459" s="47">
        <v>0</v>
      </c>
      <c r="F459" s="47">
        <v>155.7788195887093</v>
      </c>
      <c r="G459" s="48">
        <v>0</v>
      </c>
      <c r="H459" s="57">
        <f t="shared" si="23"/>
        <v>90.834336328207172</v>
      </c>
      <c r="I459" s="119"/>
      <c r="J459" s="119"/>
      <c r="K459" s="119"/>
      <c r="L459" s="119"/>
      <c r="M459" s="119"/>
      <c r="N459" s="119"/>
      <c r="O459" s="119"/>
      <c r="P459" s="119"/>
      <c r="Q459" s="44" t="s">
        <v>478</v>
      </c>
      <c r="R459" s="19" t="s">
        <v>430</v>
      </c>
      <c r="S459" s="49">
        <v>2034</v>
      </c>
      <c r="T459" s="46">
        <v>0</v>
      </c>
      <c r="U459" s="47">
        <v>0</v>
      </c>
      <c r="V459" s="47">
        <v>155.7788195887093</v>
      </c>
      <c r="W459" s="48">
        <v>0</v>
      </c>
      <c r="X459" s="57">
        <f t="shared" si="22"/>
        <v>155.7788195887093</v>
      </c>
      <c r="Y459" s="119"/>
    </row>
    <row r="460" spans="1:25">
      <c r="A460" s="44" t="s">
        <v>478</v>
      </c>
      <c r="B460" s="19" t="s">
        <v>430</v>
      </c>
      <c r="C460" s="49">
        <v>2035</v>
      </c>
      <c r="D460" s="46">
        <v>0</v>
      </c>
      <c r="E460" s="47">
        <v>0</v>
      </c>
      <c r="F460" s="47">
        <v>0</v>
      </c>
      <c r="G460" s="48">
        <v>0</v>
      </c>
      <c r="H460" s="57">
        <f t="shared" si="23"/>
        <v>0</v>
      </c>
      <c r="I460" s="119"/>
      <c r="J460" s="119"/>
      <c r="K460" s="119"/>
      <c r="L460" s="119"/>
      <c r="M460" s="119"/>
      <c r="N460" s="119"/>
      <c r="O460" s="119"/>
      <c r="P460" s="119"/>
      <c r="Q460" s="44" t="s">
        <v>478</v>
      </c>
      <c r="R460" s="19" t="s">
        <v>430</v>
      </c>
      <c r="S460" s="49">
        <v>2035</v>
      </c>
      <c r="T460" s="46">
        <v>0</v>
      </c>
      <c r="U460" s="47">
        <v>0</v>
      </c>
      <c r="V460" s="47">
        <v>158.89439598048349</v>
      </c>
      <c r="W460" s="48">
        <v>0</v>
      </c>
      <c r="X460" s="57">
        <f t="shared" ref="X460:X523" si="24">SUM(T460:W460)</f>
        <v>158.89439598048349</v>
      </c>
      <c r="Y460" s="119">
        <f>NPV($Y$10,X451:X460)/((1-(1+$Y$10)^-10)/$Y$10)</f>
        <v>23.589521243090953</v>
      </c>
    </row>
    <row r="461" spans="1:25">
      <c r="A461" s="44"/>
      <c r="B461" s="19" t="s">
        <v>401</v>
      </c>
      <c r="C461" s="49"/>
      <c r="D461" s="46" t="s">
        <v>401</v>
      </c>
      <c r="E461" s="47" t="s">
        <v>401</v>
      </c>
      <c r="F461" s="47" t="s">
        <v>401</v>
      </c>
      <c r="G461" s="48" t="s">
        <v>401</v>
      </c>
      <c r="H461" s="57">
        <f t="shared" ref="H461:H524" si="25">SUM(D461:G461)/((1+$L$7)^(C461-C$11))</f>
        <v>0</v>
      </c>
      <c r="I461" s="119"/>
      <c r="J461" s="119"/>
      <c r="K461" s="119"/>
      <c r="L461" s="119"/>
      <c r="M461" s="119"/>
      <c r="N461" s="119"/>
      <c r="O461" s="119"/>
      <c r="P461" s="119"/>
      <c r="Q461" s="44"/>
      <c r="R461" s="19" t="s">
        <v>401</v>
      </c>
      <c r="S461" s="49"/>
      <c r="T461" s="46"/>
      <c r="U461" s="47"/>
      <c r="V461" s="47"/>
      <c r="W461" s="48"/>
      <c r="X461" s="57">
        <f t="shared" si="24"/>
        <v>0</v>
      </c>
      <c r="Y461" s="119"/>
    </row>
    <row r="462" spans="1:25">
      <c r="A462" s="44" t="s">
        <v>478</v>
      </c>
      <c r="B462" s="19" t="s">
        <v>431</v>
      </c>
      <c r="C462" s="49">
        <v>2026</v>
      </c>
      <c r="D462" s="46">
        <v>0</v>
      </c>
      <c r="E462" s="47">
        <v>0</v>
      </c>
      <c r="F462" s="47">
        <v>0</v>
      </c>
      <c r="G462" s="48">
        <v>0</v>
      </c>
      <c r="H462" s="57">
        <f t="shared" si="25"/>
        <v>0</v>
      </c>
      <c r="I462" s="119"/>
      <c r="J462" s="119"/>
      <c r="K462" s="119"/>
      <c r="L462" s="119"/>
      <c r="M462" s="119"/>
      <c r="N462" s="119"/>
      <c r="O462" s="119"/>
      <c r="P462" s="119"/>
      <c r="Q462" s="44" t="s">
        <v>478</v>
      </c>
      <c r="R462" s="19" t="s">
        <v>431</v>
      </c>
      <c r="S462" s="49">
        <v>2026</v>
      </c>
      <c r="T462" s="46">
        <v>0</v>
      </c>
      <c r="U462" s="47">
        <v>0</v>
      </c>
      <c r="V462" s="47">
        <v>0</v>
      </c>
      <c r="W462" s="48">
        <v>0</v>
      </c>
      <c r="X462" s="57">
        <f t="shared" si="24"/>
        <v>0</v>
      </c>
      <c r="Y462" s="119"/>
    </row>
    <row r="463" spans="1:25">
      <c r="A463" s="44" t="s">
        <v>478</v>
      </c>
      <c r="B463" s="19" t="s">
        <v>431</v>
      </c>
      <c r="C463" s="49">
        <v>2027</v>
      </c>
      <c r="D463" s="46">
        <v>0</v>
      </c>
      <c r="E463" s="47">
        <v>0</v>
      </c>
      <c r="F463" s="47">
        <v>0</v>
      </c>
      <c r="G463" s="48">
        <v>0</v>
      </c>
      <c r="H463" s="57">
        <f t="shared" si="25"/>
        <v>0</v>
      </c>
      <c r="I463" s="119"/>
      <c r="J463" s="119"/>
      <c r="K463" s="119"/>
      <c r="L463" s="119"/>
      <c r="M463" s="119"/>
      <c r="N463" s="119"/>
      <c r="O463" s="119"/>
      <c r="P463" s="119"/>
      <c r="Q463" s="44" t="s">
        <v>478</v>
      </c>
      <c r="R463" s="19" t="s">
        <v>431</v>
      </c>
      <c r="S463" s="49">
        <v>2027</v>
      </c>
      <c r="T463" s="46">
        <v>0</v>
      </c>
      <c r="U463" s="47">
        <v>0</v>
      </c>
      <c r="V463" s="47">
        <v>0</v>
      </c>
      <c r="W463" s="48">
        <v>0</v>
      </c>
      <c r="X463" s="57">
        <f t="shared" si="24"/>
        <v>0</v>
      </c>
      <c r="Y463" s="119"/>
    </row>
    <row r="464" spans="1:25">
      <c r="A464" s="44" t="s">
        <v>478</v>
      </c>
      <c r="B464" s="19" t="s">
        <v>431</v>
      </c>
      <c r="C464" s="49">
        <v>2028</v>
      </c>
      <c r="D464" s="46">
        <v>0</v>
      </c>
      <c r="E464" s="47">
        <v>0</v>
      </c>
      <c r="F464" s="47">
        <v>0</v>
      </c>
      <c r="G464" s="48">
        <v>0</v>
      </c>
      <c r="H464" s="57">
        <f t="shared" si="25"/>
        <v>0</v>
      </c>
      <c r="I464" s="119"/>
      <c r="J464" s="119"/>
      <c r="K464" s="119"/>
      <c r="L464" s="119"/>
      <c r="M464" s="119"/>
      <c r="N464" s="119"/>
      <c r="O464" s="119"/>
      <c r="P464" s="119"/>
      <c r="Q464" s="44" t="s">
        <v>478</v>
      </c>
      <c r="R464" s="19" t="s">
        <v>431</v>
      </c>
      <c r="S464" s="49">
        <v>2028</v>
      </c>
      <c r="T464" s="46">
        <v>0</v>
      </c>
      <c r="U464" s="47">
        <v>0</v>
      </c>
      <c r="V464" s="47">
        <v>0</v>
      </c>
      <c r="W464" s="48">
        <v>0</v>
      </c>
      <c r="X464" s="57">
        <f t="shared" si="24"/>
        <v>0</v>
      </c>
      <c r="Y464" s="119"/>
    </row>
    <row r="465" spans="1:25">
      <c r="A465" s="44" t="s">
        <v>478</v>
      </c>
      <c r="B465" s="19" t="s">
        <v>431</v>
      </c>
      <c r="C465" s="49">
        <v>2029</v>
      </c>
      <c r="D465" s="46">
        <v>0</v>
      </c>
      <c r="E465" s="47">
        <v>0</v>
      </c>
      <c r="F465" s="47">
        <v>0</v>
      </c>
      <c r="G465" s="48">
        <v>0</v>
      </c>
      <c r="H465" s="57">
        <f t="shared" si="25"/>
        <v>0</v>
      </c>
      <c r="I465" s="119"/>
      <c r="J465" s="119"/>
      <c r="K465" s="119"/>
      <c r="L465" s="119"/>
      <c r="M465" s="119"/>
      <c r="N465" s="119"/>
      <c r="O465" s="119"/>
      <c r="P465" s="119"/>
      <c r="Q465" s="44" t="s">
        <v>478</v>
      </c>
      <c r="R465" s="19" t="s">
        <v>431</v>
      </c>
      <c r="S465" s="49">
        <v>2029</v>
      </c>
      <c r="T465" s="46">
        <v>0</v>
      </c>
      <c r="U465" s="47">
        <v>0</v>
      </c>
      <c r="V465" s="47">
        <v>0</v>
      </c>
      <c r="W465" s="48">
        <v>0</v>
      </c>
      <c r="X465" s="57">
        <f t="shared" si="24"/>
        <v>0</v>
      </c>
      <c r="Y465" s="119"/>
    </row>
    <row r="466" spans="1:25">
      <c r="A466" s="44" t="s">
        <v>478</v>
      </c>
      <c r="B466" s="19" t="s">
        <v>431</v>
      </c>
      <c r="C466" s="49">
        <v>2030</v>
      </c>
      <c r="D466" s="46">
        <v>0</v>
      </c>
      <c r="E466" s="47">
        <v>0</v>
      </c>
      <c r="F466" s="47">
        <v>0</v>
      </c>
      <c r="G466" s="48">
        <v>0</v>
      </c>
      <c r="H466" s="57">
        <f t="shared" si="25"/>
        <v>0</v>
      </c>
      <c r="I466" s="119"/>
      <c r="J466" s="119"/>
      <c r="K466" s="119"/>
      <c r="L466" s="119"/>
      <c r="M466" s="119"/>
      <c r="N466" s="119"/>
      <c r="O466" s="119"/>
      <c r="P466" s="119"/>
      <c r="Q466" s="44" t="s">
        <v>478</v>
      </c>
      <c r="R466" s="19" t="s">
        <v>431</v>
      </c>
      <c r="S466" s="49">
        <v>2030</v>
      </c>
      <c r="T466" s="46">
        <v>0</v>
      </c>
      <c r="U466" s="47">
        <v>0</v>
      </c>
      <c r="V466" s="47">
        <v>0</v>
      </c>
      <c r="W466" s="48">
        <v>0</v>
      </c>
      <c r="X466" s="57">
        <f t="shared" si="24"/>
        <v>0</v>
      </c>
      <c r="Y466" s="119"/>
    </row>
    <row r="467" spans="1:25">
      <c r="A467" s="44" t="s">
        <v>478</v>
      </c>
      <c r="B467" s="19" t="s">
        <v>431</v>
      </c>
      <c r="C467" s="49">
        <v>2031</v>
      </c>
      <c r="D467" s="46">
        <v>0</v>
      </c>
      <c r="E467" s="47">
        <v>0</v>
      </c>
      <c r="F467" s="47">
        <v>0</v>
      </c>
      <c r="G467" s="48">
        <v>0</v>
      </c>
      <c r="H467" s="57">
        <f t="shared" si="25"/>
        <v>0</v>
      </c>
      <c r="I467" s="119"/>
      <c r="J467" s="119"/>
      <c r="K467" s="119"/>
      <c r="L467" s="119"/>
      <c r="M467" s="119"/>
      <c r="N467" s="119"/>
      <c r="O467" s="119"/>
      <c r="P467" s="119"/>
      <c r="Q467" s="44" t="s">
        <v>478</v>
      </c>
      <c r="R467" s="19" t="s">
        <v>431</v>
      </c>
      <c r="S467" s="49">
        <v>2031</v>
      </c>
      <c r="T467" s="46">
        <v>0</v>
      </c>
      <c r="U467" s="47">
        <v>0</v>
      </c>
      <c r="V467" s="47">
        <v>0</v>
      </c>
      <c r="W467" s="48">
        <v>0</v>
      </c>
      <c r="X467" s="57">
        <f t="shared" si="24"/>
        <v>0</v>
      </c>
      <c r="Y467" s="119"/>
    </row>
    <row r="468" spans="1:25">
      <c r="A468" s="44" t="s">
        <v>478</v>
      </c>
      <c r="B468" s="19" t="s">
        <v>431</v>
      </c>
      <c r="C468" s="49">
        <v>2032</v>
      </c>
      <c r="D468" s="46">
        <v>0</v>
      </c>
      <c r="E468" s="47">
        <v>0</v>
      </c>
      <c r="F468" s="47">
        <v>0</v>
      </c>
      <c r="G468" s="48">
        <v>0</v>
      </c>
      <c r="H468" s="57">
        <f t="shared" si="25"/>
        <v>0</v>
      </c>
      <c r="I468" s="119"/>
      <c r="J468" s="119"/>
      <c r="K468" s="119"/>
      <c r="L468" s="119"/>
      <c r="M468" s="119"/>
      <c r="N468" s="119"/>
      <c r="O468" s="119"/>
      <c r="P468" s="119"/>
      <c r="Q468" s="44" t="s">
        <v>478</v>
      </c>
      <c r="R468" s="19" t="s">
        <v>431</v>
      </c>
      <c r="S468" s="49">
        <v>2032</v>
      </c>
      <c r="T468" s="46">
        <v>0</v>
      </c>
      <c r="U468" s="47">
        <v>0</v>
      </c>
      <c r="V468" s="47">
        <v>0</v>
      </c>
      <c r="W468" s="48">
        <v>0</v>
      </c>
      <c r="X468" s="57">
        <f t="shared" si="24"/>
        <v>0</v>
      </c>
      <c r="Y468" s="119"/>
    </row>
    <row r="469" spans="1:25">
      <c r="A469" s="44" t="s">
        <v>478</v>
      </c>
      <c r="B469" s="19" t="s">
        <v>431</v>
      </c>
      <c r="C469" s="49">
        <v>2033</v>
      </c>
      <c r="D469" s="46">
        <v>0</v>
      </c>
      <c r="E469" s="47">
        <v>0</v>
      </c>
      <c r="F469" s="47">
        <v>0</v>
      </c>
      <c r="G469" s="48">
        <v>0</v>
      </c>
      <c r="H469" s="57">
        <f t="shared" si="25"/>
        <v>0</v>
      </c>
      <c r="I469" s="119"/>
      <c r="J469" s="119"/>
      <c r="K469" s="119"/>
      <c r="L469" s="119"/>
      <c r="M469" s="119"/>
      <c r="N469" s="119"/>
      <c r="O469" s="119"/>
      <c r="P469" s="119"/>
      <c r="Q469" s="44" t="s">
        <v>478</v>
      </c>
      <c r="R469" s="19" t="s">
        <v>431</v>
      </c>
      <c r="S469" s="49">
        <v>2033</v>
      </c>
      <c r="T469" s="46">
        <v>0</v>
      </c>
      <c r="U469" s="47">
        <v>0</v>
      </c>
      <c r="V469" s="47">
        <v>0</v>
      </c>
      <c r="W469" s="48">
        <v>0</v>
      </c>
      <c r="X469" s="57">
        <f t="shared" si="24"/>
        <v>0</v>
      </c>
      <c r="Y469" s="119"/>
    </row>
    <row r="470" spans="1:25">
      <c r="A470" s="44" t="s">
        <v>478</v>
      </c>
      <c r="B470" s="19" t="s">
        <v>431</v>
      </c>
      <c r="C470" s="49">
        <v>2034</v>
      </c>
      <c r="D470" s="46">
        <v>0</v>
      </c>
      <c r="E470" s="47">
        <v>0</v>
      </c>
      <c r="F470" s="47">
        <v>180.28710842883444</v>
      </c>
      <c r="G470" s="48">
        <v>0</v>
      </c>
      <c r="H470" s="57">
        <f t="shared" si="25"/>
        <v>105.1250733950974</v>
      </c>
      <c r="I470" s="119"/>
      <c r="J470" s="119"/>
      <c r="K470" s="119"/>
      <c r="L470" s="119"/>
      <c r="M470" s="119"/>
      <c r="N470" s="119"/>
      <c r="O470" s="119"/>
      <c r="P470" s="119"/>
      <c r="Q470" s="44" t="s">
        <v>478</v>
      </c>
      <c r="R470" s="19" t="s">
        <v>431</v>
      </c>
      <c r="S470" s="49">
        <v>2034</v>
      </c>
      <c r="T470" s="46">
        <v>0</v>
      </c>
      <c r="U470" s="47">
        <v>0</v>
      </c>
      <c r="V470" s="47">
        <v>180.28710842883444</v>
      </c>
      <c r="W470" s="48">
        <v>0</v>
      </c>
      <c r="X470" s="57">
        <f t="shared" si="24"/>
        <v>180.28710842883444</v>
      </c>
      <c r="Y470" s="119"/>
    </row>
    <row r="471" spans="1:25">
      <c r="A471" s="44" t="s">
        <v>478</v>
      </c>
      <c r="B471" s="19" t="s">
        <v>431</v>
      </c>
      <c r="C471" s="49">
        <v>2035</v>
      </c>
      <c r="D471" s="46">
        <v>0</v>
      </c>
      <c r="E471" s="47">
        <v>0</v>
      </c>
      <c r="F471" s="47">
        <v>0</v>
      </c>
      <c r="G471" s="48">
        <v>0</v>
      </c>
      <c r="H471" s="57">
        <f t="shared" si="25"/>
        <v>0</v>
      </c>
      <c r="I471" s="119"/>
      <c r="J471" s="119"/>
      <c r="K471" s="119"/>
      <c r="L471" s="119"/>
      <c r="M471" s="119"/>
      <c r="N471" s="119"/>
      <c r="O471" s="119"/>
      <c r="P471" s="119"/>
      <c r="Q471" s="44" t="s">
        <v>478</v>
      </c>
      <c r="R471" s="19" t="s">
        <v>431</v>
      </c>
      <c r="S471" s="49">
        <v>2035</v>
      </c>
      <c r="T471" s="46">
        <v>0</v>
      </c>
      <c r="U471" s="47">
        <v>0</v>
      </c>
      <c r="V471" s="47">
        <v>183.89285059741113</v>
      </c>
      <c r="W471" s="48">
        <v>0</v>
      </c>
      <c r="X471" s="57">
        <f t="shared" si="24"/>
        <v>183.89285059741113</v>
      </c>
      <c r="Y471" s="119">
        <f>NPV($Y$10,X462:X471)/((1-(1+$Y$10)^-10)/$Y$10)</f>
        <v>27.300801131796977</v>
      </c>
    </row>
    <row r="472" spans="1:25">
      <c r="A472" s="44"/>
      <c r="B472" s="19" t="s">
        <v>401</v>
      </c>
      <c r="C472" s="49"/>
      <c r="D472" s="42" t="s">
        <v>401</v>
      </c>
      <c r="E472" s="19" t="s">
        <v>401</v>
      </c>
      <c r="F472" s="19" t="s">
        <v>401</v>
      </c>
      <c r="G472" s="43" t="s">
        <v>401</v>
      </c>
      <c r="H472" s="57">
        <f t="shared" si="25"/>
        <v>0</v>
      </c>
      <c r="I472" s="119"/>
      <c r="J472" s="119"/>
      <c r="K472" s="119"/>
      <c r="L472" s="119"/>
      <c r="M472" s="119"/>
      <c r="N472" s="119"/>
      <c r="O472" s="119"/>
      <c r="P472" s="119"/>
      <c r="Q472" s="44"/>
      <c r="R472" s="19" t="s">
        <v>401</v>
      </c>
      <c r="S472" s="49"/>
      <c r="T472" s="42"/>
      <c r="U472" s="19"/>
      <c r="V472" s="19"/>
      <c r="W472" s="43"/>
      <c r="X472" s="57">
        <f t="shared" si="24"/>
        <v>0</v>
      </c>
      <c r="Y472" s="119"/>
    </row>
    <row r="473" spans="1:25">
      <c r="A473" s="44" t="s">
        <v>478</v>
      </c>
      <c r="B473" s="19" t="s">
        <v>432</v>
      </c>
      <c r="C473" s="49">
        <v>2026</v>
      </c>
      <c r="D473" s="46">
        <v>0</v>
      </c>
      <c r="E473" s="47">
        <v>0</v>
      </c>
      <c r="F473" s="47">
        <v>0</v>
      </c>
      <c r="G473" s="48">
        <v>0</v>
      </c>
      <c r="H473" s="57">
        <f t="shared" si="25"/>
        <v>0</v>
      </c>
      <c r="I473" s="119"/>
      <c r="J473" s="119"/>
      <c r="K473" s="119"/>
      <c r="L473" s="119"/>
      <c r="M473" s="119"/>
      <c r="N473" s="119"/>
      <c r="O473" s="119"/>
      <c r="P473" s="119"/>
      <c r="Q473" s="44" t="s">
        <v>478</v>
      </c>
      <c r="R473" s="19" t="s">
        <v>432</v>
      </c>
      <c r="S473" s="49">
        <v>2026</v>
      </c>
      <c r="T473" s="46">
        <v>0</v>
      </c>
      <c r="U473" s="47">
        <v>0</v>
      </c>
      <c r="V473" s="47">
        <v>0</v>
      </c>
      <c r="W473" s="48">
        <v>0</v>
      </c>
      <c r="X473" s="57">
        <f t="shared" si="24"/>
        <v>0</v>
      </c>
      <c r="Y473" s="119"/>
    </row>
    <row r="474" spans="1:25">
      <c r="A474" s="44" t="s">
        <v>478</v>
      </c>
      <c r="B474" s="19" t="s">
        <v>432</v>
      </c>
      <c r="C474" s="49">
        <v>2027</v>
      </c>
      <c r="D474" s="46">
        <v>0</v>
      </c>
      <c r="E474" s="47">
        <v>0</v>
      </c>
      <c r="F474" s="47">
        <v>0</v>
      </c>
      <c r="G474" s="48">
        <v>0</v>
      </c>
      <c r="H474" s="57">
        <f t="shared" si="25"/>
        <v>0</v>
      </c>
      <c r="I474" s="119"/>
      <c r="J474" s="119"/>
      <c r="K474" s="119"/>
      <c r="L474" s="119"/>
      <c r="M474" s="119"/>
      <c r="N474" s="119"/>
      <c r="O474" s="119"/>
      <c r="P474" s="119"/>
      <c r="Q474" s="44" t="s">
        <v>478</v>
      </c>
      <c r="R474" s="19" t="s">
        <v>432</v>
      </c>
      <c r="S474" s="49">
        <v>2027</v>
      </c>
      <c r="T474" s="46">
        <v>0</v>
      </c>
      <c r="U474" s="47">
        <v>0</v>
      </c>
      <c r="V474" s="47">
        <v>0</v>
      </c>
      <c r="W474" s="48">
        <v>0</v>
      </c>
      <c r="X474" s="57">
        <f t="shared" si="24"/>
        <v>0</v>
      </c>
      <c r="Y474" s="119"/>
    </row>
    <row r="475" spans="1:25">
      <c r="A475" s="44" t="s">
        <v>478</v>
      </c>
      <c r="B475" s="19" t="s">
        <v>432</v>
      </c>
      <c r="C475" s="49">
        <v>2028</v>
      </c>
      <c r="D475" s="46">
        <v>0</v>
      </c>
      <c r="E475" s="47">
        <v>0</v>
      </c>
      <c r="F475" s="47">
        <v>0</v>
      </c>
      <c r="G475" s="48">
        <v>0</v>
      </c>
      <c r="H475" s="57">
        <f t="shared" si="25"/>
        <v>0</v>
      </c>
      <c r="I475" s="119"/>
      <c r="J475" s="119"/>
      <c r="K475" s="119"/>
      <c r="L475" s="119"/>
      <c r="M475" s="119"/>
      <c r="N475" s="119"/>
      <c r="O475" s="119"/>
      <c r="P475" s="119"/>
      <c r="Q475" s="44" t="s">
        <v>478</v>
      </c>
      <c r="R475" s="19" t="s">
        <v>432</v>
      </c>
      <c r="S475" s="49">
        <v>2028</v>
      </c>
      <c r="T475" s="46">
        <v>0</v>
      </c>
      <c r="U475" s="47">
        <v>0</v>
      </c>
      <c r="V475" s="47">
        <v>0</v>
      </c>
      <c r="W475" s="48">
        <v>0</v>
      </c>
      <c r="X475" s="57">
        <f t="shared" si="24"/>
        <v>0</v>
      </c>
      <c r="Y475" s="119"/>
    </row>
    <row r="476" spans="1:25">
      <c r="A476" s="44" t="s">
        <v>478</v>
      </c>
      <c r="B476" s="19" t="s">
        <v>432</v>
      </c>
      <c r="C476" s="49">
        <v>2029</v>
      </c>
      <c r="D476" s="46">
        <v>0</v>
      </c>
      <c r="E476" s="47">
        <v>0</v>
      </c>
      <c r="F476" s="47">
        <v>0</v>
      </c>
      <c r="G476" s="48">
        <v>0</v>
      </c>
      <c r="H476" s="57">
        <f t="shared" si="25"/>
        <v>0</v>
      </c>
      <c r="I476" s="119"/>
      <c r="J476" s="119"/>
      <c r="K476" s="119"/>
      <c r="L476" s="119"/>
      <c r="M476" s="119"/>
      <c r="N476" s="119"/>
      <c r="O476" s="119"/>
      <c r="P476" s="119"/>
      <c r="Q476" s="44" t="s">
        <v>478</v>
      </c>
      <c r="R476" s="19" t="s">
        <v>432</v>
      </c>
      <c r="S476" s="49">
        <v>2029</v>
      </c>
      <c r="T476" s="46">
        <v>0</v>
      </c>
      <c r="U476" s="47">
        <v>0</v>
      </c>
      <c r="V476" s="47">
        <v>0</v>
      </c>
      <c r="W476" s="48">
        <v>0</v>
      </c>
      <c r="X476" s="57">
        <f t="shared" si="24"/>
        <v>0</v>
      </c>
      <c r="Y476" s="119"/>
    </row>
    <row r="477" spans="1:25">
      <c r="A477" s="44" t="s">
        <v>478</v>
      </c>
      <c r="B477" s="19" t="s">
        <v>432</v>
      </c>
      <c r="C477" s="49">
        <v>2030</v>
      </c>
      <c r="D477" s="46">
        <v>0</v>
      </c>
      <c r="E477" s="47">
        <v>0</v>
      </c>
      <c r="F477" s="47">
        <v>0</v>
      </c>
      <c r="G477" s="48">
        <v>0</v>
      </c>
      <c r="H477" s="57">
        <f t="shared" si="25"/>
        <v>0</v>
      </c>
      <c r="I477" s="119"/>
      <c r="J477" s="119"/>
      <c r="K477" s="119"/>
      <c r="L477" s="119"/>
      <c r="M477" s="119"/>
      <c r="N477" s="119"/>
      <c r="O477" s="119"/>
      <c r="P477" s="119"/>
      <c r="Q477" s="44" t="s">
        <v>478</v>
      </c>
      <c r="R477" s="19" t="s">
        <v>432</v>
      </c>
      <c r="S477" s="49">
        <v>2030</v>
      </c>
      <c r="T477" s="46">
        <v>0</v>
      </c>
      <c r="U477" s="47">
        <v>0</v>
      </c>
      <c r="V477" s="47">
        <v>0</v>
      </c>
      <c r="W477" s="48">
        <v>0</v>
      </c>
      <c r="X477" s="57">
        <f t="shared" si="24"/>
        <v>0</v>
      </c>
      <c r="Y477" s="119"/>
    </row>
    <row r="478" spans="1:25">
      <c r="A478" s="44" t="s">
        <v>478</v>
      </c>
      <c r="B478" s="19" t="s">
        <v>432</v>
      </c>
      <c r="C478" s="49">
        <v>2031</v>
      </c>
      <c r="D478" s="46">
        <v>0</v>
      </c>
      <c r="E478" s="47">
        <v>0</v>
      </c>
      <c r="F478" s="47">
        <v>0</v>
      </c>
      <c r="G478" s="48">
        <v>0</v>
      </c>
      <c r="H478" s="57">
        <f t="shared" si="25"/>
        <v>0</v>
      </c>
      <c r="I478" s="119"/>
      <c r="J478" s="119"/>
      <c r="K478" s="119"/>
      <c r="L478" s="119"/>
      <c r="M478" s="119"/>
      <c r="N478" s="119"/>
      <c r="O478" s="119"/>
      <c r="P478" s="119"/>
      <c r="Q478" s="44" t="s">
        <v>478</v>
      </c>
      <c r="R478" s="19" t="s">
        <v>432</v>
      </c>
      <c r="S478" s="49">
        <v>2031</v>
      </c>
      <c r="T478" s="46">
        <v>0</v>
      </c>
      <c r="U478" s="47">
        <v>0</v>
      </c>
      <c r="V478" s="47">
        <v>0</v>
      </c>
      <c r="W478" s="48">
        <v>0</v>
      </c>
      <c r="X478" s="57">
        <f t="shared" si="24"/>
        <v>0</v>
      </c>
      <c r="Y478" s="119"/>
    </row>
    <row r="479" spans="1:25">
      <c r="A479" s="44" t="s">
        <v>478</v>
      </c>
      <c r="B479" s="19" t="s">
        <v>432</v>
      </c>
      <c r="C479" s="49">
        <v>2032</v>
      </c>
      <c r="D479" s="46">
        <v>0</v>
      </c>
      <c r="E479" s="47">
        <v>0</v>
      </c>
      <c r="F479" s="47">
        <v>0</v>
      </c>
      <c r="G479" s="48">
        <v>0</v>
      </c>
      <c r="H479" s="57">
        <f t="shared" si="25"/>
        <v>0</v>
      </c>
      <c r="I479" s="119"/>
      <c r="J479" s="119"/>
      <c r="K479" s="119"/>
      <c r="L479" s="119"/>
      <c r="M479" s="119"/>
      <c r="N479" s="119"/>
      <c r="O479" s="119"/>
      <c r="P479" s="119"/>
      <c r="Q479" s="44" t="s">
        <v>478</v>
      </c>
      <c r="R479" s="19" t="s">
        <v>432</v>
      </c>
      <c r="S479" s="49">
        <v>2032</v>
      </c>
      <c r="T479" s="46">
        <v>0</v>
      </c>
      <c r="U479" s="47">
        <v>0</v>
      </c>
      <c r="V479" s="47">
        <v>0</v>
      </c>
      <c r="W479" s="48">
        <v>0</v>
      </c>
      <c r="X479" s="57">
        <f t="shared" si="24"/>
        <v>0</v>
      </c>
      <c r="Y479" s="119"/>
    </row>
    <row r="480" spans="1:25">
      <c r="A480" s="44" t="s">
        <v>478</v>
      </c>
      <c r="B480" s="19" t="s">
        <v>432</v>
      </c>
      <c r="C480" s="49">
        <v>2033</v>
      </c>
      <c r="D480" s="46">
        <v>0</v>
      </c>
      <c r="E480" s="47">
        <v>0</v>
      </c>
      <c r="F480" s="47">
        <v>0</v>
      </c>
      <c r="G480" s="48">
        <v>0</v>
      </c>
      <c r="H480" s="57">
        <f t="shared" si="25"/>
        <v>0</v>
      </c>
      <c r="I480" s="119"/>
      <c r="J480" s="119"/>
      <c r="K480" s="119"/>
      <c r="L480" s="119"/>
      <c r="M480" s="119"/>
      <c r="N480" s="119"/>
      <c r="O480" s="119"/>
      <c r="P480" s="119"/>
      <c r="Q480" s="44" t="s">
        <v>478</v>
      </c>
      <c r="R480" s="19" t="s">
        <v>432</v>
      </c>
      <c r="S480" s="49">
        <v>2033</v>
      </c>
      <c r="T480" s="46">
        <v>0</v>
      </c>
      <c r="U480" s="47">
        <v>0</v>
      </c>
      <c r="V480" s="47">
        <v>0</v>
      </c>
      <c r="W480" s="48">
        <v>0</v>
      </c>
      <c r="X480" s="57">
        <f t="shared" si="24"/>
        <v>0</v>
      </c>
      <c r="Y480" s="119"/>
    </row>
    <row r="481" spans="1:25">
      <c r="A481" s="44" t="s">
        <v>478</v>
      </c>
      <c r="B481" s="19" t="s">
        <v>432</v>
      </c>
      <c r="C481" s="49">
        <v>2034</v>
      </c>
      <c r="D481" s="46">
        <v>0</v>
      </c>
      <c r="E481" s="47">
        <v>0</v>
      </c>
      <c r="F481" s="47">
        <v>155.7727465771469</v>
      </c>
      <c r="G481" s="48">
        <v>11.288683152117441</v>
      </c>
      <c r="H481" s="57">
        <f t="shared" si="25"/>
        <v>97.413205052935254</v>
      </c>
      <c r="I481" s="119"/>
      <c r="J481" s="119"/>
      <c r="K481" s="119"/>
      <c r="L481" s="119"/>
      <c r="M481" s="119"/>
      <c r="N481" s="119"/>
      <c r="O481" s="119"/>
      <c r="P481" s="119"/>
      <c r="Q481" s="44" t="s">
        <v>478</v>
      </c>
      <c r="R481" s="19" t="s">
        <v>432</v>
      </c>
      <c r="S481" s="49">
        <v>2034</v>
      </c>
      <c r="T481" s="46">
        <v>0</v>
      </c>
      <c r="U481" s="47">
        <v>0</v>
      </c>
      <c r="V481" s="47">
        <v>155.7727465771469</v>
      </c>
      <c r="W481" s="48">
        <v>11.288683152117441</v>
      </c>
      <c r="X481" s="57">
        <f t="shared" si="24"/>
        <v>167.06142972926435</v>
      </c>
      <c r="Y481" s="119"/>
    </row>
    <row r="482" spans="1:25">
      <c r="A482" s="44" t="s">
        <v>478</v>
      </c>
      <c r="B482" s="19" t="s">
        <v>432</v>
      </c>
      <c r="C482" s="49">
        <v>2035</v>
      </c>
      <c r="D482" s="46">
        <v>0</v>
      </c>
      <c r="E482" s="47">
        <v>0</v>
      </c>
      <c r="F482" s="47">
        <v>0</v>
      </c>
      <c r="G482" s="48">
        <v>135.11239325220117</v>
      </c>
      <c r="H482" s="57">
        <f t="shared" si="25"/>
        <v>73.646910074224792</v>
      </c>
      <c r="I482" s="119"/>
      <c r="J482" s="119"/>
      <c r="K482" s="119"/>
      <c r="L482" s="119"/>
      <c r="M482" s="119"/>
      <c r="N482" s="119"/>
      <c r="O482" s="119"/>
      <c r="P482" s="119"/>
      <c r="Q482" s="44" t="s">
        <v>478</v>
      </c>
      <c r="R482" s="19" t="s">
        <v>432</v>
      </c>
      <c r="S482" s="49">
        <v>2035</v>
      </c>
      <c r="T482" s="46">
        <v>0</v>
      </c>
      <c r="U482" s="47">
        <v>0</v>
      </c>
      <c r="V482" s="47">
        <v>158.88820150868983</v>
      </c>
      <c r="W482" s="48">
        <v>146.62685006736098</v>
      </c>
      <c r="X482" s="57">
        <f t="shared" si="24"/>
        <v>305.51505157605084</v>
      </c>
      <c r="Y482" s="119">
        <f>NPV($Y$10,X473:X482)/((1-(1+$Y$10)^-10)/$Y$10)</f>
        <v>35.088693184764004</v>
      </c>
    </row>
    <row r="483" spans="1:25">
      <c r="A483" s="44"/>
      <c r="B483" s="19" t="s">
        <v>401</v>
      </c>
      <c r="C483" s="49"/>
      <c r="D483" s="46" t="s">
        <v>401</v>
      </c>
      <c r="E483" s="47" t="s">
        <v>401</v>
      </c>
      <c r="F483" s="47" t="s">
        <v>401</v>
      </c>
      <c r="G483" s="48" t="s">
        <v>401</v>
      </c>
      <c r="H483" s="57">
        <f t="shared" si="25"/>
        <v>0</v>
      </c>
      <c r="I483" s="119"/>
      <c r="J483" s="119"/>
      <c r="K483" s="119"/>
      <c r="L483" s="119"/>
      <c r="M483" s="119"/>
      <c r="N483" s="119"/>
      <c r="O483" s="119"/>
      <c r="P483" s="119"/>
      <c r="Q483" s="44"/>
      <c r="R483" s="19" t="s">
        <v>401</v>
      </c>
      <c r="S483" s="49"/>
      <c r="T483" s="46"/>
      <c r="U483" s="47"/>
      <c r="V483" s="47"/>
      <c r="W483" s="48"/>
      <c r="X483" s="57">
        <f t="shared" si="24"/>
        <v>0</v>
      </c>
      <c r="Y483" s="119"/>
    </row>
    <row r="484" spans="1:25">
      <c r="A484" s="44" t="s">
        <v>478</v>
      </c>
      <c r="B484" s="19" t="s">
        <v>433</v>
      </c>
      <c r="C484" s="49">
        <v>2026</v>
      </c>
      <c r="D484" s="46">
        <v>0</v>
      </c>
      <c r="E484" s="47">
        <v>0</v>
      </c>
      <c r="F484" s="47">
        <v>0</v>
      </c>
      <c r="G484" s="48">
        <v>0</v>
      </c>
      <c r="H484" s="57">
        <f t="shared" si="25"/>
        <v>0</v>
      </c>
      <c r="I484" s="119"/>
      <c r="J484" s="119"/>
      <c r="K484" s="119"/>
      <c r="L484" s="119"/>
      <c r="M484" s="119"/>
      <c r="N484" s="119"/>
      <c r="O484" s="119"/>
      <c r="P484" s="119"/>
      <c r="Q484" s="44" t="s">
        <v>478</v>
      </c>
      <c r="R484" s="19" t="s">
        <v>433</v>
      </c>
      <c r="S484" s="49">
        <v>2026</v>
      </c>
      <c r="T484" s="46">
        <v>0</v>
      </c>
      <c r="U484" s="47">
        <v>0</v>
      </c>
      <c r="V484" s="47">
        <v>0</v>
      </c>
      <c r="W484" s="48">
        <v>0</v>
      </c>
      <c r="X484" s="57">
        <f t="shared" si="24"/>
        <v>0</v>
      </c>
      <c r="Y484" s="119"/>
    </row>
    <row r="485" spans="1:25">
      <c r="A485" s="44" t="s">
        <v>478</v>
      </c>
      <c r="B485" s="19" t="s">
        <v>433</v>
      </c>
      <c r="C485" s="49">
        <v>2027</v>
      </c>
      <c r="D485" s="46">
        <v>0</v>
      </c>
      <c r="E485" s="47">
        <v>0</v>
      </c>
      <c r="F485" s="47">
        <v>0</v>
      </c>
      <c r="G485" s="48">
        <v>0</v>
      </c>
      <c r="H485" s="57">
        <f t="shared" si="25"/>
        <v>0</v>
      </c>
      <c r="I485" s="119"/>
      <c r="J485" s="119"/>
      <c r="K485" s="119"/>
      <c r="L485" s="119"/>
      <c r="M485" s="119"/>
      <c r="N485" s="119"/>
      <c r="O485" s="119"/>
      <c r="P485" s="119"/>
      <c r="Q485" s="44" t="s">
        <v>478</v>
      </c>
      <c r="R485" s="19" t="s">
        <v>433</v>
      </c>
      <c r="S485" s="49">
        <v>2027</v>
      </c>
      <c r="T485" s="46">
        <v>0</v>
      </c>
      <c r="U485" s="47">
        <v>0</v>
      </c>
      <c r="V485" s="47">
        <v>0</v>
      </c>
      <c r="W485" s="48">
        <v>0</v>
      </c>
      <c r="X485" s="57">
        <f t="shared" si="24"/>
        <v>0</v>
      </c>
      <c r="Y485" s="119"/>
    </row>
    <row r="486" spans="1:25">
      <c r="A486" s="44" t="s">
        <v>478</v>
      </c>
      <c r="B486" s="19" t="s">
        <v>433</v>
      </c>
      <c r="C486" s="49">
        <v>2028</v>
      </c>
      <c r="D486" s="46">
        <v>0</v>
      </c>
      <c r="E486" s="47">
        <v>0</v>
      </c>
      <c r="F486" s="47">
        <v>0</v>
      </c>
      <c r="G486" s="48">
        <v>0</v>
      </c>
      <c r="H486" s="57">
        <f t="shared" si="25"/>
        <v>0</v>
      </c>
      <c r="I486" s="119"/>
      <c r="J486" s="119"/>
      <c r="K486" s="119"/>
      <c r="L486" s="119"/>
      <c r="M486" s="119"/>
      <c r="N486" s="119"/>
      <c r="O486" s="119"/>
      <c r="P486" s="119"/>
      <c r="Q486" s="44" t="s">
        <v>478</v>
      </c>
      <c r="R486" s="19" t="s">
        <v>433</v>
      </c>
      <c r="S486" s="49">
        <v>2028</v>
      </c>
      <c r="T486" s="46">
        <v>0</v>
      </c>
      <c r="U486" s="47">
        <v>0</v>
      </c>
      <c r="V486" s="47">
        <v>0</v>
      </c>
      <c r="W486" s="48">
        <v>0</v>
      </c>
      <c r="X486" s="57">
        <f t="shared" si="24"/>
        <v>0</v>
      </c>
      <c r="Y486" s="119"/>
    </row>
    <row r="487" spans="1:25">
      <c r="A487" s="44" t="s">
        <v>478</v>
      </c>
      <c r="B487" s="19" t="s">
        <v>433</v>
      </c>
      <c r="C487" s="49">
        <v>2029</v>
      </c>
      <c r="D487" s="46">
        <v>0</v>
      </c>
      <c r="E487" s="47">
        <v>0</v>
      </c>
      <c r="F487" s="47">
        <v>0</v>
      </c>
      <c r="G487" s="48">
        <v>0</v>
      </c>
      <c r="H487" s="57">
        <f t="shared" si="25"/>
        <v>0</v>
      </c>
      <c r="I487" s="119"/>
      <c r="J487" s="119"/>
      <c r="K487" s="119"/>
      <c r="L487" s="119"/>
      <c r="M487" s="119"/>
      <c r="N487" s="119"/>
      <c r="O487" s="119"/>
      <c r="P487" s="119"/>
      <c r="Q487" s="44" t="s">
        <v>478</v>
      </c>
      <c r="R487" s="19" t="s">
        <v>433</v>
      </c>
      <c r="S487" s="49">
        <v>2029</v>
      </c>
      <c r="T487" s="46">
        <v>0</v>
      </c>
      <c r="U487" s="47">
        <v>0</v>
      </c>
      <c r="V487" s="47">
        <v>0</v>
      </c>
      <c r="W487" s="48">
        <v>0</v>
      </c>
      <c r="X487" s="57">
        <f t="shared" si="24"/>
        <v>0</v>
      </c>
      <c r="Y487" s="119"/>
    </row>
    <row r="488" spans="1:25">
      <c r="A488" s="44" t="s">
        <v>478</v>
      </c>
      <c r="B488" s="19" t="s">
        <v>433</v>
      </c>
      <c r="C488" s="49">
        <v>2030</v>
      </c>
      <c r="D488" s="46">
        <v>0</v>
      </c>
      <c r="E488" s="47">
        <v>8.6641698641677092</v>
      </c>
      <c r="F488" s="47">
        <v>0</v>
      </c>
      <c r="G488" s="48">
        <v>0</v>
      </c>
      <c r="H488" s="57">
        <f t="shared" si="25"/>
        <v>6.6160347491105549</v>
      </c>
      <c r="I488" s="119"/>
      <c r="J488" s="119"/>
      <c r="K488" s="119"/>
      <c r="L488" s="119"/>
      <c r="M488" s="119"/>
      <c r="N488" s="119"/>
      <c r="O488" s="119"/>
      <c r="P488" s="119"/>
      <c r="Q488" s="44" t="s">
        <v>478</v>
      </c>
      <c r="R488" s="19" t="s">
        <v>433</v>
      </c>
      <c r="S488" s="49">
        <v>2030</v>
      </c>
      <c r="T488" s="46">
        <v>0</v>
      </c>
      <c r="U488" s="47">
        <v>8.6641698641677092</v>
      </c>
      <c r="V488" s="47">
        <v>0</v>
      </c>
      <c r="W488" s="48">
        <v>0</v>
      </c>
      <c r="X488" s="57">
        <f t="shared" si="24"/>
        <v>8.6641698641677092</v>
      </c>
      <c r="Y488" s="119"/>
    </row>
    <row r="489" spans="1:25">
      <c r="A489" s="44" t="s">
        <v>478</v>
      </c>
      <c r="B489" s="19" t="s">
        <v>433</v>
      </c>
      <c r="C489" s="49">
        <v>2031</v>
      </c>
      <c r="D489" s="46">
        <v>64.150327790953725</v>
      </c>
      <c r="E489" s="47">
        <v>19.695176593788695</v>
      </c>
      <c r="F489" s="47">
        <v>0</v>
      </c>
      <c r="G489" s="48">
        <v>0</v>
      </c>
      <c r="H489" s="57">
        <f t="shared" si="25"/>
        <v>59.850572066012276</v>
      </c>
      <c r="I489" s="119"/>
      <c r="J489" s="119"/>
      <c r="K489" s="119"/>
      <c r="L489" s="119"/>
      <c r="M489" s="119"/>
      <c r="N489" s="119"/>
      <c r="O489" s="119"/>
      <c r="P489" s="119"/>
      <c r="Q489" s="44" t="s">
        <v>478</v>
      </c>
      <c r="R489" s="19" t="s">
        <v>433</v>
      </c>
      <c r="S489" s="49">
        <v>2031</v>
      </c>
      <c r="T489" s="46">
        <v>64.150327790953725</v>
      </c>
      <c r="U489" s="47">
        <v>28.532629855239758</v>
      </c>
      <c r="V489" s="47">
        <v>0</v>
      </c>
      <c r="W489" s="48">
        <v>0</v>
      </c>
      <c r="X489" s="57">
        <f t="shared" si="24"/>
        <v>92.682957646193486</v>
      </c>
      <c r="Y489" s="119"/>
    </row>
    <row r="490" spans="1:25">
      <c r="A490" s="44" t="s">
        <v>478</v>
      </c>
      <c r="B490" s="19" t="s">
        <v>433</v>
      </c>
      <c r="C490" s="49">
        <v>2032</v>
      </c>
      <c r="D490" s="46">
        <v>76.93815769395799</v>
      </c>
      <c r="E490" s="47">
        <v>33.333621420569855</v>
      </c>
      <c r="F490" s="47">
        <v>0</v>
      </c>
      <c r="G490" s="48">
        <v>0</v>
      </c>
      <c r="H490" s="57">
        <f t="shared" si="25"/>
        <v>73.581834390032427</v>
      </c>
      <c r="I490" s="119"/>
      <c r="J490" s="119"/>
      <c r="K490" s="119"/>
      <c r="L490" s="119"/>
      <c r="M490" s="119"/>
      <c r="N490" s="119"/>
      <c r="O490" s="119"/>
      <c r="P490" s="119"/>
      <c r="Q490" s="44" t="s">
        <v>478</v>
      </c>
      <c r="R490" s="19" t="s">
        <v>433</v>
      </c>
      <c r="S490" s="49">
        <v>2032</v>
      </c>
      <c r="T490" s="46">
        <v>142.3714920407308</v>
      </c>
      <c r="U490" s="47">
        <v>62.436903872914414</v>
      </c>
      <c r="V490" s="47">
        <v>0</v>
      </c>
      <c r="W490" s="48">
        <v>0</v>
      </c>
      <c r="X490" s="57">
        <f t="shared" si="24"/>
        <v>204.8083959136452</v>
      </c>
      <c r="Y490" s="119"/>
    </row>
    <row r="491" spans="1:25">
      <c r="A491" s="44" t="s">
        <v>478</v>
      </c>
      <c r="B491" s="19" t="s">
        <v>433</v>
      </c>
      <c r="C491" s="49">
        <v>2033</v>
      </c>
      <c r="D491" s="46">
        <v>76.642552622598814</v>
      </c>
      <c r="E491" s="47">
        <v>33.205549890993026</v>
      </c>
      <c r="F491" s="47">
        <v>0</v>
      </c>
      <c r="G491" s="48">
        <v>0</v>
      </c>
      <c r="H491" s="57">
        <f t="shared" si="25"/>
        <v>68.5198641654612</v>
      </c>
      <c r="I491" s="119"/>
      <c r="J491" s="119"/>
      <c r="K491" s="119"/>
      <c r="L491" s="119"/>
      <c r="M491" s="119"/>
      <c r="N491" s="119"/>
      <c r="O491" s="119"/>
      <c r="P491" s="119"/>
      <c r="Q491" s="44" t="s">
        <v>478</v>
      </c>
      <c r="R491" s="19" t="s">
        <v>433</v>
      </c>
      <c r="S491" s="49">
        <v>2033</v>
      </c>
      <c r="T491" s="46">
        <v>221.86147450414421</v>
      </c>
      <c r="U491" s="47">
        <v>96.891191841365725</v>
      </c>
      <c r="V491" s="47">
        <v>0</v>
      </c>
      <c r="W491" s="48">
        <v>0</v>
      </c>
      <c r="X491" s="57">
        <f t="shared" si="24"/>
        <v>318.75266634550997</v>
      </c>
      <c r="Y491" s="119"/>
    </row>
    <row r="492" spans="1:25">
      <c r="A492" s="44" t="s">
        <v>478</v>
      </c>
      <c r="B492" s="19" t="s">
        <v>433</v>
      </c>
      <c r="C492" s="49">
        <v>2034</v>
      </c>
      <c r="D492" s="46">
        <v>42.37696626580658</v>
      </c>
      <c r="E492" s="47">
        <v>18.359911294933269</v>
      </c>
      <c r="F492" s="47">
        <v>0</v>
      </c>
      <c r="G492" s="48">
        <v>0</v>
      </c>
      <c r="H492" s="57">
        <f t="shared" si="25"/>
        <v>35.415558921575304</v>
      </c>
      <c r="I492" s="119"/>
      <c r="J492" s="119"/>
      <c r="K492" s="119"/>
      <c r="L492" s="119"/>
      <c r="M492" s="119"/>
      <c r="N492" s="119"/>
      <c r="O492" s="119"/>
      <c r="P492" s="119"/>
      <c r="Q492" s="44" t="s">
        <v>478</v>
      </c>
      <c r="R492" s="19" t="s">
        <v>433</v>
      </c>
      <c r="S492" s="49">
        <v>2034</v>
      </c>
      <c r="T492" s="46">
        <v>268.67567026003371</v>
      </c>
      <c r="U492" s="47">
        <v>117.18892697312631</v>
      </c>
      <c r="V492" s="47">
        <v>0</v>
      </c>
      <c r="W492" s="48">
        <v>0</v>
      </c>
      <c r="X492" s="57">
        <f t="shared" si="24"/>
        <v>385.86459723316</v>
      </c>
      <c r="Y492" s="119"/>
    </row>
    <row r="493" spans="1:25">
      <c r="A493" s="44" t="s">
        <v>478</v>
      </c>
      <c r="B493" s="19" t="s">
        <v>433</v>
      </c>
      <c r="C493" s="49">
        <v>2035</v>
      </c>
      <c r="D493" s="46">
        <v>0</v>
      </c>
      <c r="E493" s="47">
        <v>0</v>
      </c>
      <c r="F493" s="47">
        <v>0</v>
      </c>
      <c r="G493" s="48">
        <v>0</v>
      </c>
      <c r="H493" s="57">
        <f t="shared" si="25"/>
        <v>0</v>
      </c>
      <c r="I493" s="119"/>
      <c r="J493" s="119"/>
      <c r="K493" s="119"/>
      <c r="L493" s="119"/>
      <c r="M493" s="119"/>
      <c r="N493" s="119"/>
      <c r="O493" s="119"/>
      <c r="P493" s="119"/>
      <c r="Q493" s="44" t="s">
        <v>478</v>
      </c>
      <c r="R493" s="19" t="s">
        <v>433</v>
      </c>
      <c r="S493" s="49">
        <v>2035</v>
      </c>
      <c r="T493" s="46">
        <v>274.04918366523441</v>
      </c>
      <c r="U493" s="47">
        <v>119.53270551258885</v>
      </c>
      <c r="V493" s="47">
        <v>0</v>
      </c>
      <c r="W493" s="48">
        <v>0</v>
      </c>
      <c r="X493" s="57">
        <f t="shared" si="24"/>
        <v>393.58188917782326</v>
      </c>
      <c r="Y493" s="119">
        <f>NPV($Y$10,X484:X493)/((1-(1+$Y$10)^-10)/$Y$10)</f>
        <v>112.70650087275148</v>
      </c>
    </row>
    <row r="494" spans="1:25">
      <c r="A494" s="44"/>
      <c r="B494" s="19" t="s">
        <v>401</v>
      </c>
      <c r="C494" s="49"/>
      <c r="D494" s="42" t="s">
        <v>401</v>
      </c>
      <c r="E494" s="19" t="s">
        <v>401</v>
      </c>
      <c r="F494" s="19" t="s">
        <v>401</v>
      </c>
      <c r="G494" s="43" t="s">
        <v>401</v>
      </c>
      <c r="H494" s="57">
        <f t="shared" si="25"/>
        <v>0</v>
      </c>
      <c r="I494" s="119"/>
      <c r="J494" s="119"/>
      <c r="K494" s="119"/>
      <c r="L494" s="119"/>
      <c r="M494" s="119"/>
      <c r="N494" s="119"/>
      <c r="O494" s="119"/>
      <c r="P494" s="119"/>
      <c r="Q494" s="44"/>
      <c r="R494" s="19" t="s">
        <v>401</v>
      </c>
      <c r="S494" s="49"/>
      <c r="T494" s="42"/>
      <c r="U494" s="19"/>
      <c r="V494" s="19"/>
      <c r="W494" s="43"/>
      <c r="X494" s="57">
        <f t="shared" si="24"/>
        <v>0</v>
      </c>
      <c r="Y494" s="119"/>
    </row>
    <row r="495" spans="1:25">
      <c r="A495" s="44" t="s">
        <v>478</v>
      </c>
      <c r="B495" s="19" t="s">
        <v>434</v>
      </c>
      <c r="C495" s="49">
        <v>2026</v>
      </c>
      <c r="D495" s="46">
        <v>0</v>
      </c>
      <c r="E495" s="47">
        <v>0</v>
      </c>
      <c r="F495" s="47">
        <v>0</v>
      </c>
      <c r="G495" s="48">
        <v>0</v>
      </c>
      <c r="H495" s="57">
        <f t="shared" si="25"/>
        <v>0</v>
      </c>
      <c r="I495" s="119"/>
      <c r="J495" s="119"/>
      <c r="K495" s="119"/>
      <c r="L495" s="119"/>
      <c r="M495" s="119"/>
      <c r="N495" s="119"/>
      <c r="O495" s="119"/>
      <c r="P495" s="119"/>
      <c r="Q495" s="44" t="s">
        <v>478</v>
      </c>
      <c r="R495" s="19" t="s">
        <v>434</v>
      </c>
      <c r="S495" s="49">
        <v>2026</v>
      </c>
      <c r="T495" s="46">
        <v>0</v>
      </c>
      <c r="U495" s="47">
        <v>0</v>
      </c>
      <c r="V495" s="47">
        <v>0</v>
      </c>
      <c r="W495" s="48">
        <v>0</v>
      </c>
      <c r="X495" s="57">
        <f t="shared" si="24"/>
        <v>0</v>
      </c>
      <c r="Y495" s="119"/>
    </row>
    <row r="496" spans="1:25">
      <c r="A496" s="44" t="s">
        <v>478</v>
      </c>
      <c r="B496" s="19" t="s">
        <v>434</v>
      </c>
      <c r="C496" s="49">
        <v>2027</v>
      </c>
      <c r="D496" s="46">
        <v>0</v>
      </c>
      <c r="E496" s="47">
        <v>0</v>
      </c>
      <c r="F496" s="47">
        <v>0</v>
      </c>
      <c r="G496" s="48">
        <v>0</v>
      </c>
      <c r="H496" s="57">
        <f t="shared" si="25"/>
        <v>0</v>
      </c>
      <c r="I496" s="119"/>
      <c r="J496" s="119"/>
      <c r="K496" s="119"/>
      <c r="L496" s="119"/>
      <c r="M496" s="119"/>
      <c r="N496" s="119"/>
      <c r="O496" s="119"/>
      <c r="P496" s="119"/>
      <c r="Q496" s="44" t="s">
        <v>478</v>
      </c>
      <c r="R496" s="19" t="s">
        <v>434</v>
      </c>
      <c r="S496" s="49">
        <v>2027</v>
      </c>
      <c r="T496" s="46">
        <v>0</v>
      </c>
      <c r="U496" s="47">
        <v>0</v>
      </c>
      <c r="V496" s="47">
        <v>0</v>
      </c>
      <c r="W496" s="48">
        <v>0</v>
      </c>
      <c r="X496" s="57">
        <f t="shared" si="24"/>
        <v>0</v>
      </c>
      <c r="Y496" s="119"/>
    </row>
    <row r="497" spans="1:25">
      <c r="A497" s="44" t="s">
        <v>478</v>
      </c>
      <c r="B497" s="19" t="s">
        <v>434</v>
      </c>
      <c r="C497" s="49">
        <v>2028</v>
      </c>
      <c r="D497" s="46">
        <v>0</v>
      </c>
      <c r="E497" s="47">
        <v>0</v>
      </c>
      <c r="F497" s="47">
        <v>0</v>
      </c>
      <c r="G497" s="48">
        <v>0</v>
      </c>
      <c r="H497" s="57">
        <f t="shared" si="25"/>
        <v>0</v>
      </c>
      <c r="I497" s="119"/>
      <c r="J497" s="119"/>
      <c r="K497" s="119"/>
      <c r="L497" s="119"/>
      <c r="M497" s="119"/>
      <c r="N497" s="119"/>
      <c r="O497" s="119"/>
      <c r="P497" s="119"/>
      <c r="Q497" s="44" t="s">
        <v>478</v>
      </c>
      <c r="R497" s="19" t="s">
        <v>434</v>
      </c>
      <c r="S497" s="49">
        <v>2028</v>
      </c>
      <c r="T497" s="46">
        <v>0</v>
      </c>
      <c r="U497" s="47">
        <v>0</v>
      </c>
      <c r="V497" s="47">
        <v>0</v>
      </c>
      <c r="W497" s="48">
        <v>0</v>
      </c>
      <c r="X497" s="57">
        <f t="shared" si="24"/>
        <v>0</v>
      </c>
      <c r="Y497" s="119"/>
    </row>
    <row r="498" spans="1:25">
      <c r="A498" s="44" t="s">
        <v>478</v>
      </c>
      <c r="B498" s="19" t="s">
        <v>434</v>
      </c>
      <c r="C498" s="49">
        <v>2029</v>
      </c>
      <c r="D498" s="46">
        <v>0</v>
      </c>
      <c r="E498" s="47">
        <v>36.491905925388195</v>
      </c>
      <c r="F498" s="47">
        <v>0</v>
      </c>
      <c r="G498" s="48">
        <v>0</v>
      </c>
      <c r="H498" s="57">
        <f t="shared" si="25"/>
        <v>29.809154716461759</v>
      </c>
      <c r="I498" s="119"/>
      <c r="J498" s="119"/>
      <c r="K498" s="119"/>
      <c r="L498" s="119"/>
      <c r="M498" s="119"/>
      <c r="N498" s="119"/>
      <c r="O498" s="119"/>
      <c r="P498" s="119"/>
      <c r="Q498" s="44" t="s">
        <v>478</v>
      </c>
      <c r="R498" s="19" t="s">
        <v>434</v>
      </c>
      <c r="S498" s="49">
        <v>2029</v>
      </c>
      <c r="T498" s="46">
        <v>0</v>
      </c>
      <c r="U498" s="47">
        <v>36.491905925388195</v>
      </c>
      <c r="V498" s="47">
        <v>0</v>
      </c>
      <c r="W498" s="48">
        <v>0</v>
      </c>
      <c r="X498" s="57">
        <f t="shared" si="24"/>
        <v>36.491905925388195</v>
      </c>
      <c r="Y498" s="119"/>
    </row>
    <row r="499" spans="1:25">
      <c r="A499" s="44" t="s">
        <v>478</v>
      </c>
      <c r="B499" s="19" t="s">
        <v>434</v>
      </c>
      <c r="C499" s="49">
        <v>2030</v>
      </c>
      <c r="D499" s="46">
        <v>0</v>
      </c>
      <c r="E499" s="47">
        <v>88.988922260616789</v>
      </c>
      <c r="F499" s="47">
        <v>0</v>
      </c>
      <c r="G499" s="48">
        <v>0</v>
      </c>
      <c r="H499" s="57">
        <f t="shared" si="25"/>
        <v>67.952707667590829</v>
      </c>
      <c r="I499" s="119"/>
      <c r="J499" s="119"/>
      <c r="K499" s="119"/>
      <c r="L499" s="119"/>
      <c r="M499" s="119"/>
      <c r="N499" s="119"/>
      <c r="O499" s="119"/>
      <c r="P499" s="119"/>
      <c r="Q499" s="44" t="s">
        <v>478</v>
      </c>
      <c r="R499" s="19" t="s">
        <v>434</v>
      </c>
      <c r="S499" s="49">
        <v>2030</v>
      </c>
      <c r="T499" s="46">
        <v>0</v>
      </c>
      <c r="U499" s="47">
        <v>126.21066630451276</v>
      </c>
      <c r="V499" s="47">
        <v>0</v>
      </c>
      <c r="W499" s="48">
        <v>0</v>
      </c>
      <c r="X499" s="57">
        <f t="shared" si="24"/>
        <v>126.21066630451276</v>
      </c>
      <c r="Y499" s="119"/>
    </row>
    <row r="500" spans="1:25">
      <c r="A500" s="44" t="s">
        <v>478</v>
      </c>
      <c r="B500" s="19" t="s">
        <v>434</v>
      </c>
      <c r="C500" s="49">
        <v>2031</v>
      </c>
      <c r="D500" s="46">
        <v>0</v>
      </c>
      <c r="E500" s="47">
        <v>123.14890530534612</v>
      </c>
      <c r="F500" s="47">
        <v>0</v>
      </c>
      <c r="G500" s="48">
        <v>0</v>
      </c>
      <c r="H500" s="57">
        <f t="shared" si="25"/>
        <v>87.90611358251158</v>
      </c>
      <c r="I500" s="119"/>
      <c r="J500" s="119"/>
      <c r="K500" s="119"/>
      <c r="L500" s="119"/>
      <c r="M500" s="119"/>
      <c r="N500" s="119"/>
      <c r="O500" s="119"/>
      <c r="P500" s="119"/>
      <c r="Q500" s="44" t="s">
        <v>478</v>
      </c>
      <c r="R500" s="19" t="s">
        <v>434</v>
      </c>
      <c r="S500" s="49">
        <v>2031</v>
      </c>
      <c r="T500" s="46">
        <v>0</v>
      </c>
      <c r="U500" s="47">
        <v>251.88378493594914</v>
      </c>
      <c r="V500" s="47">
        <v>0</v>
      </c>
      <c r="W500" s="48">
        <v>0</v>
      </c>
      <c r="X500" s="57">
        <f t="shared" si="24"/>
        <v>251.88378493594914</v>
      </c>
      <c r="Y500" s="119"/>
    </row>
    <row r="501" spans="1:25">
      <c r="A501" s="44" t="s">
        <v>478</v>
      </c>
      <c r="B501" s="19" t="s">
        <v>434</v>
      </c>
      <c r="C501" s="49">
        <v>2032</v>
      </c>
      <c r="D501" s="46">
        <v>0</v>
      </c>
      <c r="E501" s="47">
        <v>136.08625023697323</v>
      </c>
      <c r="F501" s="47">
        <v>0</v>
      </c>
      <c r="G501" s="48">
        <v>0</v>
      </c>
      <c r="H501" s="57">
        <f t="shared" si="25"/>
        <v>90.80724014888267</v>
      </c>
      <c r="I501" s="119"/>
      <c r="J501" s="119"/>
      <c r="K501" s="119"/>
      <c r="L501" s="119"/>
      <c r="M501" s="119"/>
      <c r="N501" s="119"/>
      <c r="O501" s="119"/>
      <c r="P501" s="119"/>
      <c r="Q501" s="44" t="s">
        <v>478</v>
      </c>
      <c r="R501" s="19" t="s">
        <v>434</v>
      </c>
      <c r="S501" s="49">
        <v>2032</v>
      </c>
      <c r="T501" s="46">
        <v>0</v>
      </c>
      <c r="U501" s="47">
        <v>393.00771087164134</v>
      </c>
      <c r="V501" s="47">
        <v>0</v>
      </c>
      <c r="W501" s="48">
        <v>0</v>
      </c>
      <c r="X501" s="57">
        <f t="shared" si="24"/>
        <v>393.00771087164134</v>
      </c>
      <c r="Y501" s="119"/>
    </row>
    <row r="502" spans="1:25">
      <c r="A502" s="44" t="s">
        <v>478</v>
      </c>
      <c r="B502" s="19" t="s">
        <v>434</v>
      </c>
      <c r="C502" s="49">
        <v>2033</v>
      </c>
      <c r="D502" s="46">
        <v>0</v>
      </c>
      <c r="E502" s="47">
        <v>87.946348551113601</v>
      </c>
      <c r="F502" s="47">
        <v>0</v>
      </c>
      <c r="G502" s="48">
        <v>0</v>
      </c>
      <c r="H502" s="57">
        <f t="shared" si="25"/>
        <v>54.858224390585029</v>
      </c>
      <c r="I502" s="119"/>
      <c r="J502" s="119"/>
      <c r="K502" s="119"/>
      <c r="L502" s="119"/>
      <c r="M502" s="119"/>
      <c r="N502" s="119"/>
      <c r="O502" s="119"/>
      <c r="P502" s="119"/>
      <c r="Q502" s="44" t="s">
        <v>478</v>
      </c>
      <c r="R502" s="19" t="s">
        <v>434</v>
      </c>
      <c r="S502" s="49">
        <v>2033</v>
      </c>
      <c r="T502" s="46">
        <v>0</v>
      </c>
      <c r="U502" s="47">
        <v>488.81421364018775</v>
      </c>
      <c r="V502" s="47">
        <v>0</v>
      </c>
      <c r="W502" s="48">
        <v>0</v>
      </c>
      <c r="X502" s="57">
        <f t="shared" si="24"/>
        <v>488.81421364018775</v>
      </c>
      <c r="Y502" s="119"/>
    </row>
    <row r="503" spans="1:25">
      <c r="A503" s="44" t="s">
        <v>478</v>
      </c>
      <c r="B503" s="19" t="s">
        <v>434</v>
      </c>
      <c r="C503" s="49">
        <v>2034</v>
      </c>
      <c r="D503" s="46">
        <v>0</v>
      </c>
      <c r="E503" s="47">
        <v>55.305548711438206</v>
      </c>
      <c r="F503" s="47">
        <v>0</v>
      </c>
      <c r="G503" s="48">
        <v>0</v>
      </c>
      <c r="H503" s="57">
        <f t="shared" si="25"/>
        <v>32.248561298219848</v>
      </c>
      <c r="I503" s="119"/>
      <c r="J503" s="119"/>
      <c r="K503" s="119"/>
      <c r="L503" s="119"/>
      <c r="M503" s="119"/>
      <c r="N503" s="119"/>
      <c r="O503" s="119"/>
      <c r="P503" s="119"/>
      <c r="Q503" s="44" t="s">
        <v>478</v>
      </c>
      <c r="R503" s="19" t="s">
        <v>434</v>
      </c>
      <c r="S503" s="49">
        <v>2034</v>
      </c>
      <c r="T503" s="46">
        <v>0</v>
      </c>
      <c r="U503" s="47">
        <v>553.89604662442969</v>
      </c>
      <c r="V503" s="47">
        <v>0</v>
      </c>
      <c r="W503" s="48">
        <v>0</v>
      </c>
      <c r="X503" s="57">
        <f t="shared" si="24"/>
        <v>553.89604662442969</v>
      </c>
      <c r="Y503" s="119"/>
    </row>
    <row r="504" spans="1:25">
      <c r="A504" s="44" t="s">
        <v>478</v>
      </c>
      <c r="B504" s="19" t="s">
        <v>434</v>
      </c>
      <c r="C504" s="49">
        <v>2035</v>
      </c>
      <c r="D504" s="46">
        <v>0</v>
      </c>
      <c r="E504" s="47">
        <v>0</v>
      </c>
      <c r="F504" s="47">
        <v>0</v>
      </c>
      <c r="G504" s="48">
        <v>0</v>
      </c>
      <c r="H504" s="57">
        <f t="shared" si="25"/>
        <v>0</v>
      </c>
      <c r="I504" s="119"/>
      <c r="J504" s="119"/>
      <c r="K504" s="119"/>
      <c r="L504" s="119"/>
      <c r="M504" s="119"/>
      <c r="N504" s="119"/>
      <c r="O504" s="119"/>
      <c r="P504" s="119"/>
      <c r="Q504" s="44" t="s">
        <v>478</v>
      </c>
      <c r="R504" s="19" t="s">
        <v>434</v>
      </c>
      <c r="S504" s="49">
        <v>2035</v>
      </c>
      <c r="T504" s="46">
        <v>0</v>
      </c>
      <c r="U504" s="47">
        <v>564.9739675569183</v>
      </c>
      <c r="V504" s="47">
        <v>0</v>
      </c>
      <c r="W504" s="48">
        <v>0</v>
      </c>
      <c r="X504" s="57">
        <f t="shared" si="24"/>
        <v>564.9739675569183</v>
      </c>
      <c r="Y504" s="119">
        <f>NPV($Y$10,X495:X504)/((1-(1+$Y$10)^-10)/$Y$10)</f>
        <v>199.95139307555164</v>
      </c>
    </row>
    <row r="505" spans="1:25">
      <c r="A505" s="44"/>
      <c r="B505" s="19" t="s">
        <v>401</v>
      </c>
      <c r="C505" s="49"/>
      <c r="D505" s="46" t="s">
        <v>401</v>
      </c>
      <c r="E505" s="47" t="s">
        <v>401</v>
      </c>
      <c r="F505" s="47" t="s">
        <v>401</v>
      </c>
      <c r="G505" s="48" t="s">
        <v>401</v>
      </c>
      <c r="H505" s="57">
        <f t="shared" si="25"/>
        <v>0</v>
      </c>
      <c r="I505" s="119"/>
      <c r="J505" s="119"/>
      <c r="K505" s="119"/>
      <c r="L505" s="119"/>
      <c r="M505" s="119"/>
      <c r="N505" s="119"/>
      <c r="O505" s="119"/>
      <c r="P505" s="119"/>
      <c r="Q505" s="44"/>
      <c r="R505" s="19" t="s">
        <v>401</v>
      </c>
      <c r="S505" s="49"/>
      <c r="T505" s="46"/>
      <c r="U505" s="47"/>
      <c r="V505" s="47"/>
      <c r="W505" s="48"/>
      <c r="X505" s="57">
        <f t="shared" si="24"/>
        <v>0</v>
      </c>
      <c r="Y505" s="119"/>
    </row>
    <row r="506" spans="1:25">
      <c r="A506" s="44" t="s">
        <v>478</v>
      </c>
      <c r="B506" s="19" t="s">
        <v>435</v>
      </c>
      <c r="C506" s="49">
        <v>2026</v>
      </c>
      <c r="D506" s="46">
        <v>0</v>
      </c>
      <c r="E506" s="47">
        <v>0</v>
      </c>
      <c r="F506" s="47">
        <v>0</v>
      </c>
      <c r="G506" s="48">
        <v>0</v>
      </c>
      <c r="H506" s="57">
        <f t="shared" si="25"/>
        <v>0</v>
      </c>
      <c r="I506" s="119"/>
      <c r="J506" s="119"/>
      <c r="K506" s="119"/>
      <c r="L506" s="119"/>
      <c r="M506" s="119"/>
      <c r="N506" s="119"/>
      <c r="O506" s="119"/>
      <c r="P506" s="119"/>
      <c r="Q506" s="44" t="s">
        <v>478</v>
      </c>
      <c r="R506" s="19" t="s">
        <v>435</v>
      </c>
      <c r="S506" s="49">
        <v>2026</v>
      </c>
      <c r="T506" s="46">
        <v>0</v>
      </c>
      <c r="U506" s="47">
        <v>0</v>
      </c>
      <c r="V506" s="47">
        <v>0</v>
      </c>
      <c r="W506" s="48">
        <v>0</v>
      </c>
      <c r="X506" s="57">
        <f t="shared" si="24"/>
        <v>0</v>
      </c>
      <c r="Y506" s="119"/>
    </row>
    <row r="507" spans="1:25">
      <c r="A507" s="44" t="s">
        <v>478</v>
      </c>
      <c r="B507" s="19" t="s">
        <v>435</v>
      </c>
      <c r="C507" s="49">
        <v>2027</v>
      </c>
      <c r="D507" s="46">
        <v>0</v>
      </c>
      <c r="E507" s="47">
        <v>0</v>
      </c>
      <c r="F507" s="47">
        <v>0</v>
      </c>
      <c r="G507" s="48">
        <v>0</v>
      </c>
      <c r="H507" s="57">
        <f t="shared" si="25"/>
        <v>0</v>
      </c>
      <c r="I507" s="119"/>
      <c r="J507" s="119"/>
      <c r="K507" s="119"/>
      <c r="L507" s="119"/>
      <c r="M507" s="119"/>
      <c r="N507" s="119"/>
      <c r="O507" s="119"/>
      <c r="P507" s="119"/>
      <c r="Q507" s="44" t="s">
        <v>478</v>
      </c>
      <c r="R507" s="19" t="s">
        <v>435</v>
      </c>
      <c r="S507" s="49">
        <v>2027</v>
      </c>
      <c r="T507" s="46">
        <v>0</v>
      </c>
      <c r="U507" s="47">
        <v>0</v>
      </c>
      <c r="V507" s="47">
        <v>0</v>
      </c>
      <c r="W507" s="48">
        <v>0</v>
      </c>
      <c r="X507" s="57">
        <f t="shared" si="24"/>
        <v>0</v>
      </c>
      <c r="Y507" s="119"/>
    </row>
    <row r="508" spans="1:25">
      <c r="A508" s="44" t="s">
        <v>478</v>
      </c>
      <c r="B508" s="19" t="s">
        <v>435</v>
      </c>
      <c r="C508" s="49">
        <v>2028</v>
      </c>
      <c r="D508" s="46">
        <v>0</v>
      </c>
      <c r="E508" s="47">
        <v>0</v>
      </c>
      <c r="F508" s="47">
        <v>0</v>
      </c>
      <c r="G508" s="48">
        <v>0</v>
      </c>
      <c r="H508" s="57">
        <f t="shared" si="25"/>
        <v>0</v>
      </c>
      <c r="I508" s="119"/>
      <c r="J508" s="119"/>
      <c r="K508" s="119"/>
      <c r="L508" s="119"/>
      <c r="M508" s="119"/>
      <c r="N508" s="119"/>
      <c r="O508" s="119"/>
      <c r="P508" s="119"/>
      <c r="Q508" s="44" t="s">
        <v>478</v>
      </c>
      <c r="R508" s="19" t="s">
        <v>435</v>
      </c>
      <c r="S508" s="49">
        <v>2028</v>
      </c>
      <c r="T508" s="46">
        <v>0</v>
      </c>
      <c r="U508" s="47">
        <v>0</v>
      </c>
      <c r="V508" s="47">
        <v>0</v>
      </c>
      <c r="W508" s="48">
        <v>0</v>
      </c>
      <c r="X508" s="57">
        <f t="shared" si="24"/>
        <v>0</v>
      </c>
      <c r="Y508" s="119"/>
    </row>
    <row r="509" spans="1:25">
      <c r="A509" s="44" t="s">
        <v>478</v>
      </c>
      <c r="B509" s="19" t="s">
        <v>435</v>
      </c>
      <c r="C509" s="49">
        <v>2029</v>
      </c>
      <c r="D509" s="46">
        <v>11.106385894349964</v>
      </c>
      <c r="E509" s="47">
        <v>7.1613557218898043</v>
      </c>
      <c r="F509" s="47">
        <v>0</v>
      </c>
      <c r="G509" s="48">
        <v>0</v>
      </c>
      <c r="H509" s="57">
        <f t="shared" si="25"/>
        <v>14.922375862533018</v>
      </c>
      <c r="I509" s="119"/>
      <c r="J509" s="119"/>
      <c r="K509" s="119"/>
      <c r="L509" s="119"/>
      <c r="M509" s="119"/>
      <c r="N509" s="119"/>
      <c r="O509" s="119"/>
      <c r="P509" s="119"/>
      <c r="Q509" s="44" t="s">
        <v>478</v>
      </c>
      <c r="R509" s="19" t="s">
        <v>435</v>
      </c>
      <c r="S509" s="49">
        <v>2029</v>
      </c>
      <c r="T509" s="46">
        <v>11.106385894349964</v>
      </c>
      <c r="U509" s="47">
        <v>7.1613557218898043</v>
      </c>
      <c r="V509" s="47">
        <v>0</v>
      </c>
      <c r="W509" s="48">
        <v>0</v>
      </c>
      <c r="X509" s="57">
        <f t="shared" si="24"/>
        <v>18.267741616239768</v>
      </c>
      <c r="Y509" s="119"/>
    </row>
    <row r="510" spans="1:25">
      <c r="A510" s="44" t="s">
        <v>478</v>
      </c>
      <c r="B510" s="19" t="s">
        <v>435</v>
      </c>
      <c r="C510" s="49">
        <v>2030</v>
      </c>
      <c r="D510" s="46">
        <v>25.246761656028415</v>
      </c>
      <c r="E510" s="47">
        <v>52.993878492431563</v>
      </c>
      <c r="F510" s="47">
        <v>0</v>
      </c>
      <c r="G510" s="48">
        <v>0</v>
      </c>
      <c r="H510" s="57">
        <f t="shared" si="25"/>
        <v>59.745226851527228</v>
      </c>
      <c r="I510" s="119"/>
      <c r="J510" s="119"/>
      <c r="K510" s="119"/>
      <c r="L510" s="119"/>
      <c r="M510" s="119"/>
      <c r="N510" s="119"/>
      <c r="O510" s="119"/>
      <c r="P510" s="119"/>
      <c r="Q510" s="44" t="s">
        <v>478</v>
      </c>
      <c r="R510" s="19" t="s">
        <v>435</v>
      </c>
      <c r="S510" s="49">
        <v>2030</v>
      </c>
      <c r="T510" s="46">
        <v>36.575275268265379</v>
      </c>
      <c r="U510" s="47">
        <v>60.29846132875916</v>
      </c>
      <c r="V510" s="47">
        <v>0</v>
      </c>
      <c r="W510" s="48">
        <v>0</v>
      </c>
      <c r="X510" s="57">
        <f t="shared" si="24"/>
        <v>96.873736597024532</v>
      </c>
      <c r="Y510" s="119"/>
    </row>
    <row r="511" spans="1:25">
      <c r="A511" s="44" t="s">
        <v>478</v>
      </c>
      <c r="B511" s="19" t="s">
        <v>435</v>
      </c>
      <c r="C511" s="49">
        <v>2031</v>
      </c>
      <c r="D511" s="46">
        <v>42.729548076396377</v>
      </c>
      <c r="E511" s="47">
        <v>64.202387589138638</v>
      </c>
      <c r="F511" s="47">
        <v>0</v>
      </c>
      <c r="G511" s="48">
        <v>0</v>
      </c>
      <c r="H511" s="57">
        <f t="shared" si="25"/>
        <v>76.330121318620215</v>
      </c>
      <c r="I511" s="119"/>
      <c r="J511" s="119"/>
      <c r="K511" s="119"/>
      <c r="L511" s="119"/>
      <c r="M511" s="119"/>
      <c r="N511" s="119"/>
      <c r="O511" s="119"/>
      <c r="P511" s="119"/>
      <c r="Q511" s="44" t="s">
        <v>478</v>
      </c>
      <c r="R511" s="19" t="s">
        <v>435</v>
      </c>
      <c r="S511" s="49">
        <v>2031</v>
      </c>
      <c r="T511" s="46">
        <v>80.036328850027061</v>
      </c>
      <c r="U511" s="47">
        <v>125.70681814447298</v>
      </c>
      <c r="V511" s="47">
        <v>0</v>
      </c>
      <c r="W511" s="48">
        <v>0</v>
      </c>
      <c r="X511" s="57">
        <f t="shared" si="24"/>
        <v>205.74314699450002</v>
      </c>
      <c r="Y511" s="119"/>
    </row>
    <row r="512" spans="1:25">
      <c r="A512" s="44" t="s">
        <v>478</v>
      </c>
      <c r="B512" s="19" t="s">
        <v>435</v>
      </c>
      <c r="C512" s="49">
        <v>2032</v>
      </c>
      <c r="D512" s="46">
        <v>42.565376337861743</v>
      </c>
      <c r="E512" s="47">
        <v>94.114439928927496</v>
      </c>
      <c r="F512" s="47">
        <v>0</v>
      </c>
      <c r="G512" s="48">
        <v>0</v>
      </c>
      <c r="H512" s="57">
        <f t="shared" si="25"/>
        <v>91.20331317550999</v>
      </c>
      <c r="I512" s="119"/>
      <c r="J512" s="119"/>
      <c r="K512" s="119"/>
      <c r="L512" s="119"/>
      <c r="M512" s="119"/>
      <c r="N512" s="119"/>
      <c r="O512" s="119"/>
      <c r="P512" s="119"/>
      <c r="Q512" s="44" t="s">
        <v>478</v>
      </c>
      <c r="R512" s="19" t="s">
        <v>435</v>
      </c>
      <c r="S512" s="49">
        <v>2032</v>
      </c>
      <c r="T512" s="46">
        <v>124.20243176488935</v>
      </c>
      <c r="U512" s="47">
        <v>222.33539443628996</v>
      </c>
      <c r="V512" s="47">
        <v>0</v>
      </c>
      <c r="W512" s="48">
        <v>0</v>
      </c>
      <c r="X512" s="57">
        <f t="shared" si="24"/>
        <v>346.53782620117931</v>
      </c>
      <c r="Y512" s="119"/>
    </row>
    <row r="513" spans="1:25">
      <c r="A513" s="44" t="s">
        <v>478</v>
      </c>
      <c r="B513" s="19" t="s">
        <v>435</v>
      </c>
      <c r="C513" s="49">
        <v>2033</v>
      </c>
      <c r="D513" s="46">
        <v>23.535117965643842</v>
      </c>
      <c r="E513" s="47">
        <v>34.193261047357481</v>
      </c>
      <c r="F513" s="47">
        <v>0</v>
      </c>
      <c r="G513" s="48">
        <v>0</v>
      </c>
      <c r="H513" s="57">
        <f t="shared" si="25"/>
        <v>36.009185392835349</v>
      </c>
      <c r="I513" s="119"/>
      <c r="J513" s="119"/>
      <c r="K513" s="119"/>
      <c r="L513" s="119"/>
      <c r="M513" s="119"/>
      <c r="N513" s="119"/>
      <c r="O513" s="119"/>
      <c r="P513" s="119"/>
      <c r="Q513" s="44" t="s">
        <v>478</v>
      </c>
      <c r="R513" s="19" t="s">
        <v>435</v>
      </c>
      <c r="S513" s="49">
        <v>2033</v>
      </c>
      <c r="T513" s="46">
        <v>150.221598365831</v>
      </c>
      <c r="U513" s="47">
        <v>260.97536337237324</v>
      </c>
      <c r="V513" s="47">
        <v>0</v>
      </c>
      <c r="W513" s="48">
        <v>0</v>
      </c>
      <c r="X513" s="57">
        <f t="shared" si="24"/>
        <v>411.19696173820421</v>
      </c>
      <c r="Y513" s="119"/>
    </row>
    <row r="514" spans="1:25">
      <c r="A514" s="44" t="s">
        <v>478</v>
      </c>
      <c r="B514" s="19" t="s">
        <v>435</v>
      </c>
      <c r="C514" s="49">
        <v>2034</v>
      </c>
      <c r="D514" s="46">
        <v>0</v>
      </c>
      <c r="E514" s="47">
        <v>29.785722687319929</v>
      </c>
      <c r="F514" s="47">
        <v>0</v>
      </c>
      <c r="G514" s="48">
        <v>0</v>
      </c>
      <c r="H514" s="57">
        <f t="shared" si="25"/>
        <v>17.367998804343401</v>
      </c>
      <c r="I514" s="119"/>
      <c r="J514" s="119"/>
      <c r="K514" s="119"/>
      <c r="L514" s="119"/>
      <c r="M514" s="119"/>
      <c r="N514" s="119"/>
      <c r="O514" s="119"/>
      <c r="P514" s="119"/>
      <c r="Q514" s="44" t="s">
        <v>478</v>
      </c>
      <c r="R514" s="19" t="s">
        <v>435</v>
      </c>
      <c r="S514" s="49">
        <v>2034</v>
      </c>
      <c r="T514" s="46">
        <v>153.22603033314763</v>
      </c>
      <c r="U514" s="47">
        <v>295.98059332714064</v>
      </c>
      <c r="V514" s="47">
        <v>0</v>
      </c>
      <c r="W514" s="48">
        <v>0</v>
      </c>
      <c r="X514" s="57">
        <f t="shared" si="24"/>
        <v>449.2066236602883</v>
      </c>
      <c r="Y514" s="119"/>
    </row>
    <row r="515" spans="1:25">
      <c r="A515" s="44" t="s">
        <v>478</v>
      </c>
      <c r="B515" s="19" t="s">
        <v>435</v>
      </c>
      <c r="C515" s="49">
        <v>2035</v>
      </c>
      <c r="D515" s="46">
        <v>0</v>
      </c>
      <c r="E515" s="47">
        <v>0</v>
      </c>
      <c r="F515" s="47">
        <v>0</v>
      </c>
      <c r="G515" s="48">
        <v>0</v>
      </c>
      <c r="H515" s="57">
        <f t="shared" si="25"/>
        <v>0</v>
      </c>
      <c r="I515" s="119"/>
      <c r="J515" s="119"/>
      <c r="K515" s="119"/>
      <c r="L515" s="119"/>
      <c r="M515" s="119"/>
      <c r="N515" s="119"/>
      <c r="O515" s="119"/>
      <c r="P515" s="119"/>
      <c r="Q515" s="44" t="s">
        <v>478</v>
      </c>
      <c r="R515" s="19" t="s">
        <v>435</v>
      </c>
      <c r="S515" s="49">
        <v>2035</v>
      </c>
      <c r="T515" s="46">
        <v>156.2905509398106</v>
      </c>
      <c r="U515" s="47">
        <v>301.90020519368346</v>
      </c>
      <c r="V515" s="47">
        <v>0</v>
      </c>
      <c r="W515" s="48">
        <v>0</v>
      </c>
      <c r="X515" s="57">
        <f t="shared" si="24"/>
        <v>458.19075613349406</v>
      </c>
      <c r="Y515" s="119">
        <f>NPV($Y$10,X506:X515)/((1-(1+$Y$10)^-10)/$Y$10)</f>
        <v>164.20400355098516</v>
      </c>
    </row>
    <row r="516" spans="1:25">
      <c r="A516" s="44"/>
      <c r="B516" s="19" t="s">
        <v>401</v>
      </c>
      <c r="C516" s="49"/>
      <c r="D516" s="42" t="s">
        <v>401</v>
      </c>
      <c r="E516" s="19" t="s">
        <v>401</v>
      </c>
      <c r="F516" s="19" t="s">
        <v>401</v>
      </c>
      <c r="G516" s="43" t="s">
        <v>401</v>
      </c>
      <c r="H516" s="57">
        <f t="shared" si="25"/>
        <v>0</v>
      </c>
      <c r="I516" s="119"/>
      <c r="J516" s="119"/>
      <c r="K516" s="119"/>
      <c r="L516" s="119"/>
      <c r="M516" s="119"/>
      <c r="N516" s="119"/>
      <c r="O516" s="119"/>
      <c r="P516" s="119"/>
      <c r="Q516" s="44"/>
      <c r="R516" s="19" t="s">
        <v>401</v>
      </c>
      <c r="S516" s="49"/>
      <c r="T516" s="42"/>
      <c r="U516" s="19"/>
      <c r="V516" s="19"/>
      <c r="W516" s="43"/>
      <c r="X516" s="57">
        <f t="shared" si="24"/>
        <v>0</v>
      </c>
      <c r="Y516" s="119"/>
    </row>
    <row r="517" spans="1:25">
      <c r="A517" s="44" t="s">
        <v>478</v>
      </c>
      <c r="B517" s="19" t="s">
        <v>436</v>
      </c>
      <c r="C517" s="49">
        <v>2026</v>
      </c>
      <c r="D517" s="46">
        <v>0</v>
      </c>
      <c r="E517" s="47">
        <v>0</v>
      </c>
      <c r="F517" s="47">
        <v>0</v>
      </c>
      <c r="G517" s="48">
        <v>0</v>
      </c>
      <c r="H517" s="57">
        <f t="shared" si="25"/>
        <v>0</v>
      </c>
      <c r="I517" s="119"/>
      <c r="J517" s="119"/>
      <c r="K517" s="119"/>
      <c r="L517" s="119"/>
      <c r="M517" s="119"/>
      <c r="N517" s="119"/>
      <c r="O517" s="119"/>
      <c r="P517" s="119"/>
      <c r="Q517" s="44" t="s">
        <v>478</v>
      </c>
      <c r="R517" s="19" t="s">
        <v>436</v>
      </c>
      <c r="S517" s="49">
        <v>2026</v>
      </c>
      <c r="T517" s="46">
        <v>0</v>
      </c>
      <c r="U517" s="47">
        <v>0</v>
      </c>
      <c r="V517" s="47">
        <v>0</v>
      </c>
      <c r="W517" s="48">
        <v>0</v>
      </c>
      <c r="X517" s="57">
        <f t="shared" si="24"/>
        <v>0</v>
      </c>
      <c r="Y517" s="119"/>
    </row>
    <row r="518" spans="1:25">
      <c r="A518" s="44" t="s">
        <v>478</v>
      </c>
      <c r="B518" s="19" t="s">
        <v>436</v>
      </c>
      <c r="C518" s="49">
        <v>2027</v>
      </c>
      <c r="D518" s="46">
        <v>0</v>
      </c>
      <c r="E518" s="47">
        <v>0</v>
      </c>
      <c r="F518" s="47">
        <v>0</v>
      </c>
      <c r="G518" s="48">
        <v>0</v>
      </c>
      <c r="H518" s="57">
        <f t="shared" si="25"/>
        <v>0</v>
      </c>
      <c r="I518" s="119"/>
      <c r="J518" s="119"/>
      <c r="K518" s="119"/>
      <c r="L518" s="119"/>
      <c r="M518" s="119"/>
      <c r="N518" s="119"/>
      <c r="O518" s="119"/>
      <c r="P518" s="119"/>
      <c r="Q518" s="44" t="s">
        <v>478</v>
      </c>
      <c r="R518" s="19" t="s">
        <v>436</v>
      </c>
      <c r="S518" s="49">
        <v>2027</v>
      </c>
      <c r="T518" s="46">
        <v>0</v>
      </c>
      <c r="U518" s="47">
        <v>0</v>
      </c>
      <c r="V518" s="47">
        <v>0</v>
      </c>
      <c r="W518" s="48">
        <v>0</v>
      </c>
      <c r="X518" s="57">
        <f t="shared" si="24"/>
        <v>0</v>
      </c>
      <c r="Y518" s="119"/>
    </row>
    <row r="519" spans="1:25">
      <c r="A519" s="44" t="s">
        <v>478</v>
      </c>
      <c r="B519" s="19" t="s">
        <v>436</v>
      </c>
      <c r="C519" s="49">
        <v>2028</v>
      </c>
      <c r="D519" s="46">
        <v>0</v>
      </c>
      <c r="E519" s="47">
        <v>0</v>
      </c>
      <c r="F519" s="47">
        <v>0</v>
      </c>
      <c r="G519" s="48">
        <v>0</v>
      </c>
      <c r="H519" s="57">
        <f t="shared" si="25"/>
        <v>0</v>
      </c>
      <c r="I519" s="119"/>
      <c r="J519" s="119"/>
      <c r="K519" s="119"/>
      <c r="L519" s="119"/>
      <c r="M519" s="119"/>
      <c r="N519" s="119"/>
      <c r="O519" s="119"/>
      <c r="P519" s="119"/>
      <c r="Q519" s="44" t="s">
        <v>478</v>
      </c>
      <c r="R519" s="19" t="s">
        <v>436</v>
      </c>
      <c r="S519" s="49">
        <v>2028</v>
      </c>
      <c r="T519" s="46">
        <v>0</v>
      </c>
      <c r="U519" s="47">
        <v>0</v>
      </c>
      <c r="V519" s="47">
        <v>0</v>
      </c>
      <c r="W519" s="48">
        <v>0</v>
      </c>
      <c r="X519" s="57">
        <f t="shared" si="24"/>
        <v>0</v>
      </c>
      <c r="Y519" s="119"/>
    </row>
    <row r="520" spans="1:25">
      <c r="A520" s="44" t="s">
        <v>478</v>
      </c>
      <c r="B520" s="19" t="s">
        <v>436</v>
      </c>
      <c r="C520" s="49">
        <v>2029</v>
      </c>
      <c r="D520" s="46">
        <v>0</v>
      </c>
      <c r="E520" s="47">
        <v>0</v>
      </c>
      <c r="F520" s="47">
        <v>0</v>
      </c>
      <c r="G520" s="48">
        <v>0</v>
      </c>
      <c r="H520" s="57">
        <f t="shared" si="25"/>
        <v>0</v>
      </c>
      <c r="I520" s="119"/>
      <c r="J520" s="119"/>
      <c r="K520" s="119"/>
      <c r="L520" s="119"/>
      <c r="M520" s="119"/>
      <c r="N520" s="119"/>
      <c r="O520" s="119"/>
      <c r="P520" s="119"/>
      <c r="Q520" s="44" t="s">
        <v>478</v>
      </c>
      <c r="R520" s="19" t="s">
        <v>436</v>
      </c>
      <c r="S520" s="49">
        <v>2029</v>
      </c>
      <c r="T520" s="46">
        <v>0</v>
      </c>
      <c r="U520" s="47">
        <v>0</v>
      </c>
      <c r="V520" s="47">
        <v>0</v>
      </c>
      <c r="W520" s="48">
        <v>0</v>
      </c>
      <c r="X520" s="57">
        <f t="shared" si="24"/>
        <v>0</v>
      </c>
      <c r="Y520" s="119"/>
    </row>
    <row r="521" spans="1:25">
      <c r="A521" s="44" t="s">
        <v>478</v>
      </c>
      <c r="B521" s="19" t="s">
        <v>436</v>
      </c>
      <c r="C521" s="49">
        <v>2030</v>
      </c>
      <c r="D521" s="46">
        <v>0</v>
      </c>
      <c r="E521" s="47">
        <v>0</v>
      </c>
      <c r="F521" s="47">
        <v>0</v>
      </c>
      <c r="G521" s="48">
        <v>0</v>
      </c>
      <c r="H521" s="57">
        <f t="shared" si="25"/>
        <v>0</v>
      </c>
      <c r="I521" s="119"/>
      <c r="J521" s="119"/>
      <c r="K521" s="119"/>
      <c r="L521" s="119"/>
      <c r="M521" s="119"/>
      <c r="N521" s="119"/>
      <c r="O521" s="119"/>
      <c r="P521" s="119"/>
      <c r="Q521" s="44" t="s">
        <v>478</v>
      </c>
      <c r="R521" s="19" t="s">
        <v>436</v>
      </c>
      <c r="S521" s="49">
        <v>2030</v>
      </c>
      <c r="T521" s="46">
        <v>0</v>
      </c>
      <c r="U521" s="47">
        <v>0</v>
      </c>
      <c r="V521" s="47">
        <v>0</v>
      </c>
      <c r="W521" s="48">
        <v>0</v>
      </c>
      <c r="X521" s="57">
        <f t="shared" si="24"/>
        <v>0</v>
      </c>
      <c r="Y521" s="119"/>
    </row>
    <row r="522" spans="1:25">
      <c r="A522" s="44" t="s">
        <v>478</v>
      </c>
      <c r="B522" s="19" t="s">
        <v>436</v>
      </c>
      <c r="C522" s="49">
        <v>2031</v>
      </c>
      <c r="D522" s="46">
        <v>0</v>
      </c>
      <c r="E522" s="47">
        <v>0</v>
      </c>
      <c r="F522" s="47">
        <v>0</v>
      </c>
      <c r="G522" s="48">
        <v>0</v>
      </c>
      <c r="H522" s="57">
        <f t="shared" si="25"/>
        <v>0</v>
      </c>
      <c r="I522" s="119"/>
      <c r="J522" s="119"/>
      <c r="K522" s="119"/>
      <c r="L522" s="119"/>
      <c r="M522" s="119"/>
      <c r="N522" s="119"/>
      <c r="O522" s="119"/>
      <c r="P522" s="119"/>
      <c r="Q522" s="44" t="s">
        <v>478</v>
      </c>
      <c r="R522" s="19" t="s">
        <v>436</v>
      </c>
      <c r="S522" s="49">
        <v>2031</v>
      </c>
      <c r="T522" s="46">
        <v>0</v>
      </c>
      <c r="U522" s="47">
        <v>0</v>
      </c>
      <c r="V522" s="47">
        <v>0</v>
      </c>
      <c r="W522" s="48">
        <v>0</v>
      </c>
      <c r="X522" s="57">
        <f t="shared" si="24"/>
        <v>0</v>
      </c>
      <c r="Y522" s="119"/>
    </row>
    <row r="523" spans="1:25">
      <c r="A523" s="44" t="s">
        <v>478</v>
      </c>
      <c r="B523" s="19" t="s">
        <v>436</v>
      </c>
      <c r="C523" s="49">
        <v>2032</v>
      </c>
      <c r="D523" s="46">
        <v>0</v>
      </c>
      <c r="E523" s="47">
        <v>0</v>
      </c>
      <c r="F523" s="47">
        <v>66.027242076584585</v>
      </c>
      <c r="G523" s="48">
        <v>0</v>
      </c>
      <c r="H523" s="57">
        <f t="shared" si="25"/>
        <v>44.058467458513626</v>
      </c>
      <c r="I523" s="119"/>
      <c r="J523" s="119"/>
      <c r="K523" s="119"/>
      <c r="L523" s="119"/>
      <c r="M523" s="119"/>
      <c r="N523" s="119"/>
      <c r="O523" s="119"/>
      <c r="P523" s="119"/>
      <c r="Q523" s="44" t="s">
        <v>478</v>
      </c>
      <c r="R523" s="19" t="s">
        <v>436</v>
      </c>
      <c r="S523" s="49">
        <v>2032</v>
      </c>
      <c r="T523" s="46">
        <v>0</v>
      </c>
      <c r="U523" s="47">
        <v>0</v>
      </c>
      <c r="V523" s="47">
        <v>66.027242076584585</v>
      </c>
      <c r="W523" s="48">
        <v>0</v>
      </c>
      <c r="X523" s="57">
        <f t="shared" si="24"/>
        <v>66.027242076584585</v>
      </c>
      <c r="Y523" s="119"/>
    </row>
    <row r="524" spans="1:25">
      <c r="A524" s="44" t="s">
        <v>478</v>
      </c>
      <c r="B524" s="19" t="s">
        <v>436</v>
      </c>
      <c r="C524" s="49">
        <v>2033</v>
      </c>
      <c r="D524" s="46">
        <v>0</v>
      </c>
      <c r="E524" s="47">
        <v>0</v>
      </c>
      <c r="F524" s="47">
        <v>0</v>
      </c>
      <c r="G524" s="48">
        <v>0</v>
      </c>
      <c r="H524" s="57">
        <f t="shared" si="25"/>
        <v>0</v>
      </c>
      <c r="I524" s="119"/>
      <c r="J524" s="119"/>
      <c r="K524" s="119"/>
      <c r="L524" s="119"/>
      <c r="M524" s="119"/>
      <c r="N524" s="119"/>
      <c r="O524" s="119"/>
      <c r="P524" s="119"/>
      <c r="Q524" s="44" t="s">
        <v>478</v>
      </c>
      <c r="R524" s="19" t="s">
        <v>436</v>
      </c>
      <c r="S524" s="49">
        <v>2033</v>
      </c>
      <c r="T524" s="46">
        <v>0</v>
      </c>
      <c r="U524" s="47">
        <v>0</v>
      </c>
      <c r="V524" s="47">
        <v>67.347786918116284</v>
      </c>
      <c r="W524" s="48">
        <v>0</v>
      </c>
      <c r="X524" s="57">
        <f t="shared" ref="X524:X587" si="26">SUM(T524:W524)</f>
        <v>67.347786918116284</v>
      </c>
      <c r="Y524" s="119"/>
    </row>
    <row r="525" spans="1:25">
      <c r="A525" s="44" t="s">
        <v>478</v>
      </c>
      <c r="B525" s="19" t="s">
        <v>436</v>
      </c>
      <c r="C525" s="49">
        <v>2034</v>
      </c>
      <c r="D525" s="46">
        <v>68.68718833153099</v>
      </c>
      <c r="E525" s="47">
        <v>0</v>
      </c>
      <c r="F525" s="47">
        <v>0</v>
      </c>
      <c r="G525" s="48">
        <v>0</v>
      </c>
      <c r="H525" s="57">
        <f t="shared" ref="H525:H588" si="27">SUM(D525:G525)/((1+$L$7)^(C525-C$11))</f>
        <v>40.051370159421865</v>
      </c>
      <c r="I525" s="119"/>
      <c r="J525" s="119"/>
      <c r="K525" s="119"/>
      <c r="L525" s="119"/>
      <c r="M525" s="119"/>
      <c r="N525" s="119"/>
      <c r="O525" s="119"/>
      <c r="P525" s="119"/>
      <c r="Q525" s="44" t="s">
        <v>478</v>
      </c>
      <c r="R525" s="19" t="s">
        <v>436</v>
      </c>
      <c r="S525" s="49">
        <v>2034</v>
      </c>
      <c r="T525" s="46">
        <v>68.68718833153099</v>
      </c>
      <c r="U525" s="47">
        <v>0</v>
      </c>
      <c r="V525" s="47">
        <v>68.69474265647861</v>
      </c>
      <c r="W525" s="48">
        <v>0</v>
      </c>
      <c r="X525" s="57">
        <f t="shared" si="26"/>
        <v>137.3819309880096</v>
      </c>
      <c r="Y525" s="119"/>
    </row>
    <row r="526" spans="1:25">
      <c r="A526" s="44" t="s">
        <v>478</v>
      </c>
      <c r="B526" s="19" t="s">
        <v>436</v>
      </c>
      <c r="C526" s="49">
        <v>2035</v>
      </c>
      <c r="D526" s="46">
        <v>90.820912258908805</v>
      </c>
      <c r="E526" s="47">
        <v>0</v>
      </c>
      <c r="F526" s="47">
        <v>0</v>
      </c>
      <c r="G526" s="48">
        <v>0</v>
      </c>
      <c r="H526" s="57">
        <f t="shared" si="27"/>
        <v>49.504559848228048</v>
      </c>
      <c r="I526" s="119"/>
      <c r="J526" s="119"/>
      <c r="K526" s="119"/>
      <c r="L526" s="119"/>
      <c r="M526" s="119"/>
      <c r="N526" s="119"/>
      <c r="O526" s="119"/>
      <c r="P526" s="119"/>
      <c r="Q526" s="44" t="s">
        <v>478</v>
      </c>
      <c r="R526" s="19" t="s">
        <v>436</v>
      </c>
      <c r="S526" s="49">
        <v>2035</v>
      </c>
      <c r="T526" s="46">
        <v>160.88184435707041</v>
      </c>
      <c r="U526" s="47">
        <v>0</v>
      </c>
      <c r="V526" s="47">
        <v>70.06863750960818</v>
      </c>
      <c r="W526" s="48">
        <v>0</v>
      </c>
      <c r="X526" s="57">
        <f t="shared" si="26"/>
        <v>230.95048186667859</v>
      </c>
      <c r="Y526" s="119">
        <f>NPV($Y$10,X517:X526)/((1-(1+$Y$10)^-10)/$Y$10)</f>
        <v>38.82675339657245</v>
      </c>
    </row>
    <row r="527" spans="1:25">
      <c r="A527" s="44"/>
      <c r="B527" s="19" t="s">
        <v>401</v>
      </c>
      <c r="C527" s="49"/>
      <c r="D527" s="46" t="s">
        <v>401</v>
      </c>
      <c r="E527" s="47" t="s">
        <v>401</v>
      </c>
      <c r="F527" s="47" t="s">
        <v>401</v>
      </c>
      <c r="G527" s="48" t="s">
        <v>401</v>
      </c>
      <c r="H527" s="57">
        <f t="shared" si="27"/>
        <v>0</v>
      </c>
      <c r="I527" s="119"/>
      <c r="J527" s="119"/>
      <c r="K527" s="119"/>
      <c r="L527" s="119"/>
      <c r="M527" s="119"/>
      <c r="N527" s="119"/>
      <c r="O527" s="119"/>
      <c r="P527" s="119"/>
      <c r="Q527" s="44"/>
      <c r="R527" s="19" t="s">
        <v>401</v>
      </c>
      <c r="S527" s="49"/>
      <c r="T527" s="46"/>
      <c r="U527" s="47"/>
      <c r="V527" s="47"/>
      <c r="W527" s="48"/>
      <c r="X527" s="57">
        <f t="shared" si="26"/>
        <v>0</v>
      </c>
      <c r="Y527" s="119"/>
    </row>
    <row r="528" spans="1:25">
      <c r="A528" s="44" t="s">
        <v>478</v>
      </c>
      <c r="B528" s="19" t="s">
        <v>437</v>
      </c>
      <c r="C528" s="49">
        <v>2026</v>
      </c>
      <c r="D528" s="46">
        <v>0</v>
      </c>
      <c r="E528" s="47">
        <v>0</v>
      </c>
      <c r="F528" s="47">
        <v>0</v>
      </c>
      <c r="G528" s="48">
        <v>0</v>
      </c>
      <c r="H528" s="57">
        <f t="shared" si="27"/>
        <v>0</v>
      </c>
      <c r="I528" s="119"/>
      <c r="J528" s="119"/>
      <c r="K528" s="119"/>
      <c r="L528" s="119"/>
      <c r="M528" s="119"/>
      <c r="N528" s="119"/>
      <c r="O528" s="119"/>
      <c r="P528" s="119"/>
      <c r="Q528" s="44" t="s">
        <v>478</v>
      </c>
      <c r="R528" s="19" t="s">
        <v>437</v>
      </c>
      <c r="S528" s="49">
        <v>2026</v>
      </c>
      <c r="T528" s="46">
        <v>0</v>
      </c>
      <c r="U528" s="47">
        <v>0</v>
      </c>
      <c r="V528" s="47">
        <v>0</v>
      </c>
      <c r="W528" s="48">
        <v>0</v>
      </c>
      <c r="X528" s="57">
        <f t="shared" si="26"/>
        <v>0</v>
      </c>
      <c r="Y528" s="119"/>
    </row>
    <row r="529" spans="1:25">
      <c r="A529" s="44" t="s">
        <v>478</v>
      </c>
      <c r="B529" s="19" t="s">
        <v>437</v>
      </c>
      <c r="C529" s="49">
        <v>2027</v>
      </c>
      <c r="D529" s="46">
        <v>0</v>
      </c>
      <c r="E529" s="47">
        <v>0</v>
      </c>
      <c r="F529" s="47">
        <v>0</v>
      </c>
      <c r="G529" s="48">
        <v>0</v>
      </c>
      <c r="H529" s="57">
        <f t="shared" si="27"/>
        <v>0</v>
      </c>
      <c r="I529" s="119"/>
      <c r="J529" s="119"/>
      <c r="K529" s="119"/>
      <c r="L529" s="119"/>
      <c r="M529" s="119"/>
      <c r="N529" s="119"/>
      <c r="O529" s="119"/>
      <c r="P529" s="119"/>
      <c r="Q529" s="44" t="s">
        <v>478</v>
      </c>
      <c r="R529" s="19" t="s">
        <v>437</v>
      </c>
      <c r="S529" s="49">
        <v>2027</v>
      </c>
      <c r="T529" s="46">
        <v>0</v>
      </c>
      <c r="U529" s="47">
        <v>0</v>
      </c>
      <c r="V529" s="47">
        <v>0</v>
      </c>
      <c r="W529" s="48">
        <v>0</v>
      </c>
      <c r="X529" s="57">
        <f t="shared" si="26"/>
        <v>0</v>
      </c>
      <c r="Y529" s="119"/>
    </row>
    <row r="530" spans="1:25">
      <c r="A530" s="44" t="s">
        <v>478</v>
      </c>
      <c r="B530" s="19" t="s">
        <v>437</v>
      </c>
      <c r="C530" s="49">
        <v>2028</v>
      </c>
      <c r="D530" s="46">
        <v>0</v>
      </c>
      <c r="E530" s="47">
        <v>0</v>
      </c>
      <c r="F530" s="47">
        <v>0</v>
      </c>
      <c r="G530" s="48">
        <v>0</v>
      </c>
      <c r="H530" s="57">
        <f t="shared" si="27"/>
        <v>0</v>
      </c>
      <c r="I530" s="119"/>
      <c r="J530" s="119"/>
      <c r="K530" s="119"/>
      <c r="L530" s="119"/>
      <c r="M530" s="119"/>
      <c r="N530" s="119"/>
      <c r="O530" s="119"/>
      <c r="P530" s="119"/>
      <c r="Q530" s="44" t="s">
        <v>478</v>
      </c>
      <c r="R530" s="19" t="s">
        <v>437</v>
      </c>
      <c r="S530" s="49">
        <v>2028</v>
      </c>
      <c r="T530" s="46">
        <v>0</v>
      </c>
      <c r="U530" s="47">
        <v>0</v>
      </c>
      <c r="V530" s="47">
        <v>0</v>
      </c>
      <c r="W530" s="48">
        <v>0</v>
      </c>
      <c r="X530" s="57">
        <f t="shared" si="26"/>
        <v>0</v>
      </c>
      <c r="Y530" s="119"/>
    </row>
    <row r="531" spans="1:25">
      <c r="A531" s="44" t="s">
        <v>478</v>
      </c>
      <c r="B531" s="19" t="s">
        <v>437</v>
      </c>
      <c r="C531" s="49">
        <v>2029</v>
      </c>
      <c r="D531" s="46">
        <v>0</v>
      </c>
      <c r="E531" s="47">
        <v>0</v>
      </c>
      <c r="F531" s="47">
        <v>0</v>
      </c>
      <c r="G531" s="48">
        <v>0</v>
      </c>
      <c r="H531" s="57">
        <f t="shared" si="27"/>
        <v>0</v>
      </c>
      <c r="I531" s="119"/>
      <c r="J531" s="119"/>
      <c r="K531" s="119"/>
      <c r="L531" s="119"/>
      <c r="M531" s="119"/>
      <c r="N531" s="119"/>
      <c r="O531" s="119"/>
      <c r="P531" s="119"/>
      <c r="Q531" s="44" t="s">
        <v>478</v>
      </c>
      <c r="R531" s="19" t="s">
        <v>437</v>
      </c>
      <c r="S531" s="49">
        <v>2029</v>
      </c>
      <c r="T531" s="46">
        <v>0</v>
      </c>
      <c r="U531" s="47">
        <v>0</v>
      </c>
      <c r="V531" s="47">
        <v>0</v>
      </c>
      <c r="W531" s="48">
        <v>0</v>
      </c>
      <c r="X531" s="57">
        <f t="shared" si="26"/>
        <v>0</v>
      </c>
      <c r="Y531" s="119"/>
    </row>
    <row r="532" spans="1:25">
      <c r="A532" s="44" t="s">
        <v>478</v>
      </c>
      <c r="B532" s="19" t="s">
        <v>437</v>
      </c>
      <c r="C532" s="49">
        <v>2030</v>
      </c>
      <c r="D532" s="46">
        <v>0</v>
      </c>
      <c r="E532" s="47">
        <v>0</v>
      </c>
      <c r="F532" s="47">
        <v>0</v>
      </c>
      <c r="G532" s="48">
        <v>0</v>
      </c>
      <c r="H532" s="57">
        <f t="shared" si="27"/>
        <v>0</v>
      </c>
      <c r="I532" s="119"/>
      <c r="J532" s="119"/>
      <c r="K532" s="119"/>
      <c r="L532" s="119"/>
      <c r="M532" s="119"/>
      <c r="N532" s="119"/>
      <c r="O532" s="119"/>
      <c r="P532" s="119"/>
      <c r="Q532" s="44" t="s">
        <v>478</v>
      </c>
      <c r="R532" s="19" t="s">
        <v>437</v>
      </c>
      <c r="S532" s="49">
        <v>2030</v>
      </c>
      <c r="T532" s="46">
        <v>0</v>
      </c>
      <c r="U532" s="47">
        <v>0</v>
      </c>
      <c r="V532" s="47">
        <v>0</v>
      </c>
      <c r="W532" s="48">
        <v>0</v>
      </c>
      <c r="X532" s="57">
        <f t="shared" si="26"/>
        <v>0</v>
      </c>
      <c r="Y532" s="119"/>
    </row>
    <row r="533" spans="1:25">
      <c r="A533" s="44" t="s">
        <v>478</v>
      </c>
      <c r="B533" s="19" t="s">
        <v>437</v>
      </c>
      <c r="C533" s="49">
        <v>2031</v>
      </c>
      <c r="D533" s="46">
        <v>0</v>
      </c>
      <c r="E533" s="47">
        <v>0</v>
      </c>
      <c r="F533" s="47">
        <v>0</v>
      </c>
      <c r="G533" s="48">
        <v>0</v>
      </c>
      <c r="H533" s="57">
        <f t="shared" si="27"/>
        <v>0</v>
      </c>
      <c r="I533" s="119"/>
      <c r="J533" s="119"/>
      <c r="K533" s="119"/>
      <c r="L533" s="119"/>
      <c r="M533" s="119"/>
      <c r="N533" s="119"/>
      <c r="O533" s="119"/>
      <c r="P533" s="119"/>
      <c r="Q533" s="44" t="s">
        <v>478</v>
      </c>
      <c r="R533" s="19" t="s">
        <v>437</v>
      </c>
      <c r="S533" s="49">
        <v>2031</v>
      </c>
      <c r="T533" s="46">
        <v>0</v>
      </c>
      <c r="U533" s="47">
        <v>0</v>
      </c>
      <c r="V533" s="47">
        <v>0</v>
      </c>
      <c r="W533" s="48">
        <v>0</v>
      </c>
      <c r="X533" s="57">
        <f t="shared" si="26"/>
        <v>0</v>
      </c>
      <c r="Y533" s="119"/>
    </row>
    <row r="534" spans="1:25">
      <c r="A534" s="44" t="s">
        <v>478</v>
      </c>
      <c r="B534" s="19" t="s">
        <v>437</v>
      </c>
      <c r="C534" s="49">
        <v>2032</v>
      </c>
      <c r="D534" s="46">
        <v>0</v>
      </c>
      <c r="E534" s="47">
        <v>0</v>
      </c>
      <c r="F534" s="47">
        <v>66.027242076584585</v>
      </c>
      <c r="G534" s="48">
        <v>0</v>
      </c>
      <c r="H534" s="57">
        <f t="shared" si="27"/>
        <v>44.058467458513626</v>
      </c>
      <c r="I534" s="119"/>
      <c r="J534" s="119"/>
      <c r="K534" s="119"/>
      <c r="L534" s="119"/>
      <c r="M534" s="119"/>
      <c r="N534" s="119"/>
      <c r="O534" s="119"/>
      <c r="P534" s="119"/>
      <c r="Q534" s="44" t="s">
        <v>478</v>
      </c>
      <c r="R534" s="19" t="s">
        <v>437</v>
      </c>
      <c r="S534" s="49">
        <v>2032</v>
      </c>
      <c r="T534" s="46">
        <v>0</v>
      </c>
      <c r="U534" s="47">
        <v>0</v>
      </c>
      <c r="V534" s="47">
        <v>66.027242076584585</v>
      </c>
      <c r="W534" s="48">
        <v>0</v>
      </c>
      <c r="X534" s="57">
        <f t="shared" si="26"/>
        <v>66.027242076584585</v>
      </c>
      <c r="Y534" s="119"/>
    </row>
    <row r="535" spans="1:25">
      <c r="A535" s="44" t="s">
        <v>478</v>
      </c>
      <c r="B535" s="19" t="s">
        <v>437</v>
      </c>
      <c r="C535" s="49">
        <v>2033</v>
      </c>
      <c r="D535" s="46">
        <v>0</v>
      </c>
      <c r="E535" s="47">
        <v>0</v>
      </c>
      <c r="F535" s="47">
        <v>0</v>
      </c>
      <c r="G535" s="48">
        <v>0</v>
      </c>
      <c r="H535" s="57">
        <f t="shared" si="27"/>
        <v>0</v>
      </c>
      <c r="I535" s="119"/>
      <c r="J535" s="119"/>
      <c r="K535" s="119"/>
      <c r="L535" s="119"/>
      <c r="M535" s="119"/>
      <c r="N535" s="119"/>
      <c r="O535" s="119"/>
      <c r="P535" s="119"/>
      <c r="Q535" s="44" t="s">
        <v>478</v>
      </c>
      <c r="R535" s="19" t="s">
        <v>437</v>
      </c>
      <c r="S535" s="49">
        <v>2033</v>
      </c>
      <c r="T535" s="46">
        <v>0</v>
      </c>
      <c r="U535" s="47">
        <v>0</v>
      </c>
      <c r="V535" s="47">
        <v>67.347786918116284</v>
      </c>
      <c r="W535" s="48">
        <v>0</v>
      </c>
      <c r="X535" s="57">
        <f t="shared" si="26"/>
        <v>67.347786918116284</v>
      </c>
      <c r="Y535" s="119"/>
    </row>
    <row r="536" spans="1:25">
      <c r="A536" s="44" t="s">
        <v>478</v>
      </c>
      <c r="B536" s="19" t="s">
        <v>437</v>
      </c>
      <c r="C536" s="49">
        <v>2034</v>
      </c>
      <c r="D536" s="46">
        <v>0</v>
      </c>
      <c r="E536" s="47">
        <v>0</v>
      </c>
      <c r="F536" s="47">
        <v>0</v>
      </c>
      <c r="G536" s="48">
        <v>0</v>
      </c>
      <c r="H536" s="57">
        <f t="shared" si="27"/>
        <v>0</v>
      </c>
      <c r="I536" s="119"/>
      <c r="J536" s="119"/>
      <c r="K536" s="119"/>
      <c r="L536" s="119"/>
      <c r="M536" s="119"/>
      <c r="N536" s="119"/>
      <c r="O536" s="119"/>
      <c r="P536" s="119"/>
      <c r="Q536" s="44" t="s">
        <v>478</v>
      </c>
      <c r="R536" s="19" t="s">
        <v>437</v>
      </c>
      <c r="S536" s="49">
        <v>2034</v>
      </c>
      <c r="T536" s="46">
        <v>0</v>
      </c>
      <c r="U536" s="47">
        <v>0</v>
      </c>
      <c r="V536" s="47">
        <v>68.69474265647861</v>
      </c>
      <c r="W536" s="48">
        <v>0</v>
      </c>
      <c r="X536" s="57">
        <f t="shared" si="26"/>
        <v>68.69474265647861</v>
      </c>
      <c r="Y536" s="119"/>
    </row>
    <row r="537" spans="1:25">
      <c r="A537" s="44" t="s">
        <v>478</v>
      </c>
      <c r="B537" s="19" t="s">
        <v>437</v>
      </c>
      <c r="C537" s="49">
        <v>2035</v>
      </c>
      <c r="D537" s="46">
        <v>0</v>
      </c>
      <c r="E537" s="47">
        <v>0</v>
      </c>
      <c r="F537" s="47">
        <v>0</v>
      </c>
      <c r="G537" s="48">
        <v>0</v>
      </c>
      <c r="H537" s="57">
        <f t="shared" si="27"/>
        <v>0</v>
      </c>
      <c r="I537" s="119"/>
      <c r="J537" s="119"/>
      <c r="K537" s="119"/>
      <c r="L537" s="119"/>
      <c r="M537" s="119"/>
      <c r="N537" s="119"/>
      <c r="O537" s="119"/>
      <c r="P537" s="119"/>
      <c r="Q537" s="44" t="s">
        <v>478</v>
      </c>
      <c r="R537" s="19" t="s">
        <v>437</v>
      </c>
      <c r="S537" s="49">
        <v>2035</v>
      </c>
      <c r="T537" s="46">
        <v>0</v>
      </c>
      <c r="U537" s="47">
        <v>0</v>
      </c>
      <c r="V537" s="47">
        <v>70.06863750960818</v>
      </c>
      <c r="W537" s="48">
        <v>0</v>
      </c>
      <c r="X537" s="57">
        <f t="shared" si="26"/>
        <v>70.06863750960818</v>
      </c>
      <c r="Y537" s="119">
        <f>NPV($Y$10,X528:X537)/((1-(1+$Y$10)^-10)/$Y$10)</f>
        <v>21.844324417721172</v>
      </c>
    </row>
    <row r="538" spans="1:25">
      <c r="A538" s="44"/>
      <c r="B538" s="19" t="s">
        <v>401</v>
      </c>
      <c r="C538" s="49"/>
      <c r="D538" s="42" t="s">
        <v>401</v>
      </c>
      <c r="E538" s="19" t="s">
        <v>401</v>
      </c>
      <c r="F538" s="19" t="s">
        <v>401</v>
      </c>
      <c r="G538" s="43" t="s">
        <v>401</v>
      </c>
      <c r="H538" s="57">
        <f t="shared" si="27"/>
        <v>0</v>
      </c>
      <c r="I538" s="119"/>
      <c r="J538" s="119"/>
      <c r="K538" s="119"/>
      <c r="L538" s="119"/>
      <c r="M538" s="119"/>
      <c r="N538" s="119"/>
      <c r="O538" s="119"/>
      <c r="P538" s="119"/>
      <c r="Q538" s="44"/>
      <c r="R538" s="19" t="s">
        <v>401</v>
      </c>
      <c r="S538" s="49"/>
      <c r="T538" s="42"/>
      <c r="U538" s="19"/>
      <c r="V538" s="19"/>
      <c r="W538" s="43"/>
      <c r="X538" s="57">
        <f t="shared" si="26"/>
        <v>0</v>
      </c>
      <c r="Y538" s="119"/>
    </row>
    <row r="539" spans="1:25">
      <c r="A539" s="44" t="s">
        <v>478</v>
      </c>
      <c r="B539" s="19" t="s">
        <v>438</v>
      </c>
      <c r="C539" s="49">
        <v>2026</v>
      </c>
      <c r="D539" s="46">
        <v>0</v>
      </c>
      <c r="E539" s="47">
        <v>0</v>
      </c>
      <c r="F539" s="47">
        <v>0</v>
      </c>
      <c r="G539" s="48">
        <v>0</v>
      </c>
      <c r="H539" s="57">
        <f t="shared" si="27"/>
        <v>0</v>
      </c>
      <c r="I539" s="119"/>
      <c r="J539" s="119"/>
      <c r="K539" s="119"/>
      <c r="L539" s="119"/>
      <c r="M539" s="119"/>
      <c r="N539" s="119"/>
      <c r="O539" s="119"/>
      <c r="P539" s="119"/>
      <c r="Q539" s="44" t="s">
        <v>478</v>
      </c>
      <c r="R539" s="19" t="s">
        <v>438</v>
      </c>
      <c r="S539" s="49">
        <v>2026</v>
      </c>
      <c r="T539" s="46">
        <v>0</v>
      </c>
      <c r="U539" s="47">
        <v>0</v>
      </c>
      <c r="V539" s="47">
        <v>0</v>
      </c>
      <c r="W539" s="48">
        <v>0</v>
      </c>
      <c r="X539" s="57">
        <f t="shared" si="26"/>
        <v>0</v>
      </c>
      <c r="Y539" s="119"/>
    </row>
    <row r="540" spans="1:25">
      <c r="A540" s="44" t="s">
        <v>478</v>
      </c>
      <c r="B540" s="19" t="s">
        <v>438</v>
      </c>
      <c r="C540" s="49">
        <v>2027</v>
      </c>
      <c r="D540" s="46">
        <v>0</v>
      </c>
      <c r="E540" s="47">
        <v>0</v>
      </c>
      <c r="F540" s="47">
        <v>0</v>
      </c>
      <c r="G540" s="48">
        <v>0</v>
      </c>
      <c r="H540" s="57">
        <f t="shared" si="27"/>
        <v>0</v>
      </c>
      <c r="I540" s="119"/>
      <c r="J540" s="119"/>
      <c r="K540" s="119"/>
      <c r="L540" s="119"/>
      <c r="M540" s="119"/>
      <c r="N540" s="119"/>
      <c r="O540" s="119"/>
      <c r="P540" s="119"/>
      <c r="Q540" s="44" t="s">
        <v>478</v>
      </c>
      <c r="R540" s="19" t="s">
        <v>438</v>
      </c>
      <c r="S540" s="49">
        <v>2027</v>
      </c>
      <c r="T540" s="46">
        <v>0</v>
      </c>
      <c r="U540" s="47">
        <v>0</v>
      </c>
      <c r="V540" s="47">
        <v>0</v>
      </c>
      <c r="W540" s="48">
        <v>0</v>
      </c>
      <c r="X540" s="57">
        <f t="shared" si="26"/>
        <v>0</v>
      </c>
      <c r="Y540" s="119"/>
    </row>
    <row r="541" spans="1:25">
      <c r="A541" s="44" t="s">
        <v>478</v>
      </c>
      <c r="B541" s="19" t="s">
        <v>438</v>
      </c>
      <c r="C541" s="49">
        <v>2028</v>
      </c>
      <c r="D541" s="46">
        <v>0</v>
      </c>
      <c r="E541" s="47">
        <v>0</v>
      </c>
      <c r="F541" s="47">
        <v>0</v>
      </c>
      <c r="G541" s="48">
        <v>0</v>
      </c>
      <c r="H541" s="57">
        <f t="shared" si="27"/>
        <v>0</v>
      </c>
      <c r="I541" s="119"/>
      <c r="J541" s="119"/>
      <c r="K541" s="119"/>
      <c r="L541" s="119"/>
      <c r="M541" s="119"/>
      <c r="N541" s="119"/>
      <c r="O541" s="119"/>
      <c r="P541" s="119"/>
      <c r="Q541" s="44" t="s">
        <v>478</v>
      </c>
      <c r="R541" s="19" t="s">
        <v>438</v>
      </c>
      <c r="S541" s="49">
        <v>2028</v>
      </c>
      <c r="T541" s="46">
        <v>0</v>
      </c>
      <c r="U541" s="47">
        <v>0</v>
      </c>
      <c r="V541" s="47">
        <v>0</v>
      </c>
      <c r="W541" s="48">
        <v>0</v>
      </c>
      <c r="X541" s="57">
        <f t="shared" si="26"/>
        <v>0</v>
      </c>
      <c r="Y541" s="119"/>
    </row>
    <row r="542" spans="1:25">
      <c r="A542" s="44" t="s">
        <v>478</v>
      </c>
      <c r="B542" s="19" t="s">
        <v>438</v>
      </c>
      <c r="C542" s="49">
        <v>2029</v>
      </c>
      <c r="D542" s="46">
        <v>0</v>
      </c>
      <c r="E542" s="47">
        <v>0</v>
      </c>
      <c r="F542" s="47">
        <v>0</v>
      </c>
      <c r="G542" s="48">
        <v>0</v>
      </c>
      <c r="H542" s="57">
        <f t="shared" si="27"/>
        <v>0</v>
      </c>
      <c r="I542" s="119"/>
      <c r="J542" s="119"/>
      <c r="K542" s="119"/>
      <c r="L542" s="119"/>
      <c r="M542" s="119"/>
      <c r="N542" s="119"/>
      <c r="O542" s="119"/>
      <c r="P542" s="119"/>
      <c r="Q542" s="44" t="s">
        <v>478</v>
      </c>
      <c r="R542" s="19" t="s">
        <v>438</v>
      </c>
      <c r="S542" s="49">
        <v>2029</v>
      </c>
      <c r="T542" s="46">
        <v>0</v>
      </c>
      <c r="U542" s="47">
        <v>0</v>
      </c>
      <c r="V542" s="47">
        <v>0</v>
      </c>
      <c r="W542" s="48">
        <v>0</v>
      </c>
      <c r="X542" s="57">
        <f t="shared" si="26"/>
        <v>0</v>
      </c>
      <c r="Y542" s="119"/>
    </row>
    <row r="543" spans="1:25">
      <c r="A543" s="44" t="s">
        <v>478</v>
      </c>
      <c r="B543" s="19" t="s">
        <v>438</v>
      </c>
      <c r="C543" s="49">
        <v>2030</v>
      </c>
      <c r="D543" s="46">
        <v>0</v>
      </c>
      <c r="E543" s="47">
        <v>0</v>
      </c>
      <c r="F543" s="47">
        <v>0</v>
      </c>
      <c r="G543" s="48">
        <v>0</v>
      </c>
      <c r="H543" s="57">
        <f t="shared" si="27"/>
        <v>0</v>
      </c>
      <c r="I543" s="119"/>
      <c r="J543" s="119"/>
      <c r="K543" s="119"/>
      <c r="L543" s="119"/>
      <c r="M543" s="119"/>
      <c r="N543" s="119"/>
      <c r="O543" s="119"/>
      <c r="P543" s="119"/>
      <c r="Q543" s="44" t="s">
        <v>478</v>
      </c>
      <c r="R543" s="19" t="s">
        <v>438</v>
      </c>
      <c r="S543" s="49">
        <v>2030</v>
      </c>
      <c r="T543" s="46">
        <v>0</v>
      </c>
      <c r="U543" s="47">
        <v>0</v>
      </c>
      <c r="V543" s="47">
        <v>0</v>
      </c>
      <c r="W543" s="48">
        <v>0</v>
      </c>
      <c r="X543" s="57">
        <f t="shared" si="26"/>
        <v>0</v>
      </c>
      <c r="Y543" s="119"/>
    </row>
    <row r="544" spans="1:25">
      <c r="A544" s="44" t="s">
        <v>478</v>
      </c>
      <c r="B544" s="19" t="s">
        <v>438</v>
      </c>
      <c r="C544" s="49">
        <v>2031</v>
      </c>
      <c r="D544" s="46">
        <v>0</v>
      </c>
      <c r="E544" s="47">
        <v>0</v>
      </c>
      <c r="F544" s="47">
        <v>0</v>
      </c>
      <c r="G544" s="48">
        <v>0</v>
      </c>
      <c r="H544" s="57">
        <f t="shared" si="27"/>
        <v>0</v>
      </c>
      <c r="I544" s="119"/>
      <c r="J544" s="119"/>
      <c r="K544" s="119"/>
      <c r="L544" s="119"/>
      <c r="M544" s="119"/>
      <c r="N544" s="119"/>
      <c r="O544" s="119"/>
      <c r="P544" s="119"/>
      <c r="Q544" s="44" t="s">
        <v>478</v>
      </c>
      <c r="R544" s="19" t="s">
        <v>438</v>
      </c>
      <c r="S544" s="49">
        <v>2031</v>
      </c>
      <c r="T544" s="46">
        <v>0</v>
      </c>
      <c r="U544" s="47">
        <v>0</v>
      </c>
      <c r="V544" s="47">
        <v>0</v>
      </c>
      <c r="W544" s="48">
        <v>0</v>
      </c>
      <c r="X544" s="57">
        <f t="shared" si="26"/>
        <v>0</v>
      </c>
      <c r="Y544" s="119"/>
    </row>
    <row r="545" spans="1:25">
      <c r="A545" s="44" t="s">
        <v>478</v>
      </c>
      <c r="B545" s="19" t="s">
        <v>438</v>
      </c>
      <c r="C545" s="49">
        <v>2032</v>
      </c>
      <c r="D545" s="46">
        <v>0</v>
      </c>
      <c r="E545" s="47">
        <v>0</v>
      </c>
      <c r="F545" s="47">
        <v>66.027242076584585</v>
      </c>
      <c r="G545" s="48">
        <v>0</v>
      </c>
      <c r="H545" s="57">
        <f t="shared" si="27"/>
        <v>44.058467458513626</v>
      </c>
      <c r="I545" s="119"/>
      <c r="J545" s="119"/>
      <c r="K545" s="119"/>
      <c r="L545" s="119"/>
      <c r="M545" s="119"/>
      <c r="N545" s="119"/>
      <c r="O545" s="119"/>
      <c r="P545" s="119"/>
      <c r="Q545" s="44" t="s">
        <v>478</v>
      </c>
      <c r="R545" s="19" t="s">
        <v>438</v>
      </c>
      <c r="S545" s="49">
        <v>2032</v>
      </c>
      <c r="T545" s="46">
        <v>0</v>
      </c>
      <c r="U545" s="47">
        <v>0</v>
      </c>
      <c r="V545" s="47">
        <v>66.027242076584585</v>
      </c>
      <c r="W545" s="48">
        <v>0</v>
      </c>
      <c r="X545" s="57">
        <f t="shared" si="26"/>
        <v>66.027242076584585</v>
      </c>
      <c r="Y545" s="119"/>
    </row>
    <row r="546" spans="1:25">
      <c r="A546" s="44" t="s">
        <v>478</v>
      </c>
      <c r="B546" s="19" t="s">
        <v>438</v>
      </c>
      <c r="C546" s="49">
        <v>2033</v>
      </c>
      <c r="D546" s="46">
        <v>0</v>
      </c>
      <c r="E546" s="47">
        <v>0</v>
      </c>
      <c r="F546" s="47">
        <v>0</v>
      </c>
      <c r="G546" s="48">
        <v>0</v>
      </c>
      <c r="H546" s="57">
        <f t="shared" si="27"/>
        <v>0</v>
      </c>
      <c r="I546" s="119"/>
      <c r="J546" s="119"/>
      <c r="K546" s="119"/>
      <c r="L546" s="119"/>
      <c r="M546" s="119"/>
      <c r="N546" s="119"/>
      <c r="O546" s="119"/>
      <c r="P546" s="119"/>
      <c r="Q546" s="44" t="s">
        <v>478</v>
      </c>
      <c r="R546" s="19" t="s">
        <v>438</v>
      </c>
      <c r="S546" s="49">
        <v>2033</v>
      </c>
      <c r="T546" s="46">
        <v>0</v>
      </c>
      <c r="U546" s="47">
        <v>0</v>
      </c>
      <c r="V546" s="47">
        <v>67.347786918116284</v>
      </c>
      <c r="W546" s="48">
        <v>0</v>
      </c>
      <c r="X546" s="57">
        <f t="shared" si="26"/>
        <v>67.347786918116284</v>
      </c>
      <c r="Y546" s="119"/>
    </row>
    <row r="547" spans="1:25">
      <c r="A547" s="44" t="s">
        <v>478</v>
      </c>
      <c r="B547" s="19" t="s">
        <v>438</v>
      </c>
      <c r="C547" s="49">
        <v>2034</v>
      </c>
      <c r="D547" s="46">
        <v>0</v>
      </c>
      <c r="E547" s="47">
        <v>0</v>
      </c>
      <c r="F547" s="47">
        <v>0</v>
      </c>
      <c r="G547" s="48">
        <v>0</v>
      </c>
      <c r="H547" s="57">
        <f t="shared" si="27"/>
        <v>0</v>
      </c>
      <c r="I547" s="119"/>
      <c r="J547" s="119"/>
      <c r="K547" s="119"/>
      <c r="L547" s="119"/>
      <c r="M547" s="119"/>
      <c r="N547" s="119"/>
      <c r="O547" s="119"/>
      <c r="P547" s="119"/>
      <c r="Q547" s="44" t="s">
        <v>478</v>
      </c>
      <c r="R547" s="19" t="s">
        <v>438</v>
      </c>
      <c r="S547" s="49">
        <v>2034</v>
      </c>
      <c r="T547" s="46">
        <v>0</v>
      </c>
      <c r="U547" s="47">
        <v>0</v>
      </c>
      <c r="V547" s="47">
        <v>68.69474265647861</v>
      </c>
      <c r="W547" s="48">
        <v>0</v>
      </c>
      <c r="X547" s="57">
        <f t="shared" si="26"/>
        <v>68.69474265647861</v>
      </c>
      <c r="Y547" s="119"/>
    </row>
    <row r="548" spans="1:25">
      <c r="A548" s="44" t="s">
        <v>478</v>
      </c>
      <c r="B548" s="19" t="s">
        <v>438</v>
      </c>
      <c r="C548" s="49">
        <v>2035</v>
      </c>
      <c r="D548" s="46">
        <v>0</v>
      </c>
      <c r="E548" s="47">
        <v>0</v>
      </c>
      <c r="F548" s="47">
        <v>0</v>
      </c>
      <c r="G548" s="48">
        <v>0</v>
      </c>
      <c r="H548" s="57">
        <f t="shared" si="27"/>
        <v>0</v>
      </c>
      <c r="I548" s="119"/>
      <c r="J548" s="119"/>
      <c r="K548" s="119"/>
      <c r="L548" s="119"/>
      <c r="M548" s="119"/>
      <c r="N548" s="119"/>
      <c r="O548" s="119"/>
      <c r="P548" s="119"/>
      <c r="Q548" s="44" t="s">
        <v>478</v>
      </c>
      <c r="R548" s="19" t="s">
        <v>438</v>
      </c>
      <c r="S548" s="49">
        <v>2035</v>
      </c>
      <c r="T548" s="46">
        <v>0</v>
      </c>
      <c r="U548" s="47">
        <v>0</v>
      </c>
      <c r="V548" s="47">
        <v>70.06863750960818</v>
      </c>
      <c r="W548" s="48">
        <v>0</v>
      </c>
      <c r="X548" s="57">
        <f t="shared" si="26"/>
        <v>70.06863750960818</v>
      </c>
      <c r="Y548" s="119">
        <f>NPV($Y$10,X539:X548)/((1-(1+$Y$10)^-10)/$Y$10)</f>
        <v>21.844324417721172</v>
      </c>
    </row>
    <row r="549" spans="1:25">
      <c r="A549" s="44"/>
      <c r="B549" s="19" t="s">
        <v>401</v>
      </c>
      <c r="C549" s="49"/>
      <c r="D549" s="46" t="s">
        <v>401</v>
      </c>
      <c r="E549" s="47" t="s">
        <v>401</v>
      </c>
      <c r="F549" s="47" t="s">
        <v>401</v>
      </c>
      <c r="G549" s="48" t="s">
        <v>401</v>
      </c>
      <c r="H549" s="57">
        <f t="shared" si="27"/>
        <v>0</v>
      </c>
      <c r="I549" s="119"/>
      <c r="J549" s="119"/>
      <c r="K549" s="119"/>
      <c r="L549" s="119"/>
      <c r="M549" s="119"/>
      <c r="N549" s="119"/>
      <c r="O549" s="119"/>
      <c r="P549" s="119"/>
      <c r="Q549" s="44"/>
      <c r="R549" s="19" t="s">
        <v>401</v>
      </c>
      <c r="S549" s="49"/>
      <c r="T549" s="46"/>
      <c r="U549" s="47"/>
      <c r="V549" s="47"/>
      <c r="W549" s="48"/>
      <c r="X549" s="57">
        <f t="shared" si="26"/>
        <v>0</v>
      </c>
      <c r="Y549" s="119"/>
    </row>
    <row r="550" spans="1:25" ht="30">
      <c r="A550" s="44" t="s">
        <v>479</v>
      </c>
      <c r="B550" s="19" t="s">
        <v>439</v>
      </c>
      <c r="C550" s="49">
        <v>2026</v>
      </c>
      <c r="D550" s="46">
        <v>0</v>
      </c>
      <c r="E550" s="47">
        <v>0</v>
      </c>
      <c r="F550" s="47">
        <v>0</v>
      </c>
      <c r="G550" s="48">
        <v>0</v>
      </c>
      <c r="H550" s="57">
        <f t="shared" si="27"/>
        <v>0</v>
      </c>
      <c r="I550" s="119"/>
      <c r="J550" s="119"/>
      <c r="K550" s="119"/>
      <c r="L550" s="119"/>
      <c r="M550" s="119"/>
      <c r="N550" s="119"/>
      <c r="O550" s="119"/>
      <c r="P550" s="119"/>
      <c r="Q550" s="44" t="s">
        <v>479</v>
      </c>
      <c r="R550" s="19" t="s">
        <v>439</v>
      </c>
      <c r="S550" s="49">
        <v>2026</v>
      </c>
      <c r="T550" s="46">
        <v>0</v>
      </c>
      <c r="U550" s="47">
        <v>0</v>
      </c>
      <c r="V550" s="47">
        <v>0</v>
      </c>
      <c r="W550" s="48">
        <v>0</v>
      </c>
      <c r="X550" s="57">
        <f t="shared" si="26"/>
        <v>0</v>
      </c>
      <c r="Y550" s="119"/>
    </row>
    <row r="551" spans="1:25" ht="30">
      <c r="A551" s="44" t="s">
        <v>479</v>
      </c>
      <c r="B551" s="19" t="s">
        <v>439</v>
      </c>
      <c r="C551" s="49">
        <v>2027</v>
      </c>
      <c r="D551" s="46">
        <v>0</v>
      </c>
      <c r="E551" s="47">
        <v>0</v>
      </c>
      <c r="F551" s="47">
        <v>0</v>
      </c>
      <c r="G551" s="48">
        <v>0</v>
      </c>
      <c r="H551" s="57">
        <f t="shared" si="27"/>
        <v>0</v>
      </c>
      <c r="I551" s="119"/>
      <c r="J551" s="119"/>
      <c r="K551" s="119"/>
      <c r="L551" s="119"/>
      <c r="M551" s="119"/>
      <c r="N551" s="119"/>
      <c r="O551" s="119"/>
      <c r="P551" s="119"/>
      <c r="Q551" s="44" t="s">
        <v>479</v>
      </c>
      <c r="R551" s="19" t="s">
        <v>439</v>
      </c>
      <c r="S551" s="49">
        <v>2027</v>
      </c>
      <c r="T551" s="46">
        <v>0</v>
      </c>
      <c r="U551" s="47">
        <v>0</v>
      </c>
      <c r="V551" s="47">
        <v>0</v>
      </c>
      <c r="W551" s="48">
        <v>0</v>
      </c>
      <c r="X551" s="57">
        <f t="shared" si="26"/>
        <v>0</v>
      </c>
      <c r="Y551" s="119"/>
    </row>
    <row r="552" spans="1:25" ht="30">
      <c r="A552" s="44" t="s">
        <v>479</v>
      </c>
      <c r="B552" s="19" t="s">
        <v>439</v>
      </c>
      <c r="C552" s="49">
        <v>2028</v>
      </c>
      <c r="D552" s="46">
        <v>0</v>
      </c>
      <c r="E552" s="47">
        <v>0</v>
      </c>
      <c r="F552" s="47">
        <v>0</v>
      </c>
      <c r="G552" s="48">
        <v>0</v>
      </c>
      <c r="H552" s="57">
        <f t="shared" si="27"/>
        <v>0</v>
      </c>
      <c r="I552" s="119"/>
      <c r="J552" s="119"/>
      <c r="K552" s="119"/>
      <c r="L552" s="119"/>
      <c r="M552" s="119"/>
      <c r="N552" s="119"/>
      <c r="O552" s="119"/>
      <c r="P552" s="119"/>
      <c r="Q552" s="44" t="s">
        <v>479</v>
      </c>
      <c r="R552" s="19" t="s">
        <v>439</v>
      </c>
      <c r="S552" s="49">
        <v>2028</v>
      </c>
      <c r="T552" s="46">
        <v>0</v>
      </c>
      <c r="U552" s="47">
        <v>0</v>
      </c>
      <c r="V552" s="47">
        <v>0</v>
      </c>
      <c r="W552" s="48">
        <v>0</v>
      </c>
      <c r="X552" s="57">
        <f t="shared" si="26"/>
        <v>0</v>
      </c>
      <c r="Y552" s="119"/>
    </row>
    <row r="553" spans="1:25" ht="30">
      <c r="A553" s="44" t="s">
        <v>479</v>
      </c>
      <c r="B553" s="19" t="s">
        <v>439</v>
      </c>
      <c r="C553" s="49">
        <v>2029</v>
      </c>
      <c r="D553" s="46">
        <v>0</v>
      </c>
      <c r="E553" s="47">
        <v>0</v>
      </c>
      <c r="F553" s="47">
        <v>57.257528312315408</v>
      </c>
      <c r="G553" s="48">
        <v>0</v>
      </c>
      <c r="H553" s="57">
        <f t="shared" si="27"/>
        <v>46.771975232911672</v>
      </c>
      <c r="I553" s="119"/>
      <c r="J553" s="119"/>
      <c r="K553" s="119"/>
      <c r="L553" s="119"/>
      <c r="M553" s="119"/>
      <c r="N553" s="119"/>
      <c r="O553" s="119"/>
      <c r="P553" s="119"/>
      <c r="Q553" s="44" t="s">
        <v>479</v>
      </c>
      <c r="R553" s="19" t="s">
        <v>439</v>
      </c>
      <c r="S553" s="49">
        <v>2029</v>
      </c>
      <c r="T553" s="46">
        <v>0</v>
      </c>
      <c r="U553" s="47">
        <v>0</v>
      </c>
      <c r="V553" s="47">
        <v>57.257528312315408</v>
      </c>
      <c r="W553" s="48">
        <v>0</v>
      </c>
      <c r="X553" s="57">
        <f t="shared" si="26"/>
        <v>57.257528312315408</v>
      </c>
      <c r="Y553" s="119"/>
    </row>
    <row r="554" spans="1:25" ht="30">
      <c r="A554" s="44" t="s">
        <v>479</v>
      </c>
      <c r="B554" s="19" t="s">
        <v>439</v>
      </c>
      <c r="C554" s="49">
        <v>2030</v>
      </c>
      <c r="D554" s="46">
        <v>0</v>
      </c>
      <c r="E554" s="47">
        <v>0</v>
      </c>
      <c r="F554" s="47">
        <v>0</v>
      </c>
      <c r="G554" s="48">
        <v>0</v>
      </c>
      <c r="H554" s="57">
        <f t="shared" si="27"/>
        <v>0</v>
      </c>
      <c r="I554" s="119"/>
      <c r="J554" s="119"/>
      <c r="K554" s="119"/>
      <c r="L554" s="119"/>
      <c r="M554" s="119"/>
      <c r="N554" s="119"/>
      <c r="O554" s="119"/>
      <c r="P554" s="119"/>
      <c r="Q554" s="44" t="s">
        <v>479</v>
      </c>
      <c r="R554" s="19" t="s">
        <v>439</v>
      </c>
      <c r="S554" s="49">
        <v>2030</v>
      </c>
      <c r="T554" s="46">
        <v>0</v>
      </c>
      <c r="U554" s="47">
        <v>0</v>
      </c>
      <c r="V554" s="47">
        <v>58.402678878561716</v>
      </c>
      <c r="W554" s="48">
        <v>0</v>
      </c>
      <c r="X554" s="57">
        <f t="shared" si="26"/>
        <v>58.402678878561716</v>
      </c>
      <c r="Y554" s="119"/>
    </row>
    <row r="555" spans="1:25" ht="30">
      <c r="A555" s="44" t="s">
        <v>479</v>
      </c>
      <c r="B555" s="19" t="s">
        <v>439</v>
      </c>
      <c r="C555" s="49">
        <v>2031</v>
      </c>
      <c r="D555" s="46">
        <v>0</v>
      </c>
      <c r="E555" s="47">
        <v>0</v>
      </c>
      <c r="F555" s="47">
        <v>0</v>
      </c>
      <c r="G555" s="48">
        <v>0</v>
      </c>
      <c r="H555" s="57">
        <f t="shared" si="27"/>
        <v>0</v>
      </c>
      <c r="I555" s="119"/>
      <c r="J555" s="119"/>
      <c r="K555" s="119"/>
      <c r="L555" s="119"/>
      <c r="M555" s="119"/>
      <c r="N555" s="119"/>
      <c r="O555" s="119"/>
      <c r="P555" s="119"/>
      <c r="Q555" s="44" t="s">
        <v>479</v>
      </c>
      <c r="R555" s="19" t="s">
        <v>439</v>
      </c>
      <c r="S555" s="49">
        <v>2031</v>
      </c>
      <c r="T555" s="46">
        <v>0</v>
      </c>
      <c r="U555" s="47">
        <v>0</v>
      </c>
      <c r="V555" s="47">
        <v>59.570732456132951</v>
      </c>
      <c r="W555" s="48">
        <v>0</v>
      </c>
      <c r="X555" s="57">
        <f t="shared" si="26"/>
        <v>59.570732456132951</v>
      </c>
      <c r="Y555" s="119"/>
    </row>
    <row r="556" spans="1:25" ht="30">
      <c r="A556" s="44" t="s">
        <v>479</v>
      </c>
      <c r="B556" s="19" t="s">
        <v>439</v>
      </c>
      <c r="C556" s="49">
        <v>2032</v>
      </c>
      <c r="D556" s="46">
        <v>0</v>
      </c>
      <c r="E556" s="47">
        <v>0</v>
      </c>
      <c r="F556" s="47">
        <v>0</v>
      </c>
      <c r="G556" s="48">
        <v>0</v>
      </c>
      <c r="H556" s="57">
        <f t="shared" si="27"/>
        <v>0</v>
      </c>
      <c r="I556" s="119"/>
      <c r="J556" s="119"/>
      <c r="K556" s="119"/>
      <c r="L556" s="119"/>
      <c r="M556" s="119"/>
      <c r="N556" s="119"/>
      <c r="O556" s="119"/>
      <c r="P556" s="119"/>
      <c r="Q556" s="44" t="s">
        <v>479</v>
      </c>
      <c r="R556" s="19" t="s">
        <v>439</v>
      </c>
      <c r="S556" s="49">
        <v>2032</v>
      </c>
      <c r="T556" s="46">
        <v>0</v>
      </c>
      <c r="U556" s="47">
        <v>0</v>
      </c>
      <c r="V556" s="47">
        <v>60.762147105255615</v>
      </c>
      <c r="W556" s="48">
        <v>0</v>
      </c>
      <c r="X556" s="57">
        <f t="shared" si="26"/>
        <v>60.762147105255615</v>
      </c>
      <c r="Y556" s="119"/>
    </row>
    <row r="557" spans="1:25" ht="30">
      <c r="A557" s="44" t="s">
        <v>479</v>
      </c>
      <c r="B557" s="19" t="s">
        <v>439</v>
      </c>
      <c r="C557" s="49">
        <v>2033</v>
      </c>
      <c r="D557" s="46">
        <v>0</v>
      </c>
      <c r="E557" s="47">
        <v>0</v>
      </c>
      <c r="F557" s="47">
        <v>0</v>
      </c>
      <c r="G557" s="48">
        <v>0</v>
      </c>
      <c r="H557" s="57">
        <f t="shared" si="27"/>
        <v>0</v>
      </c>
      <c r="I557" s="119"/>
      <c r="J557" s="119"/>
      <c r="K557" s="119"/>
      <c r="L557" s="119"/>
      <c r="M557" s="119"/>
      <c r="N557" s="119"/>
      <c r="O557" s="119"/>
      <c r="P557" s="119"/>
      <c r="Q557" s="44" t="s">
        <v>479</v>
      </c>
      <c r="R557" s="19" t="s">
        <v>439</v>
      </c>
      <c r="S557" s="49">
        <v>2033</v>
      </c>
      <c r="T557" s="46">
        <v>0</v>
      </c>
      <c r="U557" s="47">
        <v>0</v>
      </c>
      <c r="V557" s="47">
        <v>61.977390047360728</v>
      </c>
      <c r="W557" s="48">
        <v>0</v>
      </c>
      <c r="X557" s="57">
        <f t="shared" si="26"/>
        <v>61.977390047360728</v>
      </c>
      <c r="Y557" s="119"/>
    </row>
    <row r="558" spans="1:25" ht="30">
      <c r="A558" s="44" t="s">
        <v>479</v>
      </c>
      <c r="B558" s="19" t="s">
        <v>439</v>
      </c>
      <c r="C558" s="49">
        <v>2034</v>
      </c>
      <c r="D558" s="46">
        <v>0</v>
      </c>
      <c r="E558" s="47">
        <v>0</v>
      </c>
      <c r="F558" s="47">
        <v>0</v>
      </c>
      <c r="G558" s="48">
        <v>0</v>
      </c>
      <c r="H558" s="57">
        <f t="shared" si="27"/>
        <v>0</v>
      </c>
      <c r="I558" s="119"/>
      <c r="J558" s="119"/>
      <c r="K558" s="119"/>
      <c r="L558" s="119"/>
      <c r="M558" s="119"/>
      <c r="N558" s="119"/>
      <c r="O558" s="119"/>
      <c r="P558" s="119"/>
      <c r="Q558" s="44" t="s">
        <v>479</v>
      </c>
      <c r="R558" s="19" t="s">
        <v>439</v>
      </c>
      <c r="S558" s="49">
        <v>2034</v>
      </c>
      <c r="T558" s="46">
        <v>0</v>
      </c>
      <c r="U558" s="47">
        <v>0</v>
      </c>
      <c r="V558" s="47">
        <v>63.216937848307943</v>
      </c>
      <c r="W558" s="48">
        <v>0</v>
      </c>
      <c r="X558" s="57">
        <f t="shared" si="26"/>
        <v>63.216937848307943</v>
      </c>
      <c r="Y558" s="119"/>
    </row>
    <row r="559" spans="1:25" ht="30">
      <c r="A559" s="44" t="s">
        <v>479</v>
      </c>
      <c r="B559" s="19" t="s">
        <v>439</v>
      </c>
      <c r="C559" s="49">
        <v>2035</v>
      </c>
      <c r="D559" s="46">
        <v>0</v>
      </c>
      <c r="E559" s="47">
        <v>0</v>
      </c>
      <c r="F559" s="47">
        <v>0</v>
      </c>
      <c r="G559" s="48">
        <v>0</v>
      </c>
      <c r="H559" s="57">
        <f t="shared" si="27"/>
        <v>0</v>
      </c>
      <c r="I559" s="119"/>
      <c r="J559" s="119"/>
      <c r="K559" s="119"/>
      <c r="L559" s="119"/>
      <c r="M559" s="119"/>
      <c r="N559" s="119"/>
      <c r="O559" s="119"/>
      <c r="P559" s="119"/>
      <c r="Q559" s="44" t="s">
        <v>479</v>
      </c>
      <c r="R559" s="19" t="s">
        <v>439</v>
      </c>
      <c r="S559" s="49">
        <v>2035</v>
      </c>
      <c r="T559" s="46">
        <v>0</v>
      </c>
      <c r="U559" s="47">
        <v>0</v>
      </c>
      <c r="V559" s="47">
        <v>64.481276605274104</v>
      </c>
      <c r="W559" s="48">
        <v>0</v>
      </c>
      <c r="X559" s="57">
        <f t="shared" si="26"/>
        <v>64.481276605274104</v>
      </c>
      <c r="Y559" s="119">
        <f>NPV($Y$10,X550:X559)/((1-(1+$Y$10)^-10)/$Y$10)</f>
        <v>37.902026069374756</v>
      </c>
    </row>
    <row r="560" spans="1:25">
      <c r="A560" s="44"/>
      <c r="B560" s="19" t="s">
        <v>401</v>
      </c>
      <c r="C560" s="49"/>
      <c r="D560" s="42" t="s">
        <v>401</v>
      </c>
      <c r="E560" s="19" t="s">
        <v>401</v>
      </c>
      <c r="F560" s="19" t="s">
        <v>401</v>
      </c>
      <c r="G560" s="43" t="s">
        <v>401</v>
      </c>
      <c r="H560" s="57">
        <f t="shared" si="27"/>
        <v>0</v>
      </c>
      <c r="I560" s="119"/>
      <c r="J560" s="119"/>
      <c r="K560" s="119"/>
      <c r="L560" s="119"/>
      <c r="M560" s="119"/>
      <c r="N560" s="119"/>
      <c r="O560" s="119"/>
      <c r="P560" s="119"/>
      <c r="Q560" s="44"/>
      <c r="R560" s="19" t="s">
        <v>401</v>
      </c>
      <c r="S560" s="49"/>
      <c r="T560" s="42"/>
      <c r="U560" s="19"/>
      <c r="V560" s="19"/>
      <c r="W560" s="43"/>
      <c r="X560" s="57">
        <f t="shared" si="26"/>
        <v>0</v>
      </c>
      <c r="Y560" s="119"/>
    </row>
    <row r="561" spans="1:25" ht="30">
      <c r="A561" s="44" t="s">
        <v>479</v>
      </c>
      <c r="B561" s="19" t="s">
        <v>440</v>
      </c>
      <c r="C561" s="49">
        <v>2026</v>
      </c>
      <c r="D561" s="46">
        <v>0</v>
      </c>
      <c r="E561" s="47">
        <v>0</v>
      </c>
      <c r="F561" s="47">
        <v>0</v>
      </c>
      <c r="G561" s="48">
        <v>0</v>
      </c>
      <c r="H561" s="57">
        <f t="shared" si="27"/>
        <v>0</v>
      </c>
      <c r="I561" s="119"/>
      <c r="J561" s="119"/>
      <c r="K561" s="119"/>
      <c r="L561" s="119"/>
      <c r="M561" s="119"/>
      <c r="N561" s="119"/>
      <c r="O561" s="119"/>
      <c r="P561" s="119"/>
      <c r="Q561" s="44" t="s">
        <v>479</v>
      </c>
      <c r="R561" s="19" t="s">
        <v>440</v>
      </c>
      <c r="S561" s="49">
        <v>2026</v>
      </c>
      <c r="T561" s="46">
        <v>0</v>
      </c>
      <c r="U561" s="47">
        <v>0</v>
      </c>
      <c r="V561" s="47">
        <v>0</v>
      </c>
      <c r="W561" s="48">
        <v>0</v>
      </c>
      <c r="X561" s="57">
        <f t="shared" si="26"/>
        <v>0</v>
      </c>
      <c r="Y561" s="119"/>
    </row>
    <row r="562" spans="1:25" ht="30">
      <c r="A562" s="44" t="s">
        <v>479</v>
      </c>
      <c r="B562" s="19" t="s">
        <v>440</v>
      </c>
      <c r="C562" s="49">
        <v>2027</v>
      </c>
      <c r="D562" s="46">
        <v>0</v>
      </c>
      <c r="E562" s="47">
        <v>0</v>
      </c>
      <c r="F562" s="47">
        <v>0</v>
      </c>
      <c r="G562" s="48">
        <v>0</v>
      </c>
      <c r="H562" s="57">
        <f t="shared" si="27"/>
        <v>0</v>
      </c>
      <c r="I562" s="119"/>
      <c r="J562" s="119"/>
      <c r="K562" s="119"/>
      <c r="L562" s="119"/>
      <c r="M562" s="119"/>
      <c r="N562" s="119"/>
      <c r="O562" s="119"/>
      <c r="P562" s="119"/>
      <c r="Q562" s="44" t="s">
        <v>479</v>
      </c>
      <c r="R562" s="19" t="s">
        <v>440</v>
      </c>
      <c r="S562" s="49">
        <v>2027</v>
      </c>
      <c r="T562" s="46">
        <v>0</v>
      </c>
      <c r="U562" s="47">
        <v>0</v>
      </c>
      <c r="V562" s="47">
        <v>0</v>
      </c>
      <c r="W562" s="48">
        <v>0</v>
      </c>
      <c r="X562" s="57">
        <f t="shared" si="26"/>
        <v>0</v>
      </c>
      <c r="Y562" s="119"/>
    </row>
    <row r="563" spans="1:25" ht="30">
      <c r="A563" s="44" t="s">
        <v>479</v>
      </c>
      <c r="B563" s="19" t="s">
        <v>440</v>
      </c>
      <c r="C563" s="49">
        <v>2028</v>
      </c>
      <c r="D563" s="46">
        <v>0</v>
      </c>
      <c r="E563" s="47">
        <v>0</v>
      </c>
      <c r="F563" s="47">
        <v>0</v>
      </c>
      <c r="G563" s="48">
        <v>0</v>
      </c>
      <c r="H563" s="57">
        <f t="shared" si="27"/>
        <v>0</v>
      </c>
      <c r="I563" s="119"/>
      <c r="J563" s="119"/>
      <c r="K563" s="119"/>
      <c r="L563" s="119"/>
      <c r="M563" s="119"/>
      <c r="N563" s="119"/>
      <c r="O563" s="119"/>
      <c r="P563" s="119"/>
      <c r="Q563" s="44" t="s">
        <v>479</v>
      </c>
      <c r="R563" s="19" t="s">
        <v>440</v>
      </c>
      <c r="S563" s="49">
        <v>2028</v>
      </c>
      <c r="T563" s="46">
        <v>0</v>
      </c>
      <c r="U563" s="47">
        <v>0</v>
      </c>
      <c r="V563" s="47">
        <v>0</v>
      </c>
      <c r="W563" s="48">
        <v>0</v>
      </c>
      <c r="X563" s="57">
        <f t="shared" si="26"/>
        <v>0</v>
      </c>
      <c r="Y563" s="119"/>
    </row>
    <row r="564" spans="1:25" ht="30">
      <c r="A564" s="44" t="s">
        <v>479</v>
      </c>
      <c r="B564" s="19" t="s">
        <v>440</v>
      </c>
      <c r="C564" s="49">
        <v>2029</v>
      </c>
      <c r="D564" s="46">
        <v>0</v>
      </c>
      <c r="E564" s="47">
        <v>0</v>
      </c>
      <c r="F564" s="47">
        <v>0</v>
      </c>
      <c r="G564" s="48">
        <v>0</v>
      </c>
      <c r="H564" s="57">
        <f t="shared" si="27"/>
        <v>0</v>
      </c>
      <c r="I564" s="119"/>
      <c r="J564" s="119"/>
      <c r="K564" s="119"/>
      <c r="L564" s="119"/>
      <c r="M564" s="119"/>
      <c r="N564" s="119"/>
      <c r="O564" s="119"/>
      <c r="P564" s="119"/>
      <c r="Q564" s="44" t="s">
        <v>479</v>
      </c>
      <c r="R564" s="19" t="s">
        <v>440</v>
      </c>
      <c r="S564" s="49">
        <v>2029</v>
      </c>
      <c r="T564" s="46">
        <v>0</v>
      </c>
      <c r="U564" s="47">
        <v>0</v>
      </c>
      <c r="V564" s="47">
        <v>0</v>
      </c>
      <c r="W564" s="48">
        <v>0</v>
      </c>
      <c r="X564" s="57">
        <f t="shared" si="26"/>
        <v>0</v>
      </c>
      <c r="Y564" s="119"/>
    </row>
    <row r="565" spans="1:25" ht="30">
      <c r="A565" s="44" t="s">
        <v>479</v>
      </c>
      <c r="B565" s="19" t="s">
        <v>440</v>
      </c>
      <c r="C565" s="49">
        <v>2030</v>
      </c>
      <c r="D565" s="46">
        <v>0</v>
      </c>
      <c r="E565" s="47">
        <v>0</v>
      </c>
      <c r="F565" s="47">
        <v>52.257802971838153</v>
      </c>
      <c r="G565" s="48">
        <v>0</v>
      </c>
      <c r="H565" s="57">
        <f t="shared" si="27"/>
        <v>39.904508544289286</v>
      </c>
      <c r="I565" s="119"/>
      <c r="J565" s="119"/>
      <c r="K565" s="119"/>
      <c r="L565" s="119"/>
      <c r="M565" s="119"/>
      <c r="N565" s="119"/>
      <c r="O565" s="119"/>
      <c r="P565" s="119"/>
      <c r="Q565" s="44" t="s">
        <v>479</v>
      </c>
      <c r="R565" s="19" t="s">
        <v>440</v>
      </c>
      <c r="S565" s="49">
        <v>2030</v>
      </c>
      <c r="T565" s="46">
        <v>0</v>
      </c>
      <c r="U565" s="47">
        <v>0</v>
      </c>
      <c r="V565" s="47">
        <v>52.257802971838153</v>
      </c>
      <c r="W565" s="48">
        <v>0</v>
      </c>
      <c r="X565" s="57">
        <f t="shared" si="26"/>
        <v>52.257802971838153</v>
      </c>
      <c r="Y565" s="119"/>
    </row>
    <row r="566" spans="1:25" ht="30">
      <c r="A566" s="44" t="s">
        <v>479</v>
      </c>
      <c r="B566" s="19" t="s">
        <v>440</v>
      </c>
      <c r="C566" s="49">
        <v>2031</v>
      </c>
      <c r="D566" s="46">
        <v>0</v>
      </c>
      <c r="E566" s="47">
        <v>0</v>
      </c>
      <c r="F566" s="47">
        <v>196.05768894065261</v>
      </c>
      <c r="G566" s="48">
        <v>0</v>
      </c>
      <c r="H566" s="57">
        <f t="shared" si="27"/>
        <v>139.94983901812682</v>
      </c>
      <c r="I566" s="119"/>
      <c r="J566" s="119"/>
      <c r="K566" s="119"/>
      <c r="L566" s="119"/>
      <c r="M566" s="119"/>
      <c r="N566" s="119"/>
      <c r="O566" s="119"/>
      <c r="P566" s="119"/>
      <c r="Q566" s="44" t="s">
        <v>479</v>
      </c>
      <c r="R566" s="19" t="s">
        <v>440</v>
      </c>
      <c r="S566" s="49">
        <v>2031</v>
      </c>
      <c r="T566" s="46">
        <v>0</v>
      </c>
      <c r="U566" s="47">
        <v>0</v>
      </c>
      <c r="V566" s="47">
        <v>249.36064797192753</v>
      </c>
      <c r="W566" s="48">
        <v>0</v>
      </c>
      <c r="X566" s="57">
        <f t="shared" si="26"/>
        <v>249.36064797192753</v>
      </c>
      <c r="Y566" s="119"/>
    </row>
    <row r="567" spans="1:25" ht="30">
      <c r="A567" s="44" t="s">
        <v>479</v>
      </c>
      <c r="B567" s="19" t="s">
        <v>440</v>
      </c>
      <c r="C567" s="49">
        <v>2032</v>
      </c>
      <c r="D567" s="46">
        <v>0</v>
      </c>
      <c r="E567" s="47">
        <v>0</v>
      </c>
      <c r="F567" s="47">
        <v>47.270999712754801</v>
      </c>
      <c r="G567" s="48">
        <v>0</v>
      </c>
      <c r="H567" s="57">
        <f t="shared" si="27"/>
        <v>31.542856207141252</v>
      </c>
      <c r="I567" s="119"/>
      <c r="J567" s="119"/>
      <c r="K567" s="119"/>
      <c r="L567" s="119"/>
      <c r="M567" s="119"/>
      <c r="N567" s="119"/>
      <c r="O567" s="119"/>
      <c r="P567" s="119"/>
      <c r="Q567" s="44" t="s">
        <v>479</v>
      </c>
      <c r="R567" s="19" t="s">
        <v>440</v>
      </c>
      <c r="S567" s="49">
        <v>2032</v>
      </c>
      <c r="T567" s="46">
        <v>0</v>
      </c>
      <c r="U567" s="47">
        <v>0</v>
      </c>
      <c r="V567" s="47">
        <v>301.6188606441209</v>
      </c>
      <c r="W567" s="48">
        <v>0</v>
      </c>
      <c r="X567" s="57">
        <f t="shared" si="26"/>
        <v>301.6188606441209</v>
      </c>
      <c r="Y567" s="119"/>
    </row>
    <row r="568" spans="1:25" ht="30">
      <c r="A568" s="44" t="s">
        <v>479</v>
      </c>
      <c r="B568" s="19" t="s">
        <v>440</v>
      </c>
      <c r="C568" s="49">
        <v>2033</v>
      </c>
      <c r="D568" s="46">
        <v>0</v>
      </c>
      <c r="E568" s="47">
        <v>0</v>
      </c>
      <c r="F568" s="47">
        <v>0</v>
      </c>
      <c r="G568" s="48">
        <v>0</v>
      </c>
      <c r="H568" s="57">
        <f t="shared" si="27"/>
        <v>0</v>
      </c>
      <c r="I568" s="119"/>
      <c r="J568" s="119"/>
      <c r="K568" s="119"/>
      <c r="L568" s="119"/>
      <c r="M568" s="119"/>
      <c r="N568" s="119"/>
      <c r="O568" s="119"/>
      <c r="P568" s="119"/>
      <c r="Q568" s="44" t="s">
        <v>479</v>
      </c>
      <c r="R568" s="19" t="s">
        <v>440</v>
      </c>
      <c r="S568" s="49">
        <v>2033</v>
      </c>
      <c r="T568" s="46">
        <v>0</v>
      </c>
      <c r="U568" s="47">
        <v>0</v>
      </c>
      <c r="V568" s="47">
        <v>307.65123785700331</v>
      </c>
      <c r="W568" s="48">
        <v>0</v>
      </c>
      <c r="X568" s="57">
        <f t="shared" si="26"/>
        <v>307.65123785700331</v>
      </c>
      <c r="Y568" s="119"/>
    </row>
    <row r="569" spans="1:25" ht="30">
      <c r="A569" s="44" t="s">
        <v>479</v>
      </c>
      <c r="B569" s="19" t="s">
        <v>440</v>
      </c>
      <c r="C569" s="49">
        <v>2034</v>
      </c>
      <c r="D569" s="46">
        <v>0</v>
      </c>
      <c r="E569" s="47">
        <v>0</v>
      </c>
      <c r="F569" s="47">
        <v>0</v>
      </c>
      <c r="G569" s="48">
        <v>0</v>
      </c>
      <c r="H569" s="57">
        <f t="shared" si="27"/>
        <v>0</v>
      </c>
      <c r="I569" s="119"/>
      <c r="J569" s="119"/>
      <c r="K569" s="119"/>
      <c r="L569" s="119"/>
      <c r="M569" s="119"/>
      <c r="N569" s="119"/>
      <c r="O569" s="119"/>
      <c r="P569" s="119"/>
      <c r="Q569" s="44" t="s">
        <v>479</v>
      </c>
      <c r="R569" s="19" t="s">
        <v>440</v>
      </c>
      <c r="S569" s="49">
        <v>2034</v>
      </c>
      <c r="T569" s="46">
        <v>0</v>
      </c>
      <c r="U569" s="47">
        <v>0</v>
      </c>
      <c r="V569" s="47">
        <v>313.8042626141434</v>
      </c>
      <c r="W569" s="48">
        <v>0</v>
      </c>
      <c r="X569" s="57">
        <f t="shared" si="26"/>
        <v>313.8042626141434</v>
      </c>
      <c r="Y569" s="119"/>
    </row>
    <row r="570" spans="1:25" ht="30">
      <c r="A570" s="44" t="s">
        <v>479</v>
      </c>
      <c r="B570" s="19" t="s">
        <v>440</v>
      </c>
      <c r="C570" s="49">
        <v>2035</v>
      </c>
      <c r="D570" s="46">
        <v>0</v>
      </c>
      <c r="E570" s="47">
        <v>0</v>
      </c>
      <c r="F570" s="47">
        <v>0</v>
      </c>
      <c r="G570" s="48">
        <v>0</v>
      </c>
      <c r="H570" s="57">
        <f t="shared" si="27"/>
        <v>0</v>
      </c>
      <c r="I570" s="119"/>
      <c r="J570" s="119"/>
      <c r="K570" s="119"/>
      <c r="L570" s="119"/>
      <c r="M570" s="119"/>
      <c r="N570" s="119"/>
      <c r="O570" s="119"/>
      <c r="P570" s="119"/>
      <c r="Q570" s="44" t="s">
        <v>479</v>
      </c>
      <c r="R570" s="19" t="s">
        <v>440</v>
      </c>
      <c r="S570" s="49">
        <v>2035</v>
      </c>
      <c r="T570" s="46">
        <v>0</v>
      </c>
      <c r="U570" s="47">
        <v>0</v>
      </c>
      <c r="V570" s="47">
        <v>320.08034786642628</v>
      </c>
      <c r="W570" s="48">
        <v>0</v>
      </c>
      <c r="X570" s="57">
        <f t="shared" si="26"/>
        <v>320.08034786642628</v>
      </c>
      <c r="Y570" s="119">
        <f>NPV($Y$10,X561:X570)/((1-(1+$Y$10)^-10)/$Y$10)</f>
        <v>128.75512004381056</v>
      </c>
    </row>
    <row r="571" spans="1:25">
      <c r="A571" s="44"/>
      <c r="B571" s="19" t="s">
        <v>401</v>
      </c>
      <c r="C571" s="49"/>
      <c r="D571" s="46" t="s">
        <v>401</v>
      </c>
      <c r="E571" s="47" t="s">
        <v>401</v>
      </c>
      <c r="F571" s="47" t="s">
        <v>401</v>
      </c>
      <c r="G571" s="48" t="s">
        <v>401</v>
      </c>
      <c r="H571" s="57">
        <f t="shared" si="27"/>
        <v>0</v>
      </c>
      <c r="I571" s="119"/>
      <c r="J571" s="119"/>
      <c r="K571" s="119"/>
      <c r="L571" s="119"/>
      <c r="M571" s="119"/>
      <c r="N571" s="119"/>
      <c r="O571" s="119"/>
      <c r="P571" s="119"/>
      <c r="Q571" s="44"/>
      <c r="R571" s="19" t="s">
        <v>401</v>
      </c>
      <c r="S571" s="49"/>
      <c r="T571" s="46"/>
      <c r="U571" s="47"/>
      <c r="V571" s="47"/>
      <c r="W571" s="48"/>
      <c r="X571" s="57">
        <f t="shared" si="26"/>
        <v>0</v>
      </c>
      <c r="Y571" s="119"/>
    </row>
    <row r="572" spans="1:25" ht="30">
      <c r="A572" s="44" t="s">
        <v>479</v>
      </c>
      <c r="B572" s="19" t="s">
        <v>441</v>
      </c>
      <c r="C572" s="49">
        <v>2026</v>
      </c>
      <c r="D572" s="46">
        <v>0</v>
      </c>
      <c r="E572" s="47">
        <v>0</v>
      </c>
      <c r="F572" s="47">
        <v>0</v>
      </c>
      <c r="G572" s="48">
        <v>0</v>
      </c>
      <c r="H572" s="57">
        <f t="shared" si="27"/>
        <v>0</v>
      </c>
      <c r="I572" s="119"/>
      <c r="J572" s="119"/>
      <c r="K572" s="119"/>
      <c r="L572" s="119"/>
      <c r="M572" s="119"/>
      <c r="N572" s="119"/>
      <c r="O572" s="119"/>
      <c r="P572" s="119"/>
      <c r="Q572" s="44" t="s">
        <v>479</v>
      </c>
      <c r="R572" s="19" t="s">
        <v>441</v>
      </c>
      <c r="S572" s="49">
        <v>2026</v>
      </c>
      <c r="T572" s="46">
        <v>0</v>
      </c>
      <c r="U572" s="47">
        <v>0</v>
      </c>
      <c r="V572" s="47">
        <v>0</v>
      </c>
      <c r="W572" s="48">
        <v>0</v>
      </c>
      <c r="X572" s="57">
        <f t="shared" si="26"/>
        <v>0</v>
      </c>
      <c r="Y572" s="119"/>
    </row>
    <row r="573" spans="1:25" ht="30">
      <c r="A573" s="44" t="s">
        <v>479</v>
      </c>
      <c r="B573" s="19" t="s">
        <v>441</v>
      </c>
      <c r="C573" s="49">
        <v>2027</v>
      </c>
      <c r="D573" s="46">
        <v>0</v>
      </c>
      <c r="E573" s="47">
        <v>0</v>
      </c>
      <c r="F573" s="47">
        <v>0</v>
      </c>
      <c r="G573" s="48">
        <v>0</v>
      </c>
      <c r="H573" s="57">
        <f t="shared" si="27"/>
        <v>0</v>
      </c>
      <c r="I573" s="119"/>
      <c r="J573" s="119"/>
      <c r="K573" s="119"/>
      <c r="L573" s="119"/>
      <c r="M573" s="119"/>
      <c r="N573" s="119"/>
      <c r="O573" s="119"/>
      <c r="P573" s="119"/>
      <c r="Q573" s="44" t="s">
        <v>479</v>
      </c>
      <c r="R573" s="19" t="s">
        <v>441</v>
      </c>
      <c r="S573" s="49">
        <v>2027</v>
      </c>
      <c r="T573" s="46">
        <v>0</v>
      </c>
      <c r="U573" s="47">
        <v>0</v>
      </c>
      <c r="V573" s="47">
        <v>0</v>
      </c>
      <c r="W573" s="48">
        <v>0</v>
      </c>
      <c r="X573" s="57">
        <f t="shared" si="26"/>
        <v>0</v>
      </c>
      <c r="Y573" s="119"/>
    </row>
    <row r="574" spans="1:25" ht="30">
      <c r="A574" s="44" t="s">
        <v>479</v>
      </c>
      <c r="B574" s="19" t="s">
        <v>441</v>
      </c>
      <c r="C574" s="49">
        <v>2028</v>
      </c>
      <c r="D574" s="46">
        <v>0</v>
      </c>
      <c r="E574" s="47">
        <v>0</v>
      </c>
      <c r="F574" s="47">
        <v>0</v>
      </c>
      <c r="G574" s="48">
        <v>0</v>
      </c>
      <c r="H574" s="57">
        <f t="shared" si="27"/>
        <v>0</v>
      </c>
      <c r="I574" s="119"/>
      <c r="J574" s="119"/>
      <c r="K574" s="119"/>
      <c r="L574" s="119"/>
      <c r="M574" s="119"/>
      <c r="N574" s="119"/>
      <c r="O574" s="119"/>
      <c r="P574" s="119"/>
      <c r="Q574" s="44" t="s">
        <v>479</v>
      </c>
      <c r="R574" s="19" t="s">
        <v>441</v>
      </c>
      <c r="S574" s="49">
        <v>2028</v>
      </c>
      <c r="T574" s="46">
        <v>0</v>
      </c>
      <c r="U574" s="47">
        <v>0</v>
      </c>
      <c r="V574" s="47">
        <v>0</v>
      </c>
      <c r="W574" s="48">
        <v>0</v>
      </c>
      <c r="X574" s="57">
        <f t="shared" si="26"/>
        <v>0</v>
      </c>
      <c r="Y574" s="119"/>
    </row>
    <row r="575" spans="1:25" ht="30">
      <c r="A575" s="44" t="s">
        <v>479</v>
      </c>
      <c r="B575" s="19" t="s">
        <v>441</v>
      </c>
      <c r="C575" s="49">
        <v>2029</v>
      </c>
      <c r="D575" s="46">
        <v>0</v>
      </c>
      <c r="E575" s="47">
        <v>0</v>
      </c>
      <c r="F575" s="47">
        <v>0</v>
      </c>
      <c r="G575" s="48">
        <v>100.9434754489003</v>
      </c>
      <c r="H575" s="57">
        <f t="shared" si="27"/>
        <v>82.457728665253825</v>
      </c>
      <c r="I575" s="119"/>
      <c r="J575" s="119"/>
      <c r="K575" s="119"/>
      <c r="L575" s="119"/>
      <c r="M575" s="119"/>
      <c r="N575" s="119"/>
      <c r="O575" s="119"/>
      <c r="P575" s="119"/>
      <c r="Q575" s="44" t="s">
        <v>479</v>
      </c>
      <c r="R575" s="19" t="s">
        <v>441</v>
      </c>
      <c r="S575" s="49">
        <v>2029</v>
      </c>
      <c r="T575" s="46">
        <v>0</v>
      </c>
      <c r="U575" s="47">
        <v>0</v>
      </c>
      <c r="V575" s="47">
        <v>0</v>
      </c>
      <c r="W575" s="48">
        <v>100.9434754489003</v>
      </c>
      <c r="X575" s="57">
        <f t="shared" si="26"/>
        <v>100.9434754489003</v>
      </c>
      <c r="Y575" s="119"/>
    </row>
    <row r="576" spans="1:25" ht="30">
      <c r="A576" s="44" t="s">
        <v>479</v>
      </c>
      <c r="B576" s="19" t="s">
        <v>441</v>
      </c>
      <c r="C576" s="49">
        <v>2030</v>
      </c>
      <c r="D576" s="46">
        <v>0</v>
      </c>
      <c r="E576" s="47">
        <v>0</v>
      </c>
      <c r="F576" s="47">
        <v>0</v>
      </c>
      <c r="G576" s="48">
        <v>0</v>
      </c>
      <c r="H576" s="57">
        <f t="shared" si="27"/>
        <v>0</v>
      </c>
      <c r="I576" s="119"/>
      <c r="J576" s="119"/>
      <c r="K576" s="119"/>
      <c r="L576" s="119"/>
      <c r="M576" s="119"/>
      <c r="N576" s="119"/>
      <c r="O576" s="119"/>
      <c r="P576" s="119"/>
      <c r="Q576" s="44" t="s">
        <v>479</v>
      </c>
      <c r="R576" s="19" t="s">
        <v>441</v>
      </c>
      <c r="S576" s="49">
        <v>2030</v>
      </c>
      <c r="T576" s="46">
        <v>0</v>
      </c>
      <c r="U576" s="47">
        <v>0</v>
      </c>
      <c r="V576" s="47">
        <v>0</v>
      </c>
      <c r="W576" s="48">
        <v>102.96234495787832</v>
      </c>
      <c r="X576" s="57">
        <f t="shared" si="26"/>
        <v>102.96234495787832</v>
      </c>
      <c r="Y576" s="119"/>
    </row>
    <row r="577" spans="1:25" ht="30">
      <c r="A577" s="44" t="s">
        <v>479</v>
      </c>
      <c r="B577" s="19" t="s">
        <v>441</v>
      </c>
      <c r="C577" s="49">
        <v>2031</v>
      </c>
      <c r="D577" s="46">
        <v>0</v>
      </c>
      <c r="E577" s="47">
        <v>0</v>
      </c>
      <c r="F577" s="47">
        <v>0</v>
      </c>
      <c r="G577" s="48">
        <v>0</v>
      </c>
      <c r="H577" s="57">
        <f t="shared" si="27"/>
        <v>0</v>
      </c>
      <c r="I577" s="119"/>
      <c r="J577" s="119"/>
      <c r="K577" s="119"/>
      <c r="L577" s="119"/>
      <c r="M577" s="119"/>
      <c r="N577" s="119"/>
      <c r="O577" s="119"/>
      <c r="P577" s="119"/>
      <c r="Q577" s="44" t="s">
        <v>479</v>
      </c>
      <c r="R577" s="19" t="s">
        <v>441</v>
      </c>
      <c r="S577" s="49">
        <v>2031</v>
      </c>
      <c r="T577" s="46">
        <v>0</v>
      </c>
      <c r="U577" s="47">
        <v>0</v>
      </c>
      <c r="V577" s="47">
        <v>0</v>
      </c>
      <c r="W577" s="48">
        <v>105.02159185703589</v>
      </c>
      <c r="X577" s="57">
        <f t="shared" si="26"/>
        <v>105.02159185703589</v>
      </c>
      <c r="Y577" s="119"/>
    </row>
    <row r="578" spans="1:25" ht="30">
      <c r="A578" s="44" t="s">
        <v>479</v>
      </c>
      <c r="B578" s="19" t="s">
        <v>441</v>
      </c>
      <c r="C578" s="49">
        <v>2032</v>
      </c>
      <c r="D578" s="46">
        <v>0</v>
      </c>
      <c r="E578" s="47">
        <v>0</v>
      </c>
      <c r="F578" s="47">
        <v>0</v>
      </c>
      <c r="G578" s="48">
        <v>0</v>
      </c>
      <c r="H578" s="57">
        <f t="shared" si="27"/>
        <v>0</v>
      </c>
      <c r="I578" s="119"/>
      <c r="J578" s="119"/>
      <c r="K578" s="119"/>
      <c r="L578" s="119"/>
      <c r="M578" s="119"/>
      <c r="N578" s="119"/>
      <c r="O578" s="119"/>
      <c r="P578" s="119"/>
      <c r="Q578" s="44" t="s">
        <v>479</v>
      </c>
      <c r="R578" s="19" t="s">
        <v>441</v>
      </c>
      <c r="S578" s="49">
        <v>2032</v>
      </c>
      <c r="T578" s="46">
        <v>0</v>
      </c>
      <c r="U578" s="47">
        <v>0</v>
      </c>
      <c r="V578" s="47">
        <v>0</v>
      </c>
      <c r="W578" s="48">
        <v>107.1220236941766</v>
      </c>
      <c r="X578" s="57">
        <f t="shared" si="26"/>
        <v>107.1220236941766</v>
      </c>
      <c r="Y578" s="119"/>
    </row>
    <row r="579" spans="1:25" ht="30">
      <c r="A579" s="44" t="s">
        <v>479</v>
      </c>
      <c r="B579" s="19" t="s">
        <v>441</v>
      </c>
      <c r="C579" s="49">
        <v>2033</v>
      </c>
      <c r="D579" s="46">
        <v>0</v>
      </c>
      <c r="E579" s="47">
        <v>0</v>
      </c>
      <c r="F579" s="47">
        <v>0</v>
      </c>
      <c r="G579" s="48">
        <v>0</v>
      </c>
      <c r="H579" s="57">
        <f t="shared" si="27"/>
        <v>0</v>
      </c>
      <c r="I579" s="119"/>
      <c r="J579" s="119"/>
      <c r="K579" s="119"/>
      <c r="L579" s="119"/>
      <c r="M579" s="119"/>
      <c r="N579" s="119"/>
      <c r="O579" s="119"/>
      <c r="P579" s="119"/>
      <c r="Q579" s="44" t="s">
        <v>479</v>
      </c>
      <c r="R579" s="19" t="s">
        <v>441</v>
      </c>
      <c r="S579" s="49">
        <v>2033</v>
      </c>
      <c r="T579" s="46">
        <v>0</v>
      </c>
      <c r="U579" s="47">
        <v>0</v>
      </c>
      <c r="V579" s="47">
        <v>0</v>
      </c>
      <c r="W579" s="48">
        <v>109.26446416806014</v>
      </c>
      <c r="X579" s="57">
        <f t="shared" si="26"/>
        <v>109.26446416806014</v>
      </c>
      <c r="Y579" s="119"/>
    </row>
    <row r="580" spans="1:25" ht="30">
      <c r="A580" s="44" t="s">
        <v>479</v>
      </c>
      <c r="B580" s="19" t="s">
        <v>441</v>
      </c>
      <c r="C580" s="49">
        <v>2034</v>
      </c>
      <c r="D580" s="46">
        <v>0</v>
      </c>
      <c r="E580" s="47">
        <v>0</v>
      </c>
      <c r="F580" s="47">
        <v>0</v>
      </c>
      <c r="G580" s="48">
        <v>0</v>
      </c>
      <c r="H580" s="57">
        <f t="shared" si="27"/>
        <v>0</v>
      </c>
      <c r="I580" s="119"/>
      <c r="J580" s="119"/>
      <c r="K580" s="119"/>
      <c r="L580" s="119"/>
      <c r="M580" s="119"/>
      <c r="N580" s="119"/>
      <c r="O580" s="119"/>
      <c r="P580" s="119"/>
      <c r="Q580" s="44" t="s">
        <v>479</v>
      </c>
      <c r="R580" s="19" t="s">
        <v>441</v>
      </c>
      <c r="S580" s="49">
        <v>2034</v>
      </c>
      <c r="T580" s="46">
        <v>0</v>
      </c>
      <c r="U580" s="47">
        <v>0</v>
      </c>
      <c r="V580" s="47">
        <v>0</v>
      </c>
      <c r="W580" s="48">
        <v>111.44975345142134</v>
      </c>
      <c r="X580" s="57">
        <f t="shared" si="26"/>
        <v>111.44975345142134</v>
      </c>
      <c r="Y580" s="119"/>
    </row>
    <row r="581" spans="1:25" ht="30">
      <c r="A581" s="44" t="s">
        <v>479</v>
      </c>
      <c r="B581" s="19" t="s">
        <v>441</v>
      </c>
      <c r="C581" s="49">
        <v>2035</v>
      </c>
      <c r="D581" s="46">
        <v>0</v>
      </c>
      <c r="E581" s="47">
        <v>0</v>
      </c>
      <c r="F581" s="47">
        <v>0</v>
      </c>
      <c r="G581" s="48">
        <v>0</v>
      </c>
      <c r="H581" s="57">
        <f t="shared" si="27"/>
        <v>0</v>
      </c>
      <c r="I581" s="119"/>
      <c r="J581" s="119"/>
      <c r="K581" s="119"/>
      <c r="L581" s="119"/>
      <c r="M581" s="119"/>
      <c r="N581" s="119"/>
      <c r="O581" s="119"/>
      <c r="P581" s="119"/>
      <c r="Q581" s="44" t="s">
        <v>479</v>
      </c>
      <c r="R581" s="19" t="s">
        <v>441</v>
      </c>
      <c r="S581" s="49">
        <v>2035</v>
      </c>
      <c r="T581" s="46">
        <v>0</v>
      </c>
      <c r="U581" s="47">
        <v>0</v>
      </c>
      <c r="V581" s="47">
        <v>0</v>
      </c>
      <c r="W581" s="48">
        <v>113.67874852044977</v>
      </c>
      <c r="X581" s="57">
        <f t="shared" si="26"/>
        <v>113.67874852044977</v>
      </c>
      <c r="Y581" s="119">
        <f>NPV($Y$10,X572:X581)/((1-(1+$Y$10)^-10)/$Y$10)</f>
        <v>66.820247935407153</v>
      </c>
    </row>
    <row r="582" spans="1:25">
      <c r="A582" s="44"/>
      <c r="B582" s="19" t="s">
        <v>401</v>
      </c>
      <c r="C582" s="49"/>
      <c r="D582" s="42" t="s">
        <v>401</v>
      </c>
      <c r="E582" s="19" t="s">
        <v>401</v>
      </c>
      <c r="F582" s="19" t="s">
        <v>401</v>
      </c>
      <c r="G582" s="43" t="s">
        <v>401</v>
      </c>
      <c r="H582" s="57">
        <f t="shared" si="27"/>
        <v>0</v>
      </c>
      <c r="I582" s="119"/>
      <c r="J582" s="119"/>
      <c r="K582" s="119"/>
      <c r="L582" s="119"/>
      <c r="M582" s="119"/>
      <c r="N582" s="119"/>
      <c r="O582" s="119"/>
      <c r="P582" s="119"/>
      <c r="Q582" s="44"/>
      <c r="R582" s="19" t="s">
        <v>401</v>
      </c>
      <c r="S582" s="49"/>
      <c r="T582" s="42"/>
      <c r="U582" s="19"/>
      <c r="V582" s="19"/>
      <c r="W582" s="43"/>
      <c r="X582" s="57">
        <f t="shared" si="26"/>
        <v>0</v>
      </c>
      <c r="Y582" s="119"/>
    </row>
    <row r="583" spans="1:25" ht="30">
      <c r="A583" s="44" t="s">
        <v>479</v>
      </c>
      <c r="B583" s="19" t="s">
        <v>442</v>
      </c>
      <c r="C583" s="49">
        <v>2026</v>
      </c>
      <c r="D583" s="46">
        <v>0</v>
      </c>
      <c r="E583" s="47">
        <v>0</v>
      </c>
      <c r="F583" s="47">
        <v>0</v>
      </c>
      <c r="G583" s="48">
        <v>0</v>
      </c>
      <c r="H583" s="57">
        <f t="shared" si="27"/>
        <v>0</v>
      </c>
      <c r="I583" s="119"/>
      <c r="J583" s="119"/>
      <c r="K583" s="119"/>
      <c r="L583" s="119"/>
      <c r="M583" s="119"/>
      <c r="N583" s="119"/>
      <c r="O583" s="119"/>
      <c r="P583" s="119"/>
      <c r="Q583" s="44" t="s">
        <v>479</v>
      </c>
      <c r="R583" s="19" t="s">
        <v>442</v>
      </c>
      <c r="S583" s="49">
        <v>2026</v>
      </c>
      <c r="T583" s="46">
        <v>0</v>
      </c>
      <c r="U583" s="47">
        <v>0</v>
      </c>
      <c r="V583" s="47">
        <v>0</v>
      </c>
      <c r="W583" s="48">
        <v>0</v>
      </c>
      <c r="X583" s="57">
        <f t="shared" si="26"/>
        <v>0</v>
      </c>
      <c r="Y583" s="119"/>
    </row>
    <row r="584" spans="1:25" ht="30">
      <c r="A584" s="44" t="s">
        <v>479</v>
      </c>
      <c r="B584" s="19" t="s">
        <v>442</v>
      </c>
      <c r="C584" s="49">
        <v>2027</v>
      </c>
      <c r="D584" s="46">
        <v>0</v>
      </c>
      <c r="E584" s="47">
        <v>0</v>
      </c>
      <c r="F584" s="47">
        <v>0</v>
      </c>
      <c r="G584" s="48">
        <v>0</v>
      </c>
      <c r="H584" s="57">
        <f t="shared" si="27"/>
        <v>0</v>
      </c>
      <c r="I584" s="119"/>
      <c r="J584" s="119"/>
      <c r="K584" s="119"/>
      <c r="L584" s="119"/>
      <c r="M584" s="119"/>
      <c r="N584" s="119"/>
      <c r="O584" s="119"/>
      <c r="P584" s="119"/>
      <c r="Q584" s="44" t="s">
        <v>479</v>
      </c>
      <c r="R584" s="19" t="s">
        <v>442</v>
      </c>
      <c r="S584" s="49">
        <v>2027</v>
      </c>
      <c r="T584" s="46">
        <v>0</v>
      </c>
      <c r="U584" s="47">
        <v>0</v>
      </c>
      <c r="V584" s="47">
        <v>0</v>
      </c>
      <c r="W584" s="48">
        <v>0</v>
      </c>
      <c r="X584" s="57">
        <f t="shared" si="26"/>
        <v>0</v>
      </c>
      <c r="Y584" s="119"/>
    </row>
    <row r="585" spans="1:25" ht="30">
      <c r="A585" s="44" t="s">
        <v>479</v>
      </c>
      <c r="B585" s="19" t="s">
        <v>442</v>
      </c>
      <c r="C585" s="49">
        <v>2028</v>
      </c>
      <c r="D585" s="46">
        <v>0</v>
      </c>
      <c r="E585" s="47">
        <v>0</v>
      </c>
      <c r="F585" s="47">
        <v>0</v>
      </c>
      <c r="G585" s="48">
        <v>0</v>
      </c>
      <c r="H585" s="57">
        <f t="shared" si="27"/>
        <v>0</v>
      </c>
      <c r="I585" s="119"/>
      <c r="J585" s="119"/>
      <c r="K585" s="119"/>
      <c r="L585" s="119"/>
      <c r="M585" s="119"/>
      <c r="N585" s="119"/>
      <c r="O585" s="119"/>
      <c r="P585" s="119"/>
      <c r="Q585" s="44" t="s">
        <v>479</v>
      </c>
      <c r="R585" s="19" t="s">
        <v>442</v>
      </c>
      <c r="S585" s="49">
        <v>2028</v>
      </c>
      <c r="T585" s="46">
        <v>0</v>
      </c>
      <c r="U585" s="47">
        <v>0</v>
      </c>
      <c r="V585" s="47">
        <v>0</v>
      </c>
      <c r="W585" s="48">
        <v>0</v>
      </c>
      <c r="X585" s="57">
        <f t="shared" si="26"/>
        <v>0</v>
      </c>
      <c r="Y585" s="119"/>
    </row>
    <row r="586" spans="1:25" ht="30">
      <c r="A586" s="44" t="s">
        <v>479</v>
      </c>
      <c r="B586" s="19" t="s">
        <v>442</v>
      </c>
      <c r="C586" s="49">
        <v>2029</v>
      </c>
      <c r="D586" s="46">
        <v>0</v>
      </c>
      <c r="E586" s="47">
        <v>0</v>
      </c>
      <c r="F586" s="47">
        <v>61.122440195016132</v>
      </c>
      <c r="G586" s="48">
        <v>0</v>
      </c>
      <c r="H586" s="57">
        <f t="shared" si="27"/>
        <v>49.92910702297155</v>
      </c>
      <c r="I586" s="119"/>
      <c r="J586" s="119"/>
      <c r="K586" s="119"/>
      <c r="L586" s="119"/>
      <c r="M586" s="119"/>
      <c r="N586" s="119"/>
      <c r="O586" s="119"/>
      <c r="P586" s="119"/>
      <c r="Q586" s="44" t="s">
        <v>479</v>
      </c>
      <c r="R586" s="19" t="s">
        <v>442</v>
      </c>
      <c r="S586" s="49">
        <v>2029</v>
      </c>
      <c r="T586" s="46">
        <v>0</v>
      </c>
      <c r="U586" s="47">
        <v>0</v>
      </c>
      <c r="V586" s="47">
        <v>61.122440195016132</v>
      </c>
      <c r="W586" s="48">
        <v>0</v>
      </c>
      <c r="X586" s="57">
        <f t="shared" si="26"/>
        <v>61.122440195016132</v>
      </c>
      <c r="Y586" s="119"/>
    </row>
    <row r="587" spans="1:25" ht="30">
      <c r="A587" s="44" t="s">
        <v>479</v>
      </c>
      <c r="B587" s="19" t="s">
        <v>442</v>
      </c>
      <c r="C587" s="49">
        <v>2030</v>
      </c>
      <c r="D587" s="46">
        <v>0</v>
      </c>
      <c r="E587" s="47">
        <v>0</v>
      </c>
      <c r="F587" s="47">
        <v>55.736841707354515</v>
      </c>
      <c r="G587" s="48">
        <v>0</v>
      </c>
      <c r="H587" s="57">
        <f t="shared" si="27"/>
        <v>42.561132494250238</v>
      </c>
      <c r="I587" s="119"/>
      <c r="J587" s="119"/>
      <c r="K587" s="119"/>
      <c r="L587" s="119"/>
      <c r="M587" s="119"/>
      <c r="N587" s="119"/>
      <c r="O587" s="119"/>
      <c r="P587" s="119"/>
      <c r="Q587" s="44" t="s">
        <v>479</v>
      </c>
      <c r="R587" s="19" t="s">
        <v>442</v>
      </c>
      <c r="S587" s="49">
        <v>2030</v>
      </c>
      <c r="T587" s="46">
        <v>0</v>
      </c>
      <c r="U587" s="47">
        <v>0</v>
      </c>
      <c r="V587" s="47">
        <v>118.08173070627097</v>
      </c>
      <c r="W587" s="48">
        <v>0</v>
      </c>
      <c r="X587" s="57">
        <f t="shared" si="26"/>
        <v>118.08173070627097</v>
      </c>
      <c r="Y587" s="119"/>
    </row>
    <row r="588" spans="1:25" ht="30">
      <c r="A588" s="44" t="s">
        <v>479</v>
      </c>
      <c r="B588" s="19" t="s">
        <v>442</v>
      </c>
      <c r="C588" s="49">
        <v>2031</v>
      </c>
      <c r="D588" s="46">
        <v>0</v>
      </c>
      <c r="E588" s="47">
        <v>0</v>
      </c>
      <c r="F588" s="47">
        <v>19.297900305206735</v>
      </c>
      <c r="G588" s="48">
        <v>0</v>
      </c>
      <c r="H588" s="57">
        <f t="shared" si="27"/>
        <v>13.775221240718931</v>
      </c>
      <c r="I588" s="119"/>
      <c r="J588" s="119"/>
      <c r="K588" s="119"/>
      <c r="L588" s="119"/>
      <c r="M588" s="119"/>
      <c r="N588" s="119"/>
      <c r="O588" s="119"/>
      <c r="P588" s="119"/>
      <c r="Q588" s="44" t="s">
        <v>479</v>
      </c>
      <c r="R588" s="19" t="s">
        <v>442</v>
      </c>
      <c r="S588" s="49">
        <v>2031</v>
      </c>
      <c r="T588" s="46">
        <v>0</v>
      </c>
      <c r="U588" s="47">
        <v>0</v>
      </c>
      <c r="V588" s="47">
        <v>139.74126562560312</v>
      </c>
      <c r="W588" s="48">
        <v>0</v>
      </c>
      <c r="X588" s="57">
        <f t="shared" ref="X588:X651" si="28">SUM(T588:W588)</f>
        <v>139.74126562560312</v>
      </c>
      <c r="Y588" s="119"/>
    </row>
    <row r="589" spans="1:25" ht="30">
      <c r="A589" s="44" t="s">
        <v>479</v>
      </c>
      <c r="B589" s="19" t="s">
        <v>442</v>
      </c>
      <c r="C589" s="49">
        <v>2032</v>
      </c>
      <c r="D589" s="46">
        <v>0</v>
      </c>
      <c r="E589" s="47">
        <v>0</v>
      </c>
      <c r="F589" s="47">
        <v>0</v>
      </c>
      <c r="G589" s="48">
        <v>0</v>
      </c>
      <c r="H589" s="57">
        <f t="shared" ref="H589:H652" si="29">SUM(D589:G589)/((1+$L$7)^(C589-C$11))</f>
        <v>0</v>
      </c>
      <c r="I589" s="119"/>
      <c r="J589" s="119"/>
      <c r="K589" s="119"/>
      <c r="L589" s="119"/>
      <c r="M589" s="119"/>
      <c r="N589" s="119"/>
      <c r="O589" s="119"/>
      <c r="P589" s="119"/>
      <c r="Q589" s="44" t="s">
        <v>479</v>
      </c>
      <c r="R589" s="19" t="s">
        <v>442</v>
      </c>
      <c r="S589" s="49">
        <v>2032</v>
      </c>
      <c r="T589" s="46">
        <v>0</v>
      </c>
      <c r="U589" s="47">
        <v>0</v>
      </c>
      <c r="V589" s="47">
        <v>142.53609093811519</v>
      </c>
      <c r="W589" s="48">
        <v>0</v>
      </c>
      <c r="X589" s="57">
        <f t="shared" si="28"/>
        <v>142.53609093811519</v>
      </c>
      <c r="Y589" s="119"/>
    </row>
    <row r="590" spans="1:25" ht="30">
      <c r="A590" s="44" t="s">
        <v>479</v>
      </c>
      <c r="B590" s="19" t="s">
        <v>442</v>
      </c>
      <c r="C590" s="49">
        <v>2033</v>
      </c>
      <c r="D590" s="46">
        <v>0</v>
      </c>
      <c r="E590" s="47">
        <v>0</v>
      </c>
      <c r="F590" s="47">
        <v>0</v>
      </c>
      <c r="G590" s="48">
        <v>0</v>
      </c>
      <c r="H590" s="57">
        <f t="shared" si="29"/>
        <v>0</v>
      </c>
      <c r="I590" s="119"/>
      <c r="J590" s="119"/>
      <c r="K590" s="119"/>
      <c r="L590" s="119"/>
      <c r="M590" s="119"/>
      <c r="N590" s="119"/>
      <c r="O590" s="119"/>
      <c r="P590" s="119"/>
      <c r="Q590" s="44" t="s">
        <v>479</v>
      </c>
      <c r="R590" s="19" t="s">
        <v>442</v>
      </c>
      <c r="S590" s="49">
        <v>2033</v>
      </c>
      <c r="T590" s="46">
        <v>0</v>
      </c>
      <c r="U590" s="47">
        <v>0</v>
      </c>
      <c r="V590" s="47">
        <v>145.3868127568775</v>
      </c>
      <c r="W590" s="48">
        <v>0</v>
      </c>
      <c r="X590" s="57">
        <f t="shared" si="28"/>
        <v>145.3868127568775</v>
      </c>
      <c r="Y590" s="119"/>
    </row>
    <row r="591" spans="1:25" ht="30">
      <c r="A591" s="44" t="s">
        <v>479</v>
      </c>
      <c r="B591" s="19" t="s">
        <v>442</v>
      </c>
      <c r="C591" s="49">
        <v>2034</v>
      </c>
      <c r="D591" s="46">
        <v>0</v>
      </c>
      <c r="E591" s="47">
        <v>0</v>
      </c>
      <c r="F591" s="47">
        <v>0</v>
      </c>
      <c r="G591" s="48">
        <v>0</v>
      </c>
      <c r="H591" s="57">
        <f t="shared" si="29"/>
        <v>0</v>
      </c>
      <c r="I591" s="119"/>
      <c r="J591" s="119"/>
      <c r="K591" s="119"/>
      <c r="L591" s="119"/>
      <c r="M591" s="119"/>
      <c r="N591" s="119"/>
      <c r="O591" s="119"/>
      <c r="P591" s="119"/>
      <c r="Q591" s="44" t="s">
        <v>479</v>
      </c>
      <c r="R591" s="19" t="s">
        <v>442</v>
      </c>
      <c r="S591" s="49">
        <v>2034</v>
      </c>
      <c r="T591" s="46">
        <v>0</v>
      </c>
      <c r="U591" s="47">
        <v>0</v>
      </c>
      <c r="V591" s="47">
        <v>148.29454901201507</v>
      </c>
      <c r="W591" s="48">
        <v>0</v>
      </c>
      <c r="X591" s="57">
        <f t="shared" si="28"/>
        <v>148.29454901201507</v>
      </c>
      <c r="Y591" s="119"/>
    </row>
    <row r="592" spans="1:25" ht="30">
      <c r="A592" s="44" t="s">
        <v>479</v>
      </c>
      <c r="B592" s="19" t="s">
        <v>442</v>
      </c>
      <c r="C592" s="49">
        <v>2035</v>
      </c>
      <c r="D592" s="46">
        <v>0</v>
      </c>
      <c r="E592" s="47">
        <v>0</v>
      </c>
      <c r="F592" s="47">
        <v>0</v>
      </c>
      <c r="G592" s="48">
        <v>0</v>
      </c>
      <c r="H592" s="57">
        <f t="shared" si="29"/>
        <v>0</v>
      </c>
      <c r="I592" s="119"/>
      <c r="J592" s="119"/>
      <c r="K592" s="119"/>
      <c r="L592" s="119"/>
      <c r="M592" s="119"/>
      <c r="N592" s="119"/>
      <c r="O592" s="119"/>
      <c r="P592" s="119"/>
      <c r="Q592" s="44" t="s">
        <v>479</v>
      </c>
      <c r="R592" s="19" t="s">
        <v>442</v>
      </c>
      <c r="S592" s="49">
        <v>2035</v>
      </c>
      <c r="T592" s="46">
        <v>0</v>
      </c>
      <c r="U592" s="47">
        <v>0</v>
      </c>
      <c r="V592" s="47">
        <v>151.26043999225539</v>
      </c>
      <c r="W592" s="48">
        <v>0</v>
      </c>
      <c r="X592" s="57">
        <f t="shared" si="28"/>
        <v>151.26043999225539</v>
      </c>
      <c r="Y592" s="119">
        <f>NPV($Y$10,X583:X592)/((1-(1+$Y$10)^-10)/$Y$10)</f>
        <v>79.041777039355594</v>
      </c>
    </row>
    <row r="593" spans="1:25">
      <c r="A593" s="44"/>
      <c r="B593" s="19" t="s">
        <v>401</v>
      </c>
      <c r="C593" s="49"/>
      <c r="D593" s="46" t="s">
        <v>401</v>
      </c>
      <c r="E593" s="47" t="s">
        <v>401</v>
      </c>
      <c r="F593" s="47" t="s">
        <v>401</v>
      </c>
      <c r="G593" s="48" t="s">
        <v>401</v>
      </c>
      <c r="H593" s="57">
        <f t="shared" si="29"/>
        <v>0</v>
      </c>
      <c r="I593" s="119"/>
      <c r="J593" s="119"/>
      <c r="K593" s="119"/>
      <c r="L593" s="119"/>
      <c r="M593" s="119"/>
      <c r="N593" s="119"/>
      <c r="O593" s="119"/>
      <c r="P593" s="119"/>
      <c r="Q593" s="44"/>
      <c r="R593" s="19" t="s">
        <v>401</v>
      </c>
      <c r="S593" s="49"/>
      <c r="T593" s="46"/>
      <c r="U593" s="47"/>
      <c r="V593" s="47"/>
      <c r="W593" s="48"/>
      <c r="X593" s="57">
        <f t="shared" si="28"/>
        <v>0</v>
      </c>
      <c r="Y593" s="119"/>
    </row>
    <row r="594" spans="1:25" ht="30">
      <c r="A594" s="44" t="s">
        <v>479</v>
      </c>
      <c r="B594" s="19" t="s">
        <v>443</v>
      </c>
      <c r="C594" s="49">
        <v>2026</v>
      </c>
      <c r="D594" s="46">
        <v>0</v>
      </c>
      <c r="E594" s="47">
        <v>0</v>
      </c>
      <c r="F594" s="47">
        <v>0</v>
      </c>
      <c r="G594" s="48">
        <v>0</v>
      </c>
      <c r="H594" s="57">
        <f t="shared" si="29"/>
        <v>0</v>
      </c>
      <c r="I594" s="119"/>
      <c r="J594" s="119"/>
      <c r="K594" s="119"/>
      <c r="L594" s="119"/>
      <c r="M594" s="119"/>
      <c r="N594" s="119"/>
      <c r="O594" s="119"/>
      <c r="P594" s="119"/>
      <c r="Q594" s="44" t="s">
        <v>479</v>
      </c>
      <c r="R594" s="19" t="s">
        <v>443</v>
      </c>
      <c r="S594" s="49">
        <v>2026</v>
      </c>
      <c r="T594" s="46">
        <v>0</v>
      </c>
      <c r="U594" s="47">
        <v>0</v>
      </c>
      <c r="V594" s="47">
        <v>0</v>
      </c>
      <c r="W594" s="48">
        <v>0</v>
      </c>
      <c r="X594" s="57">
        <f t="shared" si="28"/>
        <v>0</v>
      </c>
      <c r="Y594" s="119"/>
    </row>
    <row r="595" spans="1:25" ht="30">
      <c r="A595" s="44" t="s">
        <v>479</v>
      </c>
      <c r="B595" s="19" t="s">
        <v>443</v>
      </c>
      <c r="C595" s="49">
        <v>2027</v>
      </c>
      <c r="D595" s="46">
        <v>0</v>
      </c>
      <c r="E595" s="47">
        <v>0</v>
      </c>
      <c r="F595" s="47">
        <v>0</v>
      </c>
      <c r="G595" s="48">
        <v>0</v>
      </c>
      <c r="H595" s="57">
        <f t="shared" si="29"/>
        <v>0</v>
      </c>
      <c r="I595" s="119"/>
      <c r="J595" s="119"/>
      <c r="K595" s="119"/>
      <c r="L595" s="119"/>
      <c r="M595" s="119"/>
      <c r="N595" s="119"/>
      <c r="O595" s="119"/>
      <c r="P595" s="119"/>
      <c r="Q595" s="44" t="s">
        <v>479</v>
      </c>
      <c r="R595" s="19" t="s">
        <v>443</v>
      </c>
      <c r="S595" s="49">
        <v>2027</v>
      </c>
      <c r="T595" s="46">
        <v>0</v>
      </c>
      <c r="U595" s="47">
        <v>0</v>
      </c>
      <c r="V595" s="47">
        <v>0</v>
      </c>
      <c r="W595" s="48">
        <v>0</v>
      </c>
      <c r="X595" s="57">
        <f t="shared" si="28"/>
        <v>0</v>
      </c>
      <c r="Y595" s="119"/>
    </row>
    <row r="596" spans="1:25" ht="30">
      <c r="A596" s="44" t="s">
        <v>479</v>
      </c>
      <c r="B596" s="19" t="s">
        <v>443</v>
      </c>
      <c r="C596" s="49">
        <v>2028</v>
      </c>
      <c r="D596" s="46">
        <v>0</v>
      </c>
      <c r="E596" s="47">
        <v>0</v>
      </c>
      <c r="F596" s="47">
        <v>0</v>
      </c>
      <c r="G596" s="48">
        <v>0</v>
      </c>
      <c r="H596" s="57">
        <f t="shared" si="29"/>
        <v>0</v>
      </c>
      <c r="I596" s="119"/>
      <c r="J596" s="119"/>
      <c r="K596" s="119"/>
      <c r="L596" s="119"/>
      <c r="M596" s="119"/>
      <c r="N596" s="119"/>
      <c r="O596" s="119"/>
      <c r="P596" s="119"/>
      <c r="Q596" s="44" t="s">
        <v>479</v>
      </c>
      <c r="R596" s="19" t="s">
        <v>443</v>
      </c>
      <c r="S596" s="49">
        <v>2028</v>
      </c>
      <c r="T596" s="46">
        <v>0</v>
      </c>
      <c r="U596" s="47">
        <v>0</v>
      </c>
      <c r="V596" s="47">
        <v>0</v>
      </c>
      <c r="W596" s="48">
        <v>0</v>
      </c>
      <c r="X596" s="57">
        <f t="shared" si="28"/>
        <v>0</v>
      </c>
      <c r="Y596" s="119"/>
    </row>
    <row r="597" spans="1:25" ht="30">
      <c r="A597" s="44" t="s">
        <v>479</v>
      </c>
      <c r="B597" s="19" t="s">
        <v>443</v>
      </c>
      <c r="C597" s="49">
        <v>2029</v>
      </c>
      <c r="D597" s="46">
        <v>0</v>
      </c>
      <c r="E597" s="47">
        <v>0</v>
      </c>
      <c r="F597" s="47">
        <v>0</v>
      </c>
      <c r="G597" s="48">
        <v>0</v>
      </c>
      <c r="H597" s="57">
        <f t="shared" si="29"/>
        <v>0</v>
      </c>
      <c r="I597" s="119"/>
      <c r="J597" s="119"/>
      <c r="K597" s="119"/>
      <c r="L597" s="119"/>
      <c r="M597" s="119"/>
      <c r="N597" s="119"/>
      <c r="O597" s="119"/>
      <c r="P597" s="119"/>
      <c r="Q597" s="44" t="s">
        <v>479</v>
      </c>
      <c r="R597" s="19" t="s">
        <v>443</v>
      </c>
      <c r="S597" s="49">
        <v>2029</v>
      </c>
      <c r="T597" s="46">
        <v>0</v>
      </c>
      <c r="U597" s="47">
        <v>0</v>
      </c>
      <c r="V597" s="47">
        <v>0</v>
      </c>
      <c r="W597" s="48">
        <v>0</v>
      </c>
      <c r="X597" s="57">
        <f t="shared" si="28"/>
        <v>0</v>
      </c>
      <c r="Y597" s="119"/>
    </row>
    <row r="598" spans="1:25" ht="30">
      <c r="A598" s="44" t="s">
        <v>479</v>
      </c>
      <c r="B598" s="19" t="s">
        <v>443</v>
      </c>
      <c r="C598" s="49">
        <v>2030</v>
      </c>
      <c r="D598" s="46">
        <v>0</v>
      </c>
      <c r="E598" s="47">
        <v>0</v>
      </c>
      <c r="F598" s="47">
        <v>0</v>
      </c>
      <c r="G598" s="48">
        <v>0</v>
      </c>
      <c r="H598" s="57">
        <f t="shared" si="29"/>
        <v>0</v>
      </c>
      <c r="I598" s="119"/>
      <c r="J598" s="119"/>
      <c r="K598" s="119"/>
      <c r="L598" s="119"/>
      <c r="M598" s="119"/>
      <c r="N598" s="119"/>
      <c r="O598" s="119"/>
      <c r="P598" s="119"/>
      <c r="Q598" s="44" t="s">
        <v>479</v>
      </c>
      <c r="R598" s="19" t="s">
        <v>443</v>
      </c>
      <c r="S598" s="49">
        <v>2030</v>
      </c>
      <c r="T598" s="46">
        <v>0</v>
      </c>
      <c r="U598" s="47">
        <v>0</v>
      </c>
      <c r="V598" s="47">
        <v>0</v>
      </c>
      <c r="W598" s="48">
        <v>0</v>
      </c>
      <c r="X598" s="57">
        <f t="shared" si="28"/>
        <v>0</v>
      </c>
      <c r="Y598" s="119"/>
    </row>
    <row r="599" spans="1:25" ht="30">
      <c r="A599" s="44" t="s">
        <v>479</v>
      </c>
      <c r="B599" s="19" t="s">
        <v>443</v>
      </c>
      <c r="C599" s="49">
        <v>2031</v>
      </c>
      <c r="D599" s="46">
        <v>0</v>
      </c>
      <c r="E599" s="47">
        <v>0</v>
      </c>
      <c r="F599" s="47">
        <v>0</v>
      </c>
      <c r="G599" s="48">
        <v>0</v>
      </c>
      <c r="H599" s="57">
        <f t="shared" si="29"/>
        <v>0</v>
      </c>
      <c r="I599" s="119"/>
      <c r="J599" s="119"/>
      <c r="K599" s="119"/>
      <c r="L599" s="119"/>
      <c r="M599" s="119"/>
      <c r="N599" s="119"/>
      <c r="O599" s="119"/>
      <c r="P599" s="119"/>
      <c r="Q599" s="44" t="s">
        <v>479</v>
      </c>
      <c r="R599" s="19" t="s">
        <v>443</v>
      </c>
      <c r="S599" s="49">
        <v>2031</v>
      </c>
      <c r="T599" s="46">
        <v>0</v>
      </c>
      <c r="U599" s="47">
        <v>0</v>
      </c>
      <c r="V599" s="47">
        <v>0</v>
      </c>
      <c r="W599" s="48">
        <v>0</v>
      </c>
      <c r="X599" s="57">
        <f t="shared" si="28"/>
        <v>0</v>
      </c>
      <c r="Y599" s="119"/>
    </row>
    <row r="600" spans="1:25" ht="30">
      <c r="A600" s="44" t="s">
        <v>479</v>
      </c>
      <c r="B600" s="19" t="s">
        <v>443</v>
      </c>
      <c r="C600" s="49">
        <v>2032</v>
      </c>
      <c r="D600" s="46">
        <v>0</v>
      </c>
      <c r="E600" s="47">
        <v>0</v>
      </c>
      <c r="F600" s="47">
        <v>0</v>
      </c>
      <c r="G600" s="48">
        <v>0</v>
      </c>
      <c r="H600" s="57">
        <f t="shared" si="29"/>
        <v>0</v>
      </c>
      <c r="I600" s="119"/>
      <c r="J600" s="119"/>
      <c r="K600" s="119"/>
      <c r="L600" s="119"/>
      <c r="M600" s="119"/>
      <c r="N600" s="119"/>
      <c r="O600" s="119"/>
      <c r="P600" s="119"/>
      <c r="Q600" s="44" t="s">
        <v>479</v>
      </c>
      <c r="R600" s="19" t="s">
        <v>443</v>
      </c>
      <c r="S600" s="49">
        <v>2032</v>
      </c>
      <c r="T600" s="46">
        <v>0</v>
      </c>
      <c r="U600" s="47">
        <v>0</v>
      </c>
      <c r="V600" s="47">
        <v>0</v>
      </c>
      <c r="W600" s="48">
        <v>0</v>
      </c>
      <c r="X600" s="57">
        <f t="shared" si="28"/>
        <v>0</v>
      </c>
      <c r="Y600" s="119"/>
    </row>
    <row r="601" spans="1:25" ht="30">
      <c r="A601" s="44" t="s">
        <v>479</v>
      </c>
      <c r="B601" s="19" t="s">
        <v>443</v>
      </c>
      <c r="C601" s="49">
        <v>2033</v>
      </c>
      <c r="D601" s="46">
        <v>0</v>
      </c>
      <c r="E601" s="47">
        <v>0</v>
      </c>
      <c r="F601" s="47">
        <v>0</v>
      </c>
      <c r="G601" s="48">
        <v>0</v>
      </c>
      <c r="H601" s="57">
        <f t="shared" si="29"/>
        <v>0</v>
      </c>
      <c r="I601" s="119"/>
      <c r="J601" s="119"/>
      <c r="K601" s="119"/>
      <c r="L601" s="119"/>
      <c r="M601" s="119"/>
      <c r="N601" s="119"/>
      <c r="O601" s="119"/>
      <c r="P601" s="119"/>
      <c r="Q601" s="44" t="s">
        <v>479</v>
      </c>
      <c r="R601" s="19" t="s">
        <v>443</v>
      </c>
      <c r="S601" s="49">
        <v>2033</v>
      </c>
      <c r="T601" s="46">
        <v>0</v>
      </c>
      <c r="U601" s="47">
        <v>0</v>
      </c>
      <c r="V601" s="47">
        <v>0</v>
      </c>
      <c r="W601" s="48">
        <v>0</v>
      </c>
      <c r="X601" s="57">
        <f t="shared" si="28"/>
        <v>0</v>
      </c>
      <c r="Y601" s="119"/>
    </row>
    <row r="602" spans="1:25" ht="30">
      <c r="A602" s="44" t="s">
        <v>479</v>
      </c>
      <c r="B602" s="19" t="s">
        <v>443</v>
      </c>
      <c r="C602" s="49">
        <v>2034</v>
      </c>
      <c r="D602" s="46">
        <v>60.022094856230368</v>
      </c>
      <c r="E602" s="47">
        <v>0</v>
      </c>
      <c r="F602" s="47">
        <v>0</v>
      </c>
      <c r="G602" s="48">
        <v>0</v>
      </c>
      <c r="H602" s="57">
        <f t="shared" si="29"/>
        <v>34.99877047270644</v>
      </c>
      <c r="I602" s="119"/>
      <c r="J602" s="119"/>
      <c r="K602" s="119"/>
      <c r="L602" s="119"/>
      <c r="M602" s="119"/>
      <c r="N602" s="119"/>
      <c r="O602" s="119"/>
      <c r="P602" s="119"/>
      <c r="Q602" s="44" t="s">
        <v>479</v>
      </c>
      <c r="R602" s="19" t="s">
        <v>443</v>
      </c>
      <c r="S602" s="49">
        <v>2034</v>
      </c>
      <c r="T602" s="46">
        <v>60.022094856230368</v>
      </c>
      <c r="U602" s="47">
        <v>0</v>
      </c>
      <c r="V602" s="47">
        <v>0</v>
      </c>
      <c r="W602" s="48">
        <v>0</v>
      </c>
      <c r="X602" s="57">
        <f t="shared" si="28"/>
        <v>60.022094856230368</v>
      </c>
      <c r="Y602" s="119"/>
    </row>
    <row r="603" spans="1:25" ht="30">
      <c r="A603" s="44" t="s">
        <v>479</v>
      </c>
      <c r="B603" s="19" t="s">
        <v>443</v>
      </c>
      <c r="C603" s="49">
        <v>2035</v>
      </c>
      <c r="D603" s="46">
        <v>79.363583558292007</v>
      </c>
      <c r="E603" s="47">
        <v>0</v>
      </c>
      <c r="F603" s="47">
        <v>0</v>
      </c>
      <c r="G603" s="48">
        <v>0</v>
      </c>
      <c r="H603" s="57">
        <f t="shared" si="29"/>
        <v>43.259412114591754</v>
      </c>
      <c r="I603" s="119"/>
      <c r="J603" s="119"/>
      <c r="K603" s="119"/>
      <c r="L603" s="119"/>
      <c r="M603" s="119"/>
      <c r="N603" s="119"/>
      <c r="O603" s="119"/>
      <c r="P603" s="119"/>
      <c r="Q603" s="44" t="s">
        <v>479</v>
      </c>
      <c r="R603" s="19" t="s">
        <v>443</v>
      </c>
      <c r="S603" s="49">
        <v>2035</v>
      </c>
      <c r="T603" s="46">
        <v>140.58612031164699</v>
      </c>
      <c r="U603" s="47">
        <v>0</v>
      </c>
      <c r="V603" s="47">
        <v>0</v>
      </c>
      <c r="W603" s="48">
        <v>0</v>
      </c>
      <c r="X603" s="57">
        <f t="shared" si="28"/>
        <v>140.58612031164699</v>
      </c>
      <c r="Y603" s="119">
        <f>NPV($Y$10,X594:X603)/((1-(1+$Y$10)^-10)/$Y$10)</f>
        <v>14.840044960610006</v>
      </c>
    </row>
    <row r="604" spans="1:25">
      <c r="A604" s="44"/>
      <c r="B604" s="19" t="s">
        <v>401</v>
      </c>
      <c r="C604" s="49"/>
      <c r="D604" s="42" t="s">
        <v>401</v>
      </c>
      <c r="E604" s="19" t="s">
        <v>401</v>
      </c>
      <c r="F604" s="19" t="s">
        <v>401</v>
      </c>
      <c r="G604" s="43" t="s">
        <v>401</v>
      </c>
      <c r="H604" s="57">
        <f t="shared" si="29"/>
        <v>0</v>
      </c>
      <c r="I604" s="119"/>
      <c r="J604" s="119"/>
      <c r="K604" s="119"/>
      <c r="L604" s="119"/>
      <c r="M604" s="119"/>
      <c r="N604" s="119"/>
      <c r="O604" s="119"/>
      <c r="P604" s="119"/>
      <c r="Q604" s="44"/>
      <c r="R604" s="19" t="s">
        <v>401</v>
      </c>
      <c r="S604" s="49"/>
      <c r="T604" s="42"/>
      <c r="U604" s="19"/>
      <c r="V604" s="19"/>
      <c r="W604" s="43"/>
      <c r="X604" s="57">
        <f t="shared" si="28"/>
        <v>0</v>
      </c>
      <c r="Y604" s="119"/>
    </row>
    <row r="605" spans="1:25" ht="30">
      <c r="A605" s="44" t="s">
        <v>479</v>
      </c>
      <c r="B605" s="19" t="s">
        <v>444</v>
      </c>
      <c r="C605" s="49">
        <v>2026</v>
      </c>
      <c r="D605" s="46">
        <v>0</v>
      </c>
      <c r="E605" s="47">
        <v>0</v>
      </c>
      <c r="F605" s="47">
        <v>0</v>
      </c>
      <c r="G605" s="48">
        <v>0</v>
      </c>
      <c r="H605" s="57">
        <f t="shared" si="29"/>
        <v>0</v>
      </c>
      <c r="I605" s="119"/>
      <c r="J605" s="119"/>
      <c r="K605" s="119"/>
      <c r="L605" s="119"/>
      <c r="M605" s="119"/>
      <c r="N605" s="119"/>
      <c r="O605" s="119"/>
      <c r="P605" s="119"/>
      <c r="Q605" s="44" t="s">
        <v>479</v>
      </c>
      <c r="R605" s="19" t="s">
        <v>444</v>
      </c>
      <c r="S605" s="49">
        <v>2026</v>
      </c>
      <c r="T605" s="46">
        <v>0</v>
      </c>
      <c r="U605" s="47">
        <v>0</v>
      </c>
      <c r="V605" s="47">
        <v>0</v>
      </c>
      <c r="W605" s="48">
        <v>0</v>
      </c>
      <c r="X605" s="57">
        <f t="shared" si="28"/>
        <v>0</v>
      </c>
      <c r="Y605" s="119"/>
    </row>
    <row r="606" spans="1:25" ht="30">
      <c r="A606" s="44" t="s">
        <v>479</v>
      </c>
      <c r="B606" s="19" t="s">
        <v>444</v>
      </c>
      <c r="C606" s="49">
        <v>2027</v>
      </c>
      <c r="D606" s="46">
        <v>0</v>
      </c>
      <c r="E606" s="47">
        <v>0</v>
      </c>
      <c r="F606" s="47">
        <v>0</v>
      </c>
      <c r="G606" s="48">
        <v>0</v>
      </c>
      <c r="H606" s="57">
        <f t="shared" si="29"/>
        <v>0</v>
      </c>
      <c r="I606" s="119"/>
      <c r="J606" s="119"/>
      <c r="K606" s="119"/>
      <c r="L606" s="119"/>
      <c r="M606" s="119"/>
      <c r="N606" s="119"/>
      <c r="O606" s="119"/>
      <c r="P606" s="119"/>
      <c r="Q606" s="44" t="s">
        <v>479</v>
      </c>
      <c r="R606" s="19" t="s">
        <v>444</v>
      </c>
      <c r="S606" s="49">
        <v>2027</v>
      </c>
      <c r="T606" s="46">
        <v>0</v>
      </c>
      <c r="U606" s="47">
        <v>0</v>
      </c>
      <c r="V606" s="47">
        <v>0</v>
      </c>
      <c r="W606" s="48">
        <v>0</v>
      </c>
      <c r="X606" s="57">
        <f t="shared" si="28"/>
        <v>0</v>
      </c>
      <c r="Y606" s="119"/>
    </row>
    <row r="607" spans="1:25" ht="30">
      <c r="A607" s="44" t="s">
        <v>479</v>
      </c>
      <c r="B607" s="19" t="s">
        <v>444</v>
      </c>
      <c r="C607" s="49">
        <v>2028</v>
      </c>
      <c r="D607" s="46">
        <v>0</v>
      </c>
      <c r="E607" s="47">
        <v>0</v>
      </c>
      <c r="F607" s="47">
        <v>0</v>
      </c>
      <c r="G607" s="48">
        <v>0</v>
      </c>
      <c r="H607" s="57">
        <f t="shared" si="29"/>
        <v>0</v>
      </c>
      <c r="I607" s="119"/>
      <c r="J607" s="119"/>
      <c r="K607" s="119"/>
      <c r="L607" s="119"/>
      <c r="M607" s="119"/>
      <c r="N607" s="119"/>
      <c r="O607" s="119"/>
      <c r="P607" s="119"/>
      <c r="Q607" s="44" t="s">
        <v>479</v>
      </c>
      <c r="R607" s="19" t="s">
        <v>444</v>
      </c>
      <c r="S607" s="49">
        <v>2028</v>
      </c>
      <c r="T607" s="46">
        <v>0</v>
      </c>
      <c r="U607" s="47">
        <v>0</v>
      </c>
      <c r="V607" s="47">
        <v>0</v>
      </c>
      <c r="W607" s="48">
        <v>0</v>
      </c>
      <c r="X607" s="57">
        <f t="shared" si="28"/>
        <v>0</v>
      </c>
      <c r="Y607" s="119"/>
    </row>
    <row r="608" spans="1:25" ht="30">
      <c r="A608" s="44" t="s">
        <v>479</v>
      </c>
      <c r="B608" s="19" t="s">
        <v>444</v>
      </c>
      <c r="C608" s="49">
        <v>2029</v>
      </c>
      <c r="D608" s="46">
        <v>0</v>
      </c>
      <c r="E608" s="47">
        <v>0</v>
      </c>
      <c r="F608" s="47">
        <v>0</v>
      </c>
      <c r="G608" s="48">
        <v>0</v>
      </c>
      <c r="H608" s="57">
        <f t="shared" si="29"/>
        <v>0</v>
      </c>
      <c r="I608" s="119"/>
      <c r="J608" s="119"/>
      <c r="K608" s="119"/>
      <c r="L608" s="119"/>
      <c r="M608" s="119"/>
      <c r="N608" s="119"/>
      <c r="O608" s="119"/>
      <c r="P608" s="119"/>
      <c r="Q608" s="44" t="s">
        <v>479</v>
      </c>
      <c r="R608" s="19" t="s">
        <v>444</v>
      </c>
      <c r="S608" s="49">
        <v>2029</v>
      </c>
      <c r="T608" s="46">
        <v>0</v>
      </c>
      <c r="U608" s="47">
        <v>0</v>
      </c>
      <c r="V608" s="47">
        <v>0</v>
      </c>
      <c r="W608" s="48">
        <v>0</v>
      </c>
      <c r="X608" s="57">
        <f t="shared" si="28"/>
        <v>0</v>
      </c>
      <c r="Y608" s="119"/>
    </row>
    <row r="609" spans="1:25" ht="30">
      <c r="A609" s="44" t="s">
        <v>479</v>
      </c>
      <c r="B609" s="19" t="s">
        <v>444</v>
      </c>
      <c r="C609" s="49">
        <v>2030</v>
      </c>
      <c r="D609" s="46">
        <v>0</v>
      </c>
      <c r="E609" s="47">
        <v>0</v>
      </c>
      <c r="F609" s="47">
        <v>0</v>
      </c>
      <c r="G609" s="48">
        <v>0</v>
      </c>
      <c r="H609" s="57">
        <f t="shared" si="29"/>
        <v>0</v>
      </c>
      <c r="I609" s="119"/>
      <c r="J609" s="119"/>
      <c r="K609" s="119"/>
      <c r="L609" s="119"/>
      <c r="M609" s="119"/>
      <c r="N609" s="119"/>
      <c r="O609" s="119"/>
      <c r="P609" s="119"/>
      <c r="Q609" s="44" t="s">
        <v>479</v>
      </c>
      <c r="R609" s="19" t="s">
        <v>444</v>
      </c>
      <c r="S609" s="49">
        <v>2030</v>
      </c>
      <c r="T609" s="46">
        <v>0</v>
      </c>
      <c r="U609" s="47">
        <v>0</v>
      </c>
      <c r="V609" s="47">
        <v>0</v>
      </c>
      <c r="W609" s="48">
        <v>0</v>
      </c>
      <c r="X609" s="57">
        <f t="shared" si="28"/>
        <v>0</v>
      </c>
      <c r="Y609" s="119"/>
    </row>
    <row r="610" spans="1:25" ht="30">
      <c r="A610" s="44" t="s">
        <v>479</v>
      </c>
      <c r="B610" s="19" t="s">
        <v>444</v>
      </c>
      <c r="C610" s="49">
        <v>2031</v>
      </c>
      <c r="D610" s="46">
        <v>54.563003282346699</v>
      </c>
      <c r="E610" s="47">
        <v>0</v>
      </c>
      <c r="F610" s="47">
        <v>0</v>
      </c>
      <c r="G610" s="48">
        <v>0</v>
      </c>
      <c r="H610" s="57">
        <f t="shared" si="29"/>
        <v>38.948146165394292</v>
      </c>
      <c r="I610" s="119"/>
      <c r="J610" s="119"/>
      <c r="K610" s="119"/>
      <c r="L610" s="119"/>
      <c r="M610" s="119"/>
      <c r="N610" s="119"/>
      <c r="O610" s="119"/>
      <c r="P610" s="119"/>
      <c r="Q610" s="44" t="s">
        <v>479</v>
      </c>
      <c r="R610" s="19" t="s">
        <v>444</v>
      </c>
      <c r="S610" s="49">
        <v>2031</v>
      </c>
      <c r="T610" s="46">
        <v>54.563003282346699</v>
      </c>
      <c r="U610" s="47">
        <v>0</v>
      </c>
      <c r="V610" s="47">
        <v>0</v>
      </c>
      <c r="W610" s="48">
        <v>0</v>
      </c>
      <c r="X610" s="57">
        <f t="shared" si="28"/>
        <v>54.563003282346699</v>
      </c>
      <c r="Y610" s="119"/>
    </row>
    <row r="611" spans="1:25" ht="30">
      <c r="A611" s="44" t="s">
        <v>479</v>
      </c>
      <c r="B611" s="19" t="s">
        <v>444</v>
      </c>
      <c r="C611" s="49">
        <v>2032</v>
      </c>
      <c r="D611" s="46">
        <v>50.778269869177912</v>
      </c>
      <c r="E611" s="47">
        <v>0</v>
      </c>
      <c r="F611" s="47">
        <v>0</v>
      </c>
      <c r="G611" s="48">
        <v>0</v>
      </c>
      <c r="H611" s="57">
        <f t="shared" si="29"/>
        <v>33.883177310902504</v>
      </c>
      <c r="I611" s="119"/>
      <c r="J611" s="119"/>
      <c r="K611" s="119"/>
      <c r="L611" s="119"/>
      <c r="M611" s="119"/>
      <c r="N611" s="119"/>
      <c r="O611" s="119"/>
      <c r="P611" s="119"/>
      <c r="Q611" s="44" t="s">
        <v>479</v>
      </c>
      <c r="R611" s="19" t="s">
        <v>444</v>
      </c>
      <c r="S611" s="49">
        <v>2032</v>
      </c>
      <c r="T611" s="46">
        <v>106.43253321717154</v>
      </c>
      <c r="U611" s="47">
        <v>0</v>
      </c>
      <c r="V611" s="47">
        <v>0</v>
      </c>
      <c r="W611" s="48">
        <v>0</v>
      </c>
      <c r="X611" s="57">
        <f t="shared" si="28"/>
        <v>106.43253321717154</v>
      </c>
      <c r="Y611" s="119"/>
    </row>
    <row r="612" spans="1:25" ht="30">
      <c r="A612" s="44" t="s">
        <v>479</v>
      </c>
      <c r="B612" s="19" t="s">
        <v>444</v>
      </c>
      <c r="C612" s="49">
        <v>2033</v>
      </c>
      <c r="D612" s="46">
        <v>47.467417498647272</v>
      </c>
      <c r="E612" s="47">
        <v>0</v>
      </c>
      <c r="F612" s="47">
        <v>0</v>
      </c>
      <c r="G612" s="48">
        <v>0</v>
      </c>
      <c r="H612" s="57">
        <f t="shared" si="29"/>
        <v>29.608713531397687</v>
      </c>
      <c r="I612" s="119"/>
      <c r="J612" s="119"/>
      <c r="K612" s="119"/>
      <c r="L612" s="119"/>
      <c r="M612" s="119"/>
      <c r="N612" s="119"/>
      <c r="O612" s="119"/>
      <c r="P612" s="119"/>
      <c r="Q612" s="44" t="s">
        <v>479</v>
      </c>
      <c r="R612" s="19" t="s">
        <v>444</v>
      </c>
      <c r="S612" s="49">
        <v>2033</v>
      </c>
      <c r="T612" s="46">
        <v>156.02860138016226</v>
      </c>
      <c r="U612" s="47">
        <v>0</v>
      </c>
      <c r="V612" s="47">
        <v>0</v>
      </c>
      <c r="W612" s="48">
        <v>0</v>
      </c>
      <c r="X612" s="57">
        <f t="shared" si="28"/>
        <v>156.02860138016226</v>
      </c>
      <c r="Y612" s="119"/>
    </row>
    <row r="613" spans="1:25" ht="30">
      <c r="A613" s="44" t="s">
        <v>479</v>
      </c>
      <c r="B613" s="19" t="s">
        <v>444</v>
      </c>
      <c r="C613" s="49">
        <v>2034</v>
      </c>
      <c r="D613" s="46">
        <v>0</v>
      </c>
      <c r="E613" s="47">
        <v>0</v>
      </c>
      <c r="F613" s="47">
        <v>0</v>
      </c>
      <c r="G613" s="48">
        <v>0</v>
      </c>
      <c r="H613" s="57">
        <f t="shared" si="29"/>
        <v>0</v>
      </c>
      <c r="I613" s="119"/>
      <c r="J613" s="119"/>
      <c r="K613" s="119"/>
      <c r="L613" s="119"/>
      <c r="M613" s="119"/>
      <c r="N613" s="119"/>
      <c r="O613" s="119"/>
      <c r="P613" s="119"/>
      <c r="Q613" s="44" t="s">
        <v>479</v>
      </c>
      <c r="R613" s="19" t="s">
        <v>444</v>
      </c>
      <c r="S613" s="49">
        <v>2034</v>
      </c>
      <c r="T613" s="46">
        <v>159.14917340776552</v>
      </c>
      <c r="U613" s="47">
        <v>0</v>
      </c>
      <c r="V613" s="47">
        <v>0</v>
      </c>
      <c r="W613" s="48">
        <v>0</v>
      </c>
      <c r="X613" s="57">
        <f t="shared" si="28"/>
        <v>159.14917340776552</v>
      </c>
      <c r="Y613" s="119"/>
    </row>
    <row r="614" spans="1:25" ht="30">
      <c r="A614" s="44" t="s">
        <v>479</v>
      </c>
      <c r="B614" s="19" t="s">
        <v>444</v>
      </c>
      <c r="C614" s="49">
        <v>2035</v>
      </c>
      <c r="D614" s="46">
        <v>0</v>
      </c>
      <c r="E614" s="47">
        <v>0</v>
      </c>
      <c r="F614" s="47">
        <v>0</v>
      </c>
      <c r="G614" s="48">
        <v>0</v>
      </c>
      <c r="H614" s="57">
        <f t="shared" si="29"/>
        <v>0</v>
      </c>
      <c r="I614" s="119"/>
      <c r="J614" s="119"/>
      <c r="K614" s="119"/>
      <c r="L614" s="119"/>
      <c r="M614" s="119"/>
      <c r="N614" s="119"/>
      <c r="O614" s="119"/>
      <c r="P614" s="119"/>
      <c r="Q614" s="44" t="s">
        <v>479</v>
      </c>
      <c r="R614" s="19" t="s">
        <v>444</v>
      </c>
      <c r="S614" s="49">
        <v>2035</v>
      </c>
      <c r="T614" s="46">
        <v>162.33215687592082</v>
      </c>
      <c r="U614" s="47">
        <v>0</v>
      </c>
      <c r="V614" s="47">
        <v>0</v>
      </c>
      <c r="W614" s="48">
        <v>0</v>
      </c>
      <c r="X614" s="57">
        <f t="shared" si="28"/>
        <v>162.33215687592082</v>
      </c>
      <c r="Y614" s="119">
        <f>NPV($Y$10,X605:X614)/((1-(1+$Y$10)^-10)/$Y$10)</f>
        <v>51.657640517535143</v>
      </c>
    </row>
    <row r="615" spans="1:25">
      <c r="A615" s="44"/>
      <c r="B615" s="19" t="s">
        <v>401</v>
      </c>
      <c r="C615" s="49"/>
      <c r="D615" s="46" t="s">
        <v>401</v>
      </c>
      <c r="E615" s="47" t="s">
        <v>401</v>
      </c>
      <c r="F615" s="47" t="s">
        <v>401</v>
      </c>
      <c r="G615" s="48" t="s">
        <v>401</v>
      </c>
      <c r="H615" s="57">
        <f t="shared" si="29"/>
        <v>0</v>
      </c>
      <c r="I615" s="119"/>
      <c r="J615" s="119"/>
      <c r="K615" s="119"/>
      <c r="L615" s="119"/>
      <c r="M615" s="119"/>
      <c r="N615" s="119"/>
      <c r="O615" s="119"/>
      <c r="P615" s="119"/>
      <c r="Q615" s="44"/>
      <c r="R615" s="19" t="s">
        <v>401</v>
      </c>
      <c r="S615" s="49"/>
      <c r="T615" s="46"/>
      <c r="U615" s="47"/>
      <c r="V615" s="47"/>
      <c r="W615" s="48"/>
      <c r="X615" s="57">
        <f t="shared" si="28"/>
        <v>0</v>
      </c>
      <c r="Y615" s="119"/>
    </row>
    <row r="616" spans="1:25" ht="30">
      <c r="A616" s="44" t="s">
        <v>479</v>
      </c>
      <c r="B616" s="19" t="s">
        <v>445</v>
      </c>
      <c r="C616" s="49">
        <v>2026</v>
      </c>
      <c r="D616" s="46">
        <v>0</v>
      </c>
      <c r="E616" s="47">
        <v>0</v>
      </c>
      <c r="F616" s="47">
        <v>0</v>
      </c>
      <c r="G616" s="48">
        <v>0</v>
      </c>
      <c r="H616" s="57">
        <f t="shared" si="29"/>
        <v>0</v>
      </c>
      <c r="I616" s="119"/>
      <c r="J616" s="119"/>
      <c r="K616" s="119"/>
      <c r="L616" s="119"/>
      <c r="M616" s="119"/>
      <c r="N616" s="119"/>
      <c r="O616" s="119"/>
      <c r="P616" s="119"/>
      <c r="Q616" s="44" t="s">
        <v>479</v>
      </c>
      <c r="R616" s="19" t="s">
        <v>445</v>
      </c>
      <c r="S616" s="49">
        <v>2026</v>
      </c>
      <c r="T616" s="46">
        <v>0</v>
      </c>
      <c r="U616" s="47">
        <v>0</v>
      </c>
      <c r="V616" s="47">
        <v>0</v>
      </c>
      <c r="W616" s="48">
        <v>0</v>
      </c>
      <c r="X616" s="57">
        <f t="shared" si="28"/>
        <v>0</v>
      </c>
      <c r="Y616" s="119"/>
    </row>
    <row r="617" spans="1:25" ht="30">
      <c r="A617" s="44" t="s">
        <v>479</v>
      </c>
      <c r="B617" s="19" t="s">
        <v>445</v>
      </c>
      <c r="C617" s="49">
        <v>2027</v>
      </c>
      <c r="D617" s="46">
        <v>0</v>
      </c>
      <c r="E617" s="47">
        <v>0</v>
      </c>
      <c r="F617" s="47">
        <v>0</v>
      </c>
      <c r="G617" s="48">
        <v>0</v>
      </c>
      <c r="H617" s="57">
        <f t="shared" si="29"/>
        <v>0</v>
      </c>
      <c r="I617" s="119"/>
      <c r="J617" s="119"/>
      <c r="K617" s="119"/>
      <c r="L617" s="119"/>
      <c r="M617" s="119"/>
      <c r="N617" s="119"/>
      <c r="O617" s="119"/>
      <c r="P617" s="119"/>
      <c r="Q617" s="44" t="s">
        <v>479</v>
      </c>
      <c r="R617" s="19" t="s">
        <v>445</v>
      </c>
      <c r="S617" s="49">
        <v>2027</v>
      </c>
      <c r="T617" s="46">
        <v>0</v>
      </c>
      <c r="U617" s="47">
        <v>0</v>
      </c>
      <c r="V617" s="47">
        <v>0</v>
      </c>
      <c r="W617" s="48">
        <v>0</v>
      </c>
      <c r="X617" s="57">
        <f t="shared" si="28"/>
        <v>0</v>
      </c>
      <c r="Y617" s="119"/>
    </row>
    <row r="618" spans="1:25" ht="30">
      <c r="A618" s="44" t="s">
        <v>479</v>
      </c>
      <c r="B618" s="19" t="s">
        <v>445</v>
      </c>
      <c r="C618" s="49">
        <v>2028</v>
      </c>
      <c r="D618" s="46">
        <v>0</v>
      </c>
      <c r="E618" s="47">
        <v>0</v>
      </c>
      <c r="F618" s="47">
        <v>0</v>
      </c>
      <c r="G618" s="48">
        <v>0</v>
      </c>
      <c r="H618" s="57">
        <f t="shared" si="29"/>
        <v>0</v>
      </c>
      <c r="I618" s="119"/>
      <c r="J618" s="119"/>
      <c r="K618" s="119"/>
      <c r="L618" s="119"/>
      <c r="M618" s="119"/>
      <c r="N618" s="119"/>
      <c r="O618" s="119"/>
      <c r="P618" s="119"/>
      <c r="Q618" s="44" t="s">
        <v>479</v>
      </c>
      <c r="R618" s="19" t="s">
        <v>445</v>
      </c>
      <c r="S618" s="49">
        <v>2028</v>
      </c>
      <c r="T618" s="46">
        <v>0</v>
      </c>
      <c r="U618" s="47">
        <v>0</v>
      </c>
      <c r="V618" s="47">
        <v>0</v>
      </c>
      <c r="W618" s="48">
        <v>0</v>
      </c>
      <c r="X618" s="57">
        <f t="shared" si="28"/>
        <v>0</v>
      </c>
      <c r="Y618" s="119"/>
    </row>
    <row r="619" spans="1:25" ht="30">
      <c r="A619" s="44" t="s">
        <v>479</v>
      </c>
      <c r="B619" s="19" t="s">
        <v>445</v>
      </c>
      <c r="C619" s="49">
        <v>2029</v>
      </c>
      <c r="D619" s="46">
        <v>0</v>
      </c>
      <c r="E619" s="47">
        <v>0</v>
      </c>
      <c r="F619" s="47">
        <v>0</v>
      </c>
      <c r="G619" s="48">
        <v>0</v>
      </c>
      <c r="H619" s="57">
        <f t="shared" si="29"/>
        <v>0</v>
      </c>
      <c r="I619" s="119"/>
      <c r="J619" s="119"/>
      <c r="K619" s="119"/>
      <c r="L619" s="119"/>
      <c r="M619" s="119"/>
      <c r="N619" s="119"/>
      <c r="O619" s="119"/>
      <c r="P619" s="119"/>
      <c r="Q619" s="44" t="s">
        <v>479</v>
      </c>
      <c r="R619" s="19" t="s">
        <v>445</v>
      </c>
      <c r="S619" s="49">
        <v>2029</v>
      </c>
      <c r="T619" s="46">
        <v>0</v>
      </c>
      <c r="U619" s="47">
        <v>0</v>
      </c>
      <c r="V619" s="47">
        <v>0</v>
      </c>
      <c r="W619" s="48">
        <v>0</v>
      </c>
      <c r="X619" s="57">
        <f t="shared" si="28"/>
        <v>0</v>
      </c>
      <c r="Y619" s="119"/>
    </row>
    <row r="620" spans="1:25" ht="30">
      <c r="A620" s="44" t="s">
        <v>479</v>
      </c>
      <c r="B620" s="19" t="s">
        <v>445</v>
      </c>
      <c r="C620" s="49">
        <v>2030</v>
      </c>
      <c r="D620" s="46">
        <v>0</v>
      </c>
      <c r="E620" s="47">
        <v>0</v>
      </c>
      <c r="F620" s="47">
        <v>0</v>
      </c>
      <c r="G620" s="48">
        <v>0</v>
      </c>
      <c r="H620" s="57">
        <f t="shared" si="29"/>
        <v>0</v>
      </c>
      <c r="I620" s="119"/>
      <c r="J620" s="119"/>
      <c r="K620" s="119"/>
      <c r="L620" s="119"/>
      <c r="M620" s="119"/>
      <c r="N620" s="119"/>
      <c r="O620" s="119"/>
      <c r="P620" s="119"/>
      <c r="Q620" s="44" t="s">
        <v>479</v>
      </c>
      <c r="R620" s="19" t="s">
        <v>445</v>
      </c>
      <c r="S620" s="49">
        <v>2030</v>
      </c>
      <c r="T620" s="46">
        <v>0</v>
      </c>
      <c r="U620" s="47">
        <v>0</v>
      </c>
      <c r="V620" s="47">
        <v>0</v>
      </c>
      <c r="W620" s="48">
        <v>0</v>
      </c>
      <c r="X620" s="57">
        <f t="shared" si="28"/>
        <v>0</v>
      </c>
      <c r="Y620" s="119"/>
    </row>
    <row r="621" spans="1:25" ht="30">
      <c r="A621" s="44" t="s">
        <v>479</v>
      </c>
      <c r="B621" s="19" t="s">
        <v>445</v>
      </c>
      <c r="C621" s="49">
        <v>2031</v>
      </c>
      <c r="D621" s="46">
        <v>0</v>
      </c>
      <c r="E621" s="47">
        <v>0</v>
      </c>
      <c r="F621" s="47">
        <v>0</v>
      </c>
      <c r="G621" s="48">
        <v>0</v>
      </c>
      <c r="H621" s="57">
        <f t="shared" si="29"/>
        <v>0</v>
      </c>
      <c r="I621" s="119"/>
      <c r="J621" s="119"/>
      <c r="K621" s="119"/>
      <c r="L621" s="119"/>
      <c r="M621" s="119"/>
      <c r="N621" s="119"/>
      <c r="O621" s="119"/>
      <c r="P621" s="119"/>
      <c r="Q621" s="44" t="s">
        <v>479</v>
      </c>
      <c r="R621" s="19" t="s">
        <v>445</v>
      </c>
      <c r="S621" s="49">
        <v>2031</v>
      </c>
      <c r="T621" s="46">
        <v>0</v>
      </c>
      <c r="U621" s="47">
        <v>0</v>
      </c>
      <c r="V621" s="47">
        <v>0</v>
      </c>
      <c r="W621" s="48">
        <v>0</v>
      </c>
      <c r="X621" s="57">
        <f t="shared" si="28"/>
        <v>0</v>
      </c>
      <c r="Y621" s="119"/>
    </row>
    <row r="622" spans="1:25" ht="30">
      <c r="A622" s="44" t="s">
        <v>479</v>
      </c>
      <c r="B622" s="19" t="s">
        <v>445</v>
      </c>
      <c r="C622" s="49">
        <v>2032</v>
      </c>
      <c r="D622" s="46">
        <v>0</v>
      </c>
      <c r="E622" s="47">
        <v>39.47586608509647</v>
      </c>
      <c r="F622" s="47">
        <v>0</v>
      </c>
      <c r="G622" s="48">
        <v>0</v>
      </c>
      <c r="H622" s="57">
        <f t="shared" si="29"/>
        <v>26.341341946245819</v>
      </c>
      <c r="I622" s="119"/>
      <c r="J622" s="119"/>
      <c r="K622" s="119"/>
      <c r="L622" s="119"/>
      <c r="M622" s="119"/>
      <c r="N622" s="119"/>
      <c r="O622" s="119"/>
      <c r="P622" s="119"/>
      <c r="Q622" s="44" t="s">
        <v>479</v>
      </c>
      <c r="R622" s="19" t="s">
        <v>445</v>
      </c>
      <c r="S622" s="49">
        <v>2032</v>
      </c>
      <c r="T622" s="46">
        <v>0</v>
      </c>
      <c r="U622" s="47">
        <v>39.47586608509647</v>
      </c>
      <c r="V622" s="47">
        <v>0</v>
      </c>
      <c r="W622" s="48">
        <v>0</v>
      </c>
      <c r="X622" s="57">
        <f t="shared" si="28"/>
        <v>39.47586608509647</v>
      </c>
      <c r="Y622" s="119"/>
    </row>
    <row r="623" spans="1:25" ht="30">
      <c r="A623" s="44" t="s">
        <v>479</v>
      </c>
      <c r="B623" s="19" t="s">
        <v>445</v>
      </c>
      <c r="C623" s="49">
        <v>2033</v>
      </c>
      <c r="D623" s="46">
        <v>0</v>
      </c>
      <c r="E623" s="47">
        <v>36.901954741852279</v>
      </c>
      <c r="F623" s="47">
        <v>0</v>
      </c>
      <c r="G623" s="48">
        <v>0</v>
      </c>
      <c r="H623" s="57">
        <f t="shared" si="29"/>
        <v>23.018303170406185</v>
      </c>
      <c r="I623" s="119"/>
      <c r="J623" s="119"/>
      <c r="K623" s="119"/>
      <c r="L623" s="119"/>
      <c r="M623" s="119"/>
      <c r="N623" s="119"/>
      <c r="O623" s="119"/>
      <c r="P623" s="119"/>
      <c r="Q623" s="44" t="s">
        <v>479</v>
      </c>
      <c r="R623" s="19" t="s">
        <v>445</v>
      </c>
      <c r="S623" s="49">
        <v>2033</v>
      </c>
      <c r="T623" s="46">
        <v>0</v>
      </c>
      <c r="U623" s="47">
        <v>77.167338148650686</v>
      </c>
      <c r="V623" s="47">
        <v>0</v>
      </c>
      <c r="W623" s="48">
        <v>0</v>
      </c>
      <c r="X623" s="57">
        <f t="shared" si="28"/>
        <v>77.167338148650686</v>
      </c>
      <c r="Y623" s="119"/>
    </row>
    <row r="624" spans="1:25" ht="30">
      <c r="A624" s="44" t="s">
        <v>479</v>
      </c>
      <c r="B624" s="19" t="s">
        <v>445</v>
      </c>
      <c r="C624" s="49">
        <v>2034</v>
      </c>
      <c r="D624" s="46">
        <v>0</v>
      </c>
      <c r="E624" s="47">
        <v>0</v>
      </c>
      <c r="F624" s="47">
        <v>0</v>
      </c>
      <c r="G624" s="48">
        <v>0</v>
      </c>
      <c r="H624" s="57">
        <f t="shared" si="29"/>
        <v>0</v>
      </c>
      <c r="I624" s="119"/>
      <c r="J624" s="119"/>
      <c r="K624" s="119"/>
      <c r="L624" s="119"/>
      <c r="M624" s="119"/>
      <c r="N624" s="119"/>
      <c r="O624" s="119"/>
      <c r="P624" s="119"/>
      <c r="Q624" s="44" t="s">
        <v>479</v>
      </c>
      <c r="R624" s="19" t="s">
        <v>445</v>
      </c>
      <c r="S624" s="49">
        <v>2034</v>
      </c>
      <c r="T624" s="46">
        <v>0</v>
      </c>
      <c r="U624" s="47">
        <v>78.710684911623702</v>
      </c>
      <c r="V624" s="47">
        <v>0</v>
      </c>
      <c r="W624" s="48">
        <v>0</v>
      </c>
      <c r="X624" s="57">
        <f t="shared" si="28"/>
        <v>78.710684911623702</v>
      </c>
      <c r="Y624" s="119"/>
    </row>
    <row r="625" spans="1:25" ht="30">
      <c r="A625" s="44" t="s">
        <v>479</v>
      </c>
      <c r="B625" s="19" t="s">
        <v>445</v>
      </c>
      <c r="C625" s="49">
        <v>2035</v>
      </c>
      <c r="D625" s="46">
        <v>0</v>
      </c>
      <c r="E625" s="47">
        <v>0</v>
      </c>
      <c r="F625" s="47">
        <v>0</v>
      </c>
      <c r="G625" s="48">
        <v>0</v>
      </c>
      <c r="H625" s="57">
        <f t="shared" si="29"/>
        <v>0</v>
      </c>
      <c r="I625" s="119"/>
      <c r="J625" s="119"/>
      <c r="K625" s="119"/>
      <c r="L625" s="119"/>
      <c r="M625" s="119"/>
      <c r="N625" s="119"/>
      <c r="O625" s="119"/>
      <c r="P625" s="119"/>
      <c r="Q625" s="44" t="s">
        <v>479</v>
      </c>
      <c r="R625" s="19" t="s">
        <v>445</v>
      </c>
      <c r="S625" s="49">
        <v>2035</v>
      </c>
      <c r="T625" s="46">
        <v>0</v>
      </c>
      <c r="U625" s="47">
        <v>80.284898609856171</v>
      </c>
      <c r="V625" s="47">
        <v>0</v>
      </c>
      <c r="W625" s="48">
        <v>0</v>
      </c>
      <c r="X625" s="57">
        <f t="shared" si="28"/>
        <v>80.284898609856171</v>
      </c>
      <c r="Y625" s="119">
        <f>NPV($Y$10,X616:X625)/((1-(1+$Y$10)^-10)/$Y$10)</f>
        <v>21.81999011085151</v>
      </c>
    </row>
    <row r="626" spans="1:25">
      <c r="A626" s="44"/>
      <c r="B626" s="19" t="s">
        <v>401</v>
      </c>
      <c r="C626" s="49"/>
      <c r="D626" s="42" t="s">
        <v>401</v>
      </c>
      <c r="E626" s="19" t="s">
        <v>401</v>
      </c>
      <c r="F626" s="19" t="s">
        <v>401</v>
      </c>
      <c r="G626" s="43" t="s">
        <v>401</v>
      </c>
      <c r="H626" s="57">
        <f t="shared" si="29"/>
        <v>0</v>
      </c>
      <c r="I626" s="119"/>
      <c r="J626" s="119"/>
      <c r="K626" s="119"/>
      <c r="L626" s="119"/>
      <c r="M626" s="119"/>
      <c r="N626" s="119"/>
      <c r="O626" s="119"/>
      <c r="P626" s="119"/>
      <c r="Q626" s="44"/>
      <c r="R626" s="19" t="s">
        <v>401</v>
      </c>
      <c r="S626" s="49"/>
      <c r="T626" s="42"/>
      <c r="U626" s="19"/>
      <c r="V626" s="19"/>
      <c r="W626" s="43"/>
      <c r="X626" s="57">
        <f t="shared" si="28"/>
        <v>0</v>
      </c>
      <c r="Y626" s="119"/>
    </row>
    <row r="627" spans="1:25" ht="30">
      <c r="A627" s="44" t="s">
        <v>479</v>
      </c>
      <c r="B627" s="19" t="s">
        <v>446</v>
      </c>
      <c r="C627" s="49">
        <v>2026</v>
      </c>
      <c r="D627" s="46">
        <v>0</v>
      </c>
      <c r="E627" s="47">
        <v>0</v>
      </c>
      <c r="F627" s="47">
        <v>0</v>
      </c>
      <c r="G627" s="48">
        <v>0</v>
      </c>
      <c r="H627" s="57">
        <f t="shared" si="29"/>
        <v>0</v>
      </c>
      <c r="I627" s="119"/>
      <c r="J627" s="119"/>
      <c r="K627" s="119"/>
      <c r="L627" s="119"/>
      <c r="M627" s="119"/>
      <c r="N627" s="119"/>
      <c r="O627" s="119"/>
      <c r="P627" s="119"/>
      <c r="Q627" s="44" t="s">
        <v>479</v>
      </c>
      <c r="R627" s="19" t="s">
        <v>446</v>
      </c>
      <c r="S627" s="49">
        <v>2026</v>
      </c>
      <c r="T627" s="46">
        <v>0</v>
      </c>
      <c r="U627" s="47">
        <v>0</v>
      </c>
      <c r="V627" s="47">
        <v>0</v>
      </c>
      <c r="W627" s="48">
        <v>0</v>
      </c>
      <c r="X627" s="57">
        <f t="shared" si="28"/>
        <v>0</v>
      </c>
      <c r="Y627" s="119"/>
    </row>
    <row r="628" spans="1:25" ht="30">
      <c r="A628" s="44" t="s">
        <v>479</v>
      </c>
      <c r="B628" s="19" t="s">
        <v>446</v>
      </c>
      <c r="C628" s="49">
        <v>2027</v>
      </c>
      <c r="D628" s="46">
        <v>0</v>
      </c>
      <c r="E628" s="47">
        <v>0</v>
      </c>
      <c r="F628" s="47">
        <v>0</v>
      </c>
      <c r="G628" s="48">
        <v>0</v>
      </c>
      <c r="H628" s="57">
        <f t="shared" si="29"/>
        <v>0</v>
      </c>
      <c r="I628" s="119"/>
      <c r="J628" s="119"/>
      <c r="K628" s="119"/>
      <c r="L628" s="119"/>
      <c r="M628" s="119"/>
      <c r="N628" s="119"/>
      <c r="O628" s="119"/>
      <c r="P628" s="119"/>
      <c r="Q628" s="44" t="s">
        <v>479</v>
      </c>
      <c r="R628" s="19" t="s">
        <v>446</v>
      </c>
      <c r="S628" s="49">
        <v>2027</v>
      </c>
      <c r="T628" s="46">
        <v>0</v>
      </c>
      <c r="U628" s="47">
        <v>0</v>
      </c>
      <c r="V628" s="47">
        <v>0</v>
      </c>
      <c r="W628" s="48">
        <v>0</v>
      </c>
      <c r="X628" s="57">
        <f t="shared" si="28"/>
        <v>0</v>
      </c>
      <c r="Y628" s="119"/>
    </row>
    <row r="629" spans="1:25" ht="30">
      <c r="A629" s="44" t="s">
        <v>479</v>
      </c>
      <c r="B629" s="19" t="s">
        <v>446</v>
      </c>
      <c r="C629" s="49">
        <v>2028</v>
      </c>
      <c r="D629" s="46">
        <v>0</v>
      </c>
      <c r="E629" s="47">
        <v>0</v>
      </c>
      <c r="F629" s="47">
        <v>0</v>
      </c>
      <c r="G629" s="48">
        <v>0</v>
      </c>
      <c r="H629" s="57">
        <f t="shared" si="29"/>
        <v>0</v>
      </c>
      <c r="I629" s="119"/>
      <c r="J629" s="119"/>
      <c r="K629" s="119"/>
      <c r="L629" s="119"/>
      <c r="M629" s="119"/>
      <c r="N629" s="119"/>
      <c r="O629" s="119"/>
      <c r="P629" s="119"/>
      <c r="Q629" s="44" t="s">
        <v>479</v>
      </c>
      <c r="R629" s="19" t="s">
        <v>446</v>
      </c>
      <c r="S629" s="49">
        <v>2028</v>
      </c>
      <c r="T629" s="46">
        <v>0</v>
      </c>
      <c r="U629" s="47">
        <v>0</v>
      </c>
      <c r="V629" s="47">
        <v>0</v>
      </c>
      <c r="W629" s="48">
        <v>0</v>
      </c>
      <c r="X629" s="57">
        <f t="shared" si="28"/>
        <v>0</v>
      </c>
      <c r="Y629" s="119"/>
    </row>
    <row r="630" spans="1:25" ht="30">
      <c r="A630" s="44" t="s">
        <v>479</v>
      </c>
      <c r="B630" s="19" t="s">
        <v>446</v>
      </c>
      <c r="C630" s="49">
        <v>2029</v>
      </c>
      <c r="D630" s="46">
        <v>0</v>
      </c>
      <c r="E630" s="47">
        <v>0</v>
      </c>
      <c r="F630" s="47">
        <v>0</v>
      </c>
      <c r="G630" s="48">
        <v>0</v>
      </c>
      <c r="H630" s="57">
        <f t="shared" si="29"/>
        <v>0</v>
      </c>
      <c r="I630" s="119"/>
      <c r="J630" s="119"/>
      <c r="K630" s="119"/>
      <c r="L630" s="119"/>
      <c r="M630" s="119"/>
      <c r="N630" s="119"/>
      <c r="O630" s="119"/>
      <c r="P630" s="119"/>
      <c r="Q630" s="44" t="s">
        <v>479</v>
      </c>
      <c r="R630" s="19" t="s">
        <v>446</v>
      </c>
      <c r="S630" s="49">
        <v>2029</v>
      </c>
      <c r="T630" s="46">
        <v>0</v>
      </c>
      <c r="U630" s="47">
        <v>0</v>
      </c>
      <c r="V630" s="47">
        <v>0</v>
      </c>
      <c r="W630" s="48">
        <v>0</v>
      </c>
      <c r="X630" s="57">
        <f t="shared" si="28"/>
        <v>0</v>
      </c>
      <c r="Y630" s="119"/>
    </row>
    <row r="631" spans="1:25" ht="30">
      <c r="A631" s="44" t="s">
        <v>479</v>
      </c>
      <c r="B631" s="19" t="s">
        <v>446</v>
      </c>
      <c r="C631" s="49">
        <v>2030</v>
      </c>
      <c r="D631" s="46">
        <v>0</v>
      </c>
      <c r="E631" s="47">
        <v>0</v>
      </c>
      <c r="F631" s="47">
        <v>0</v>
      </c>
      <c r="G631" s="48">
        <v>0</v>
      </c>
      <c r="H631" s="57">
        <f t="shared" si="29"/>
        <v>0</v>
      </c>
      <c r="I631" s="119"/>
      <c r="J631" s="119"/>
      <c r="K631" s="119"/>
      <c r="L631" s="119"/>
      <c r="M631" s="119"/>
      <c r="N631" s="119"/>
      <c r="O631" s="119"/>
      <c r="P631" s="119"/>
      <c r="Q631" s="44" t="s">
        <v>479</v>
      </c>
      <c r="R631" s="19" t="s">
        <v>446</v>
      </c>
      <c r="S631" s="49">
        <v>2030</v>
      </c>
      <c r="T631" s="46">
        <v>0</v>
      </c>
      <c r="U631" s="47">
        <v>0</v>
      </c>
      <c r="V631" s="47">
        <v>0</v>
      </c>
      <c r="W631" s="48">
        <v>0</v>
      </c>
      <c r="X631" s="57">
        <f t="shared" si="28"/>
        <v>0</v>
      </c>
      <c r="Y631" s="119"/>
    </row>
    <row r="632" spans="1:25" ht="30">
      <c r="A632" s="44" t="s">
        <v>479</v>
      </c>
      <c r="B632" s="19" t="s">
        <v>446</v>
      </c>
      <c r="C632" s="49">
        <v>2031</v>
      </c>
      <c r="D632" s="46">
        <v>0</v>
      </c>
      <c r="E632" s="47">
        <v>0</v>
      </c>
      <c r="F632" s="47">
        <v>0</v>
      </c>
      <c r="G632" s="48">
        <v>0</v>
      </c>
      <c r="H632" s="57">
        <f t="shared" si="29"/>
        <v>0</v>
      </c>
      <c r="I632" s="119"/>
      <c r="J632" s="119"/>
      <c r="K632" s="119"/>
      <c r="L632" s="119"/>
      <c r="M632" s="119"/>
      <c r="N632" s="119"/>
      <c r="O632" s="119"/>
      <c r="P632" s="119"/>
      <c r="Q632" s="44" t="s">
        <v>479</v>
      </c>
      <c r="R632" s="19" t="s">
        <v>446</v>
      </c>
      <c r="S632" s="49">
        <v>2031</v>
      </c>
      <c r="T632" s="46">
        <v>0</v>
      </c>
      <c r="U632" s="47">
        <v>0</v>
      </c>
      <c r="V632" s="47">
        <v>0</v>
      </c>
      <c r="W632" s="48">
        <v>0</v>
      </c>
      <c r="X632" s="57">
        <f t="shared" si="28"/>
        <v>0</v>
      </c>
      <c r="Y632" s="119"/>
    </row>
    <row r="633" spans="1:25" ht="30">
      <c r="A633" s="44" t="s">
        <v>479</v>
      </c>
      <c r="B633" s="19" t="s">
        <v>446</v>
      </c>
      <c r="C633" s="49">
        <v>2032</v>
      </c>
      <c r="D633" s="46">
        <v>0</v>
      </c>
      <c r="E633" s="47">
        <v>0</v>
      </c>
      <c r="F633" s="47">
        <v>0</v>
      </c>
      <c r="G633" s="48">
        <v>0</v>
      </c>
      <c r="H633" s="57">
        <f t="shared" si="29"/>
        <v>0</v>
      </c>
      <c r="I633" s="119"/>
      <c r="J633" s="119"/>
      <c r="K633" s="119"/>
      <c r="L633" s="119"/>
      <c r="M633" s="119"/>
      <c r="N633" s="119"/>
      <c r="O633" s="119"/>
      <c r="P633" s="119"/>
      <c r="Q633" s="44" t="s">
        <v>479</v>
      </c>
      <c r="R633" s="19" t="s">
        <v>446</v>
      </c>
      <c r="S633" s="49">
        <v>2032</v>
      </c>
      <c r="T633" s="46">
        <v>0</v>
      </c>
      <c r="U633" s="47">
        <v>0</v>
      </c>
      <c r="V633" s="47">
        <v>0</v>
      </c>
      <c r="W633" s="48">
        <v>0</v>
      </c>
      <c r="X633" s="57">
        <f t="shared" si="28"/>
        <v>0</v>
      </c>
      <c r="Y633" s="119"/>
    </row>
    <row r="634" spans="1:25" ht="30">
      <c r="A634" s="44" t="s">
        <v>479</v>
      </c>
      <c r="B634" s="19" t="s">
        <v>446</v>
      </c>
      <c r="C634" s="49">
        <v>2033</v>
      </c>
      <c r="D634" s="46">
        <v>0</v>
      </c>
      <c r="E634" s="47">
        <v>0</v>
      </c>
      <c r="F634" s="47">
        <v>0</v>
      </c>
      <c r="G634" s="48">
        <v>0</v>
      </c>
      <c r="H634" s="57">
        <f t="shared" si="29"/>
        <v>0</v>
      </c>
      <c r="I634" s="119"/>
      <c r="J634" s="119"/>
      <c r="K634" s="119"/>
      <c r="L634" s="119"/>
      <c r="M634" s="119"/>
      <c r="N634" s="119"/>
      <c r="O634" s="119"/>
      <c r="P634" s="119"/>
      <c r="Q634" s="44" t="s">
        <v>479</v>
      </c>
      <c r="R634" s="19" t="s">
        <v>446</v>
      </c>
      <c r="S634" s="49">
        <v>2033</v>
      </c>
      <c r="T634" s="46">
        <v>0</v>
      </c>
      <c r="U634" s="47">
        <v>0</v>
      </c>
      <c r="V634" s="47">
        <v>0</v>
      </c>
      <c r="W634" s="48">
        <v>0</v>
      </c>
      <c r="X634" s="57">
        <f t="shared" si="28"/>
        <v>0</v>
      </c>
      <c r="Y634" s="119"/>
    </row>
    <row r="635" spans="1:25" ht="30">
      <c r="A635" s="44" t="s">
        <v>479</v>
      </c>
      <c r="B635" s="19" t="s">
        <v>446</v>
      </c>
      <c r="C635" s="49">
        <v>2034</v>
      </c>
      <c r="D635" s="46">
        <v>68.68718833153099</v>
      </c>
      <c r="E635" s="47">
        <v>0</v>
      </c>
      <c r="F635" s="47">
        <v>0</v>
      </c>
      <c r="G635" s="48">
        <v>0</v>
      </c>
      <c r="H635" s="57">
        <f t="shared" si="29"/>
        <v>40.051370159421865</v>
      </c>
      <c r="I635" s="119"/>
      <c r="J635" s="119"/>
      <c r="K635" s="119"/>
      <c r="L635" s="119"/>
      <c r="M635" s="119"/>
      <c r="N635" s="119"/>
      <c r="O635" s="119"/>
      <c r="P635" s="119"/>
      <c r="Q635" s="44" t="s">
        <v>479</v>
      </c>
      <c r="R635" s="19" t="s">
        <v>446</v>
      </c>
      <c r="S635" s="49">
        <v>2034</v>
      </c>
      <c r="T635" s="46">
        <v>68.68718833153099</v>
      </c>
      <c r="U635" s="47">
        <v>0</v>
      </c>
      <c r="V635" s="47">
        <v>0</v>
      </c>
      <c r="W635" s="48">
        <v>0</v>
      </c>
      <c r="X635" s="57">
        <f t="shared" si="28"/>
        <v>68.68718833153099</v>
      </c>
      <c r="Y635" s="119"/>
    </row>
    <row r="636" spans="1:25" ht="30">
      <c r="A636" s="44" t="s">
        <v>479</v>
      </c>
      <c r="B636" s="19" t="s">
        <v>446</v>
      </c>
      <c r="C636" s="49">
        <v>2035</v>
      </c>
      <c r="D636" s="46">
        <v>90.820912258908805</v>
      </c>
      <c r="E636" s="47">
        <v>0</v>
      </c>
      <c r="F636" s="47">
        <v>0</v>
      </c>
      <c r="G636" s="48">
        <v>0</v>
      </c>
      <c r="H636" s="57">
        <f t="shared" si="29"/>
        <v>49.504559848228048</v>
      </c>
      <c r="I636" s="119"/>
      <c r="J636" s="119"/>
      <c r="K636" s="119"/>
      <c r="L636" s="119"/>
      <c r="M636" s="119"/>
      <c r="N636" s="119"/>
      <c r="O636" s="119"/>
      <c r="P636" s="119"/>
      <c r="Q636" s="44" t="s">
        <v>479</v>
      </c>
      <c r="R636" s="19" t="s">
        <v>446</v>
      </c>
      <c r="S636" s="49">
        <v>2035</v>
      </c>
      <c r="T636" s="46">
        <v>160.88184435707041</v>
      </c>
      <c r="U636" s="47">
        <v>0</v>
      </c>
      <c r="V636" s="47">
        <v>0</v>
      </c>
      <c r="W636" s="48">
        <v>0</v>
      </c>
      <c r="X636" s="57">
        <f t="shared" si="28"/>
        <v>160.88184435707041</v>
      </c>
      <c r="Y636" s="119">
        <f>NPV($Y$10,X627:X636)/((1-(1+$Y$10)^-10)/$Y$10)</f>
        <v>16.982428978851278</v>
      </c>
    </row>
    <row r="637" spans="1:25">
      <c r="A637" s="44"/>
      <c r="B637" s="19" t="s">
        <v>401</v>
      </c>
      <c r="C637" s="49"/>
      <c r="D637" s="46" t="s">
        <v>401</v>
      </c>
      <c r="E637" s="47" t="s">
        <v>401</v>
      </c>
      <c r="F637" s="47" t="s">
        <v>401</v>
      </c>
      <c r="G637" s="48" t="s">
        <v>401</v>
      </c>
      <c r="H637" s="57">
        <f t="shared" si="29"/>
        <v>0</v>
      </c>
      <c r="I637" s="119"/>
      <c r="J637" s="119"/>
      <c r="K637" s="119"/>
      <c r="L637" s="119"/>
      <c r="M637" s="119"/>
      <c r="N637" s="119"/>
      <c r="O637" s="119"/>
      <c r="P637" s="119"/>
      <c r="Q637" s="44"/>
      <c r="R637" s="19" t="s">
        <v>401</v>
      </c>
      <c r="S637" s="49"/>
      <c r="T637" s="46"/>
      <c r="U637" s="47"/>
      <c r="V637" s="47"/>
      <c r="W637" s="48"/>
      <c r="X637" s="57">
        <f t="shared" si="28"/>
        <v>0</v>
      </c>
      <c r="Y637" s="119"/>
    </row>
    <row r="638" spans="1:25">
      <c r="A638" s="44" t="s">
        <v>480</v>
      </c>
      <c r="B638" s="19" t="s">
        <v>447</v>
      </c>
      <c r="C638" s="49">
        <v>2026</v>
      </c>
      <c r="D638" s="46">
        <v>0</v>
      </c>
      <c r="E638" s="47">
        <v>0</v>
      </c>
      <c r="F638" s="47">
        <v>0</v>
      </c>
      <c r="G638" s="48">
        <v>0</v>
      </c>
      <c r="H638" s="57">
        <f t="shared" si="29"/>
        <v>0</v>
      </c>
      <c r="I638" s="119"/>
      <c r="J638" s="119"/>
      <c r="K638" s="119"/>
      <c r="L638" s="119"/>
      <c r="M638" s="119"/>
      <c r="N638" s="119"/>
      <c r="O638" s="119"/>
      <c r="P638" s="119"/>
      <c r="Q638" s="44" t="s">
        <v>480</v>
      </c>
      <c r="R638" s="19" t="s">
        <v>447</v>
      </c>
      <c r="S638" s="49">
        <v>2026</v>
      </c>
      <c r="T638" s="46">
        <v>0</v>
      </c>
      <c r="U638" s="47">
        <v>0</v>
      </c>
      <c r="V638" s="47">
        <v>0</v>
      </c>
      <c r="W638" s="48">
        <v>0</v>
      </c>
      <c r="X638" s="57">
        <f t="shared" si="28"/>
        <v>0</v>
      </c>
      <c r="Y638" s="119"/>
    </row>
    <row r="639" spans="1:25">
      <c r="A639" s="44" t="s">
        <v>480</v>
      </c>
      <c r="B639" s="19" t="s">
        <v>447</v>
      </c>
      <c r="C639" s="49">
        <v>2027</v>
      </c>
      <c r="D639" s="46">
        <v>0</v>
      </c>
      <c r="E639" s="47">
        <v>0</v>
      </c>
      <c r="F639" s="47">
        <v>38.679996479432717</v>
      </c>
      <c r="G639" s="48">
        <v>0</v>
      </c>
      <c r="H639" s="57">
        <f t="shared" si="29"/>
        <v>36.15797754562535</v>
      </c>
      <c r="I639" s="119"/>
      <c r="J639" s="119"/>
      <c r="K639" s="119"/>
      <c r="L639" s="119"/>
      <c r="M639" s="119"/>
      <c r="N639" s="119"/>
      <c r="O639" s="119"/>
      <c r="P639" s="119"/>
      <c r="Q639" s="44" t="s">
        <v>480</v>
      </c>
      <c r="R639" s="19" t="s">
        <v>447</v>
      </c>
      <c r="S639" s="49">
        <v>2027</v>
      </c>
      <c r="T639" s="46">
        <v>0</v>
      </c>
      <c r="U639" s="47">
        <v>0</v>
      </c>
      <c r="V639" s="47">
        <v>38.679996479432717</v>
      </c>
      <c r="W639" s="48">
        <v>0</v>
      </c>
      <c r="X639" s="57">
        <f t="shared" si="28"/>
        <v>38.679996479432717</v>
      </c>
      <c r="Y639" s="119"/>
    </row>
    <row r="640" spans="1:25">
      <c r="A640" s="44" t="s">
        <v>480</v>
      </c>
      <c r="B640" s="19" t="s">
        <v>447</v>
      </c>
      <c r="C640" s="49">
        <v>2028</v>
      </c>
      <c r="D640" s="46">
        <v>0</v>
      </c>
      <c r="E640" s="47">
        <v>0</v>
      </c>
      <c r="F640" s="47">
        <v>34.574215937045437</v>
      </c>
      <c r="G640" s="48">
        <v>18.714851831605817</v>
      </c>
      <c r="H640" s="57">
        <f t="shared" si="29"/>
        <v>46.566493084151851</v>
      </c>
      <c r="I640" s="119"/>
      <c r="J640" s="119"/>
      <c r="K640" s="119"/>
      <c r="L640" s="119"/>
      <c r="M640" s="119"/>
      <c r="N640" s="119"/>
      <c r="O640" s="119"/>
      <c r="P640" s="119"/>
      <c r="Q640" s="44" t="s">
        <v>480</v>
      </c>
      <c r="R640" s="19" t="s">
        <v>447</v>
      </c>
      <c r="S640" s="49">
        <v>2028</v>
      </c>
      <c r="T640" s="46">
        <v>0</v>
      </c>
      <c r="U640" s="47">
        <v>0</v>
      </c>
      <c r="V640" s="47">
        <v>74.02781234606681</v>
      </c>
      <c r="W640" s="48">
        <v>18.714851831605817</v>
      </c>
      <c r="X640" s="57">
        <f t="shared" si="28"/>
        <v>92.742664177672623</v>
      </c>
      <c r="Y640" s="119"/>
    </row>
    <row r="641" spans="1:25">
      <c r="A641" s="44" t="s">
        <v>480</v>
      </c>
      <c r="B641" s="19" t="s">
        <v>447</v>
      </c>
      <c r="C641" s="49">
        <v>2029</v>
      </c>
      <c r="D641" s="46">
        <v>0</v>
      </c>
      <c r="E641" s="47">
        <v>0</v>
      </c>
      <c r="F641" s="47">
        <v>4.3391561938408518</v>
      </c>
      <c r="G641" s="48">
        <v>0</v>
      </c>
      <c r="H641" s="57">
        <f t="shared" si="29"/>
        <v>3.5445278902548663</v>
      </c>
      <c r="I641" s="119"/>
      <c r="J641" s="119"/>
      <c r="K641" s="119"/>
      <c r="L641" s="119"/>
      <c r="M641" s="119"/>
      <c r="N641" s="119"/>
      <c r="O641" s="119"/>
      <c r="P641" s="119"/>
      <c r="Q641" s="44" t="s">
        <v>480</v>
      </c>
      <c r="R641" s="19" t="s">
        <v>447</v>
      </c>
      <c r="S641" s="49">
        <v>2029</v>
      </c>
      <c r="T641" s="46">
        <v>0</v>
      </c>
      <c r="U641" s="47">
        <v>0</v>
      </c>
      <c r="V641" s="47">
        <v>79.847524786828998</v>
      </c>
      <c r="W641" s="48">
        <v>19.089148868237935</v>
      </c>
      <c r="X641" s="57">
        <f t="shared" si="28"/>
        <v>98.936673655066926</v>
      </c>
      <c r="Y641" s="119"/>
    </row>
    <row r="642" spans="1:25">
      <c r="A642" s="44" t="s">
        <v>480</v>
      </c>
      <c r="B642" s="19" t="s">
        <v>447</v>
      </c>
      <c r="C642" s="49">
        <v>2030</v>
      </c>
      <c r="D642" s="46">
        <v>0</v>
      </c>
      <c r="E642" s="47">
        <v>0</v>
      </c>
      <c r="F642" s="47">
        <v>0</v>
      </c>
      <c r="G642" s="48">
        <v>0</v>
      </c>
      <c r="H642" s="57">
        <f t="shared" si="29"/>
        <v>0</v>
      </c>
      <c r="I642" s="119"/>
      <c r="J642" s="119"/>
      <c r="K642" s="119"/>
      <c r="L642" s="119"/>
      <c r="M642" s="119"/>
      <c r="N642" s="119"/>
      <c r="O642" s="119"/>
      <c r="P642" s="119"/>
      <c r="Q642" s="44" t="s">
        <v>480</v>
      </c>
      <c r="R642" s="19" t="s">
        <v>447</v>
      </c>
      <c r="S642" s="49">
        <v>2030</v>
      </c>
      <c r="T642" s="46">
        <v>0</v>
      </c>
      <c r="U642" s="47">
        <v>0</v>
      </c>
      <c r="V642" s="47">
        <v>81.444475282565577</v>
      </c>
      <c r="W642" s="48">
        <v>19.470931845602692</v>
      </c>
      <c r="X642" s="57">
        <f t="shared" si="28"/>
        <v>100.91540712816827</v>
      </c>
      <c r="Y642" s="119"/>
    </row>
    <row r="643" spans="1:25">
      <c r="A643" s="44" t="s">
        <v>480</v>
      </c>
      <c r="B643" s="19" t="s">
        <v>447</v>
      </c>
      <c r="C643" s="49">
        <v>2031</v>
      </c>
      <c r="D643" s="46">
        <v>0</v>
      </c>
      <c r="E643" s="47">
        <v>0</v>
      </c>
      <c r="F643" s="47">
        <v>0</v>
      </c>
      <c r="G643" s="48">
        <v>0</v>
      </c>
      <c r="H643" s="57">
        <f t="shared" si="29"/>
        <v>0</v>
      </c>
      <c r="I643" s="119"/>
      <c r="J643" s="119"/>
      <c r="K643" s="119"/>
      <c r="L643" s="119"/>
      <c r="M643" s="119"/>
      <c r="N643" s="119"/>
      <c r="O643" s="119"/>
      <c r="P643" s="119"/>
      <c r="Q643" s="44" t="s">
        <v>480</v>
      </c>
      <c r="R643" s="19" t="s">
        <v>447</v>
      </c>
      <c r="S643" s="49">
        <v>2031</v>
      </c>
      <c r="T643" s="46">
        <v>0</v>
      </c>
      <c r="U643" s="47">
        <v>0</v>
      </c>
      <c r="V643" s="47">
        <v>83.073364788216892</v>
      </c>
      <c r="W643" s="48">
        <v>19.860350482514747</v>
      </c>
      <c r="X643" s="57">
        <f t="shared" si="28"/>
        <v>102.93371527073164</v>
      </c>
      <c r="Y643" s="119"/>
    </row>
    <row r="644" spans="1:25">
      <c r="A644" s="44" t="s">
        <v>480</v>
      </c>
      <c r="B644" s="19" t="s">
        <v>447</v>
      </c>
      <c r="C644" s="49">
        <v>2032</v>
      </c>
      <c r="D644" s="46">
        <v>0</v>
      </c>
      <c r="E644" s="47">
        <v>0</v>
      </c>
      <c r="F644" s="47">
        <v>0</v>
      </c>
      <c r="G644" s="48">
        <v>0</v>
      </c>
      <c r="H644" s="57">
        <f t="shared" si="29"/>
        <v>0</v>
      </c>
      <c r="I644" s="119"/>
      <c r="J644" s="119"/>
      <c r="K644" s="119"/>
      <c r="L644" s="119"/>
      <c r="M644" s="119"/>
      <c r="N644" s="119"/>
      <c r="O644" s="119"/>
      <c r="P644" s="119"/>
      <c r="Q644" s="44" t="s">
        <v>480</v>
      </c>
      <c r="R644" s="19" t="s">
        <v>447</v>
      </c>
      <c r="S644" s="49">
        <v>2032</v>
      </c>
      <c r="T644" s="46">
        <v>0</v>
      </c>
      <c r="U644" s="47">
        <v>0</v>
      </c>
      <c r="V644" s="47">
        <v>84.734832083981232</v>
      </c>
      <c r="W644" s="48">
        <v>20.257557492165041</v>
      </c>
      <c r="X644" s="57">
        <f t="shared" si="28"/>
        <v>104.99238957614628</v>
      </c>
      <c r="Y644" s="119"/>
    </row>
    <row r="645" spans="1:25">
      <c r="A645" s="44" t="s">
        <v>480</v>
      </c>
      <c r="B645" s="19" t="s">
        <v>447</v>
      </c>
      <c r="C645" s="49">
        <v>2033</v>
      </c>
      <c r="D645" s="46">
        <v>0</v>
      </c>
      <c r="E645" s="47">
        <v>0</v>
      </c>
      <c r="F645" s="47">
        <v>0</v>
      </c>
      <c r="G645" s="48">
        <v>0</v>
      </c>
      <c r="H645" s="57">
        <f t="shared" si="29"/>
        <v>0</v>
      </c>
      <c r="I645" s="119"/>
      <c r="J645" s="119"/>
      <c r="K645" s="119"/>
      <c r="L645" s="119"/>
      <c r="M645" s="119"/>
      <c r="N645" s="119"/>
      <c r="O645" s="119"/>
      <c r="P645" s="119"/>
      <c r="Q645" s="44" t="s">
        <v>480</v>
      </c>
      <c r="R645" s="19" t="s">
        <v>447</v>
      </c>
      <c r="S645" s="49">
        <v>2033</v>
      </c>
      <c r="T645" s="46">
        <v>0</v>
      </c>
      <c r="U645" s="47">
        <v>0</v>
      </c>
      <c r="V645" s="47">
        <v>86.429528725660859</v>
      </c>
      <c r="W645" s="48">
        <v>20.662708642008344</v>
      </c>
      <c r="X645" s="57">
        <f t="shared" si="28"/>
        <v>107.0922373676692</v>
      </c>
      <c r="Y645" s="119"/>
    </row>
    <row r="646" spans="1:25">
      <c r="A646" s="44" t="s">
        <v>480</v>
      </c>
      <c r="B646" s="19" t="s">
        <v>447</v>
      </c>
      <c r="C646" s="49">
        <v>2034</v>
      </c>
      <c r="D646" s="46">
        <v>0</v>
      </c>
      <c r="E646" s="47">
        <v>0</v>
      </c>
      <c r="F646" s="47">
        <v>0</v>
      </c>
      <c r="G646" s="48">
        <v>0</v>
      </c>
      <c r="H646" s="57">
        <f t="shared" si="29"/>
        <v>0</v>
      </c>
      <c r="I646" s="119"/>
      <c r="J646" s="119"/>
      <c r="K646" s="119"/>
      <c r="L646" s="119"/>
      <c r="M646" s="119"/>
      <c r="N646" s="119"/>
      <c r="O646" s="119"/>
      <c r="P646" s="119"/>
      <c r="Q646" s="44" t="s">
        <v>480</v>
      </c>
      <c r="R646" s="19" t="s">
        <v>447</v>
      </c>
      <c r="S646" s="49">
        <v>2034</v>
      </c>
      <c r="T646" s="46">
        <v>0</v>
      </c>
      <c r="U646" s="47">
        <v>0</v>
      </c>
      <c r="V646" s="47">
        <v>88.158119300174079</v>
      </c>
      <c r="W646" s="48">
        <v>21.075962814848509</v>
      </c>
      <c r="X646" s="57">
        <f t="shared" si="28"/>
        <v>109.23408211502259</v>
      </c>
      <c r="Y646" s="119"/>
    </row>
    <row r="647" spans="1:25">
      <c r="A647" s="44" t="s">
        <v>480</v>
      </c>
      <c r="B647" s="19" t="s">
        <v>447</v>
      </c>
      <c r="C647" s="49">
        <v>2035</v>
      </c>
      <c r="D647" s="46">
        <v>0</v>
      </c>
      <c r="E647" s="47">
        <v>0</v>
      </c>
      <c r="F647" s="47">
        <v>0</v>
      </c>
      <c r="G647" s="48">
        <v>0</v>
      </c>
      <c r="H647" s="57">
        <f t="shared" si="29"/>
        <v>0</v>
      </c>
      <c r="I647" s="119"/>
      <c r="J647" s="119"/>
      <c r="K647" s="119"/>
      <c r="L647" s="119"/>
      <c r="M647" s="119"/>
      <c r="N647" s="119"/>
      <c r="O647" s="119"/>
      <c r="P647" s="119"/>
      <c r="Q647" s="44" t="s">
        <v>480</v>
      </c>
      <c r="R647" s="19" t="s">
        <v>447</v>
      </c>
      <c r="S647" s="49">
        <v>2035</v>
      </c>
      <c r="T647" s="46">
        <v>0</v>
      </c>
      <c r="U647" s="47">
        <v>0</v>
      </c>
      <c r="V647" s="47">
        <v>89.921281686177565</v>
      </c>
      <c r="W647" s="48">
        <v>21.49748207114548</v>
      </c>
      <c r="X647" s="57">
        <f t="shared" si="28"/>
        <v>111.41876375732305</v>
      </c>
      <c r="Y647" s="119">
        <f>NPV($Y$10,X638:X647)/((1-(1+$Y$10)^-10)/$Y$10)</f>
        <v>81.072565061166884</v>
      </c>
    </row>
    <row r="648" spans="1:25">
      <c r="A648" s="44"/>
      <c r="B648" s="19" t="s">
        <v>401</v>
      </c>
      <c r="C648" s="49"/>
      <c r="D648" s="42" t="s">
        <v>401</v>
      </c>
      <c r="E648" s="19" t="s">
        <v>401</v>
      </c>
      <c r="F648" s="19" t="s">
        <v>401</v>
      </c>
      <c r="G648" s="43" t="s">
        <v>401</v>
      </c>
      <c r="H648" s="57">
        <f t="shared" si="29"/>
        <v>0</v>
      </c>
      <c r="I648" s="119"/>
      <c r="J648" s="119"/>
      <c r="K648" s="119"/>
      <c r="L648" s="119"/>
      <c r="M648" s="119"/>
      <c r="N648" s="119"/>
      <c r="O648" s="119"/>
      <c r="P648" s="119"/>
      <c r="Q648" s="44"/>
      <c r="R648" s="19" t="s">
        <v>401</v>
      </c>
      <c r="S648" s="49"/>
      <c r="T648" s="42"/>
      <c r="U648" s="19"/>
      <c r="V648" s="19"/>
      <c r="W648" s="43"/>
      <c r="X648" s="57">
        <f t="shared" si="28"/>
        <v>0</v>
      </c>
      <c r="Y648" s="119"/>
    </row>
    <row r="649" spans="1:25">
      <c r="A649" s="44" t="s">
        <v>480</v>
      </c>
      <c r="B649" s="19" t="s">
        <v>448</v>
      </c>
      <c r="C649" s="49">
        <v>2026</v>
      </c>
      <c r="D649" s="46">
        <v>0</v>
      </c>
      <c r="E649" s="47">
        <v>0</v>
      </c>
      <c r="F649" s="47">
        <v>0</v>
      </c>
      <c r="G649" s="48">
        <v>0</v>
      </c>
      <c r="H649" s="57">
        <f t="shared" si="29"/>
        <v>0</v>
      </c>
      <c r="I649" s="119"/>
      <c r="J649" s="119"/>
      <c r="K649" s="119"/>
      <c r="L649" s="119"/>
      <c r="M649" s="119"/>
      <c r="N649" s="119"/>
      <c r="O649" s="119"/>
      <c r="P649" s="119"/>
      <c r="Q649" s="44" t="s">
        <v>480</v>
      </c>
      <c r="R649" s="19" t="s">
        <v>448</v>
      </c>
      <c r="S649" s="49">
        <v>2026</v>
      </c>
      <c r="T649" s="46">
        <v>0</v>
      </c>
      <c r="U649" s="47">
        <v>0</v>
      </c>
      <c r="V649" s="47">
        <v>0</v>
      </c>
      <c r="W649" s="48">
        <v>0</v>
      </c>
      <c r="X649" s="57">
        <f t="shared" si="28"/>
        <v>0</v>
      </c>
      <c r="Y649" s="119"/>
    </row>
    <row r="650" spans="1:25">
      <c r="A650" s="44" t="s">
        <v>480</v>
      </c>
      <c r="B650" s="19" t="s">
        <v>448</v>
      </c>
      <c r="C650" s="49">
        <v>2027</v>
      </c>
      <c r="D650" s="46">
        <v>0</v>
      </c>
      <c r="E650" s="47">
        <v>0</v>
      </c>
      <c r="F650" s="47">
        <v>0</v>
      </c>
      <c r="G650" s="48">
        <v>0</v>
      </c>
      <c r="H650" s="57">
        <f t="shared" si="29"/>
        <v>0</v>
      </c>
      <c r="I650" s="119"/>
      <c r="J650" s="119"/>
      <c r="K650" s="119"/>
      <c r="L650" s="119"/>
      <c r="M650" s="119"/>
      <c r="N650" s="119"/>
      <c r="O650" s="119"/>
      <c r="P650" s="119"/>
      <c r="Q650" s="44" t="s">
        <v>480</v>
      </c>
      <c r="R650" s="19" t="s">
        <v>448</v>
      </c>
      <c r="S650" s="49">
        <v>2027</v>
      </c>
      <c r="T650" s="46">
        <v>0</v>
      </c>
      <c r="U650" s="47">
        <v>0</v>
      </c>
      <c r="V650" s="47">
        <v>0</v>
      </c>
      <c r="W650" s="48">
        <v>0</v>
      </c>
      <c r="X650" s="57">
        <f t="shared" si="28"/>
        <v>0</v>
      </c>
      <c r="Y650" s="119"/>
    </row>
    <row r="651" spans="1:25">
      <c r="A651" s="44" t="s">
        <v>480</v>
      </c>
      <c r="B651" s="19" t="s">
        <v>448</v>
      </c>
      <c r="C651" s="49">
        <v>2028</v>
      </c>
      <c r="D651" s="46">
        <v>0</v>
      </c>
      <c r="E651" s="47">
        <v>0</v>
      </c>
      <c r="F651" s="47">
        <v>0</v>
      </c>
      <c r="G651" s="48">
        <v>0</v>
      </c>
      <c r="H651" s="57">
        <f t="shared" si="29"/>
        <v>0</v>
      </c>
      <c r="I651" s="119"/>
      <c r="J651" s="119"/>
      <c r="K651" s="119"/>
      <c r="L651" s="119"/>
      <c r="M651" s="119"/>
      <c r="N651" s="119"/>
      <c r="O651" s="119"/>
      <c r="P651" s="119"/>
      <c r="Q651" s="44" t="s">
        <v>480</v>
      </c>
      <c r="R651" s="19" t="s">
        <v>448</v>
      </c>
      <c r="S651" s="49">
        <v>2028</v>
      </c>
      <c r="T651" s="46">
        <v>0</v>
      </c>
      <c r="U651" s="47">
        <v>0</v>
      </c>
      <c r="V651" s="47">
        <v>0</v>
      </c>
      <c r="W651" s="48">
        <v>0</v>
      </c>
      <c r="X651" s="57">
        <f t="shared" si="28"/>
        <v>0</v>
      </c>
      <c r="Y651" s="119"/>
    </row>
    <row r="652" spans="1:25">
      <c r="A652" s="44" t="s">
        <v>480</v>
      </c>
      <c r="B652" s="19" t="s">
        <v>448</v>
      </c>
      <c r="C652" s="49">
        <v>2029</v>
      </c>
      <c r="D652" s="46">
        <v>0</v>
      </c>
      <c r="E652" s="47">
        <v>0</v>
      </c>
      <c r="F652" s="47">
        <v>0</v>
      </c>
      <c r="G652" s="48">
        <v>0</v>
      </c>
      <c r="H652" s="57">
        <f t="shared" si="29"/>
        <v>0</v>
      </c>
      <c r="I652" s="119"/>
      <c r="J652" s="119"/>
      <c r="K652" s="119"/>
      <c r="L652" s="119"/>
      <c r="M652" s="119"/>
      <c r="N652" s="119"/>
      <c r="O652" s="119"/>
      <c r="P652" s="119"/>
      <c r="Q652" s="44" t="s">
        <v>480</v>
      </c>
      <c r="R652" s="19" t="s">
        <v>448</v>
      </c>
      <c r="S652" s="49">
        <v>2029</v>
      </c>
      <c r="T652" s="46">
        <v>0</v>
      </c>
      <c r="U652" s="47">
        <v>0</v>
      </c>
      <c r="V652" s="47">
        <v>0</v>
      </c>
      <c r="W652" s="48">
        <v>0</v>
      </c>
      <c r="X652" s="57">
        <f t="shared" ref="X652:X715" si="30">SUM(T652:W652)</f>
        <v>0</v>
      </c>
      <c r="Y652" s="119"/>
    </row>
    <row r="653" spans="1:25">
      <c r="A653" s="44" t="s">
        <v>480</v>
      </c>
      <c r="B653" s="19" t="s">
        <v>448</v>
      </c>
      <c r="C653" s="49">
        <v>2030</v>
      </c>
      <c r="D653" s="46">
        <v>0</v>
      </c>
      <c r="E653" s="47">
        <v>0</v>
      </c>
      <c r="F653" s="47">
        <v>55.499160287204042</v>
      </c>
      <c r="G653" s="48">
        <v>0</v>
      </c>
      <c r="H653" s="57">
        <f t="shared" ref="H653:H716" si="31">SUM(D653:G653)/((1+$L$7)^(C653-C$11))</f>
        <v>42.379636914225095</v>
      </c>
      <c r="I653" s="119"/>
      <c r="J653" s="119"/>
      <c r="K653" s="119"/>
      <c r="L653" s="119"/>
      <c r="M653" s="119"/>
      <c r="N653" s="119"/>
      <c r="O653" s="119"/>
      <c r="P653" s="119"/>
      <c r="Q653" s="44" t="s">
        <v>480</v>
      </c>
      <c r="R653" s="19" t="s">
        <v>448</v>
      </c>
      <c r="S653" s="49">
        <v>2030</v>
      </c>
      <c r="T653" s="46">
        <v>0</v>
      </c>
      <c r="U653" s="47">
        <v>0</v>
      </c>
      <c r="V653" s="47">
        <v>55.499160287204042</v>
      </c>
      <c r="W653" s="48">
        <v>0</v>
      </c>
      <c r="X653" s="57">
        <f t="shared" si="30"/>
        <v>55.499160287204042</v>
      </c>
      <c r="Y653" s="119"/>
    </row>
    <row r="654" spans="1:25">
      <c r="A654" s="44" t="s">
        <v>480</v>
      </c>
      <c r="B654" s="19" t="s">
        <v>448</v>
      </c>
      <c r="C654" s="49">
        <v>2031</v>
      </c>
      <c r="D654" s="46">
        <v>0</v>
      </c>
      <c r="E654" s="47">
        <v>0</v>
      </c>
      <c r="F654" s="47">
        <v>0</v>
      </c>
      <c r="G654" s="48">
        <v>0</v>
      </c>
      <c r="H654" s="57">
        <f t="shared" si="31"/>
        <v>0</v>
      </c>
      <c r="I654" s="119"/>
      <c r="J654" s="119"/>
      <c r="K654" s="119"/>
      <c r="L654" s="119"/>
      <c r="M654" s="119"/>
      <c r="N654" s="119"/>
      <c r="O654" s="119"/>
      <c r="P654" s="119"/>
      <c r="Q654" s="44" t="s">
        <v>480</v>
      </c>
      <c r="R654" s="19" t="s">
        <v>448</v>
      </c>
      <c r="S654" s="49">
        <v>2031</v>
      </c>
      <c r="T654" s="46">
        <v>0</v>
      </c>
      <c r="U654" s="47">
        <v>0</v>
      </c>
      <c r="V654" s="47">
        <v>56.609143492948121</v>
      </c>
      <c r="W654" s="48">
        <v>0</v>
      </c>
      <c r="X654" s="57">
        <f t="shared" si="30"/>
        <v>56.609143492948121</v>
      </c>
      <c r="Y654" s="119"/>
    </row>
    <row r="655" spans="1:25">
      <c r="A655" s="44" t="s">
        <v>480</v>
      </c>
      <c r="B655" s="19" t="s">
        <v>448</v>
      </c>
      <c r="C655" s="49">
        <v>2032</v>
      </c>
      <c r="D655" s="46">
        <v>0</v>
      </c>
      <c r="E655" s="47">
        <v>0</v>
      </c>
      <c r="F655" s="47">
        <v>0</v>
      </c>
      <c r="G655" s="48">
        <v>0</v>
      </c>
      <c r="H655" s="57">
        <f t="shared" si="31"/>
        <v>0</v>
      </c>
      <c r="I655" s="119"/>
      <c r="J655" s="119"/>
      <c r="K655" s="119"/>
      <c r="L655" s="119"/>
      <c r="M655" s="119"/>
      <c r="N655" s="119"/>
      <c r="O655" s="119"/>
      <c r="P655" s="119"/>
      <c r="Q655" s="44" t="s">
        <v>480</v>
      </c>
      <c r="R655" s="19" t="s">
        <v>448</v>
      </c>
      <c r="S655" s="49">
        <v>2032</v>
      </c>
      <c r="T655" s="46">
        <v>0</v>
      </c>
      <c r="U655" s="47">
        <v>0</v>
      </c>
      <c r="V655" s="47">
        <v>57.741326362807087</v>
      </c>
      <c r="W655" s="48">
        <v>0</v>
      </c>
      <c r="X655" s="57">
        <f t="shared" si="30"/>
        <v>57.741326362807087</v>
      </c>
      <c r="Y655" s="119"/>
    </row>
    <row r="656" spans="1:25">
      <c r="A656" s="44" t="s">
        <v>480</v>
      </c>
      <c r="B656" s="19" t="s">
        <v>448</v>
      </c>
      <c r="C656" s="49">
        <v>2033</v>
      </c>
      <c r="D656" s="46">
        <v>0</v>
      </c>
      <c r="E656" s="47">
        <v>0</v>
      </c>
      <c r="F656" s="47">
        <v>0</v>
      </c>
      <c r="G656" s="48">
        <v>0</v>
      </c>
      <c r="H656" s="57">
        <f t="shared" si="31"/>
        <v>0</v>
      </c>
      <c r="I656" s="119"/>
      <c r="J656" s="119"/>
      <c r="K656" s="119"/>
      <c r="L656" s="119"/>
      <c r="M656" s="119"/>
      <c r="N656" s="119"/>
      <c r="O656" s="119"/>
      <c r="P656" s="119"/>
      <c r="Q656" s="44" t="s">
        <v>480</v>
      </c>
      <c r="R656" s="19" t="s">
        <v>448</v>
      </c>
      <c r="S656" s="49">
        <v>2033</v>
      </c>
      <c r="T656" s="46">
        <v>0</v>
      </c>
      <c r="U656" s="47">
        <v>0</v>
      </c>
      <c r="V656" s="47">
        <v>58.896152890063227</v>
      </c>
      <c r="W656" s="48">
        <v>0</v>
      </c>
      <c r="X656" s="57">
        <f t="shared" si="30"/>
        <v>58.896152890063227</v>
      </c>
      <c r="Y656" s="119"/>
    </row>
    <row r="657" spans="1:25">
      <c r="A657" s="44" t="s">
        <v>480</v>
      </c>
      <c r="B657" s="19" t="s">
        <v>448</v>
      </c>
      <c r="C657" s="49">
        <v>2034</v>
      </c>
      <c r="D657" s="46">
        <v>0</v>
      </c>
      <c r="E657" s="47">
        <v>0</v>
      </c>
      <c r="F657" s="47">
        <v>0</v>
      </c>
      <c r="G657" s="48">
        <v>0</v>
      </c>
      <c r="H657" s="57">
        <f t="shared" si="31"/>
        <v>0</v>
      </c>
      <c r="I657" s="119"/>
      <c r="J657" s="119"/>
      <c r="K657" s="119"/>
      <c r="L657" s="119"/>
      <c r="M657" s="119"/>
      <c r="N657" s="119"/>
      <c r="O657" s="119"/>
      <c r="P657" s="119"/>
      <c r="Q657" s="44" t="s">
        <v>480</v>
      </c>
      <c r="R657" s="19" t="s">
        <v>448</v>
      </c>
      <c r="S657" s="49">
        <v>2034</v>
      </c>
      <c r="T657" s="46">
        <v>0</v>
      </c>
      <c r="U657" s="47">
        <v>0</v>
      </c>
      <c r="V657" s="47">
        <v>60.074075947864493</v>
      </c>
      <c r="W657" s="48">
        <v>0</v>
      </c>
      <c r="X657" s="57">
        <f t="shared" si="30"/>
        <v>60.074075947864493</v>
      </c>
      <c r="Y657" s="119"/>
    </row>
    <row r="658" spans="1:25">
      <c r="A658" s="44" t="s">
        <v>480</v>
      </c>
      <c r="B658" s="19" t="s">
        <v>448</v>
      </c>
      <c r="C658" s="49">
        <v>2035</v>
      </c>
      <c r="D658" s="46">
        <v>0</v>
      </c>
      <c r="E658" s="47">
        <v>0</v>
      </c>
      <c r="F658" s="47">
        <v>0</v>
      </c>
      <c r="G658" s="48">
        <v>0</v>
      </c>
      <c r="H658" s="57">
        <f t="shared" si="31"/>
        <v>0</v>
      </c>
      <c r="I658" s="119"/>
      <c r="J658" s="119"/>
      <c r="K658" s="119"/>
      <c r="L658" s="119"/>
      <c r="M658" s="119"/>
      <c r="N658" s="119"/>
      <c r="O658" s="119"/>
      <c r="P658" s="119"/>
      <c r="Q658" s="44" t="s">
        <v>480</v>
      </c>
      <c r="R658" s="19" t="s">
        <v>448</v>
      </c>
      <c r="S658" s="49">
        <v>2035</v>
      </c>
      <c r="T658" s="46">
        <v>0</v>
      </c>
      <c r="U658" s="47">
        <v>0</v>
      </c>
      <c r="V658" s="47">
        <v>61.275557466821788</v>
      </c>
      <c r="W658" s="48">
        <v>0</v>
      </c>
      <c r="X658" s="57">
        <f t="shared" si="30"/>
        <v>61.275557466821788</v>
      </c>
      <c r="Y658" s="119">
        <f>NPV($Y$10,X649:X658)/((1-(1+$Y$10)^-10)/$Y$10)</f>
        <v>30.108947139380639</v>
      </c>
    </row>
    <row r="659" spans="1:25">
      <c r="A659" s="44"/>
      <c r="B659" s="19" t="s">
        <v>401</v>
      </c>
      <c r="C659" s="49"/>
      <c r="D659" s="46" t="s">
        <v>401</v>
      </c>
      <c r="E659" s="47" t="s">
        <v>401</v>
      </c>
      <c r="F659" s="47" t="s">
        <v>401</v>
      </c>
      <c r="G659" s="48" t="s">
        <v>401</v>
      </c>
      <c r="H659" s="57">
        <f t="shared" si="31"/>
        <v>0</v>
      </c>
      <c r="I659" s="119"/>
      <c r="J659" s="119"/>
      <c r="K659" s="119"/>
      <c r="L659" s="119"/>
      <c r="M659" s="119"/>
      <c r="N659" s="119"/>
      <c r="O659" s="119"/>
      <c r="P659" s="119"/>
      <c r="Q659" s="44"/>
      <c r="R659" s="19" t="s">
        <v>401</v>
      </c>
      <c r="S659" s="49"/>
      <c r="T659" s="46"/>
      <c r="U659" s="47"/>
      <c r="V659" s="47"/>
      <c r="W659" s="48"/>
      <c r="X659" s="57">
        <f t="shared" si="30"/>
        <v>0</v>
      </c>
      <c r="Y659" s="119"/>
    </row>
    <row r="660" spans="1:25">
      <c r="A660" s="44" t="s">
        <v>480</v>
      </c>
      <c r="B660" s="19" t="s">
        <v>449</v>
      </c>
      <c r="C660" s="49">
        <v>2026</v>
      </c>
      <c r="D660" s="46">
        <v>0</v>
      </c>
      <c r="E660" s="47">
        <v>0</v>
      </c>
      <c r="F660" s="47">
        <v>0</v>
      </c>
      <c r="G660" s="48">
        <v>0</v>
      </c>
      <c r="H660" s="57">
        <f t="shared" si="31"/>
        <v>0</v>
      </c>
      <c r="I660" s="119"/>
      <c r="J660" s="119"/>
      <c r="K660" s="119"/>
      <c r="L660" s="119"/>
      <c r="M660" s="119"/>
      <c r="N660" s="119"/>
      <c r="O660" s="119"/>
      <c r="P660" s="119"/>
      <c r="Q660" s="44" t="s">
        <v>480</v>
      </c>
      <c r="R660" s="19" t="s">
        <v>449</v>
      </c>
      <c r="S660" s="49">
        <v>2026</v>
      </c>
      <c r="T660" s="46">
        <v>0</v>
      </c>
      <c r="U660" s="47">
        <v>0</v>
      </c>
      <c r="V660" s="47">
        <v>0</v>
      </c>
      <c r="W660" s="48">
        <v>0</v>
      </c>
      <c r="X660" s="57">
        <f t="shared" si="30"/>
        <v>0</v>
      </c>
      <c r="Y660" s="119"/>
    </row>
    <row r="661" spans="1:25">
      <c r="A661" s="44" t="s">
        <v>480</v>
      </c>
      <c r="B661" s="19" t="s">
        <v>449</v>
      </c>
      <c r="C661" s="49">
        <v>2027</v>
      </c>
      <c r="D661" s="46">
        <v>0</v>
      </c>
      <c r="E661" s="47">
        <v>0</v>
      </c>
      <c r="F661" s="47">
        <v>0</v>
      </c>
      <c r="G661" s="48">
        <v>0</v>
      </c>
      <c r="H661" s="57">
        <f t="shared" si="31"/>
        <v>0</v>
      </c>
      <c r="I661" s="119"/>
      <c r="J661" s="119"/>
      <c r="K661" s="119"/>
      <c r="L661" s="119"/>
      <c r="M661" s="119"/>
      <c r="N661" s="119"/>
      <c r="O661" s="119"/>
      <c r="P661" s="119"/>
      <c r="Q661" s="44" t="s">
        <v>480</v>
      </c>
      <c r="R661" s="19" t="s">
        <v>449</v>
      </c>
      <c r="S661" s="49">
        <v>2027</v>
      </c>
      <c r="T661" s="46">
        <v>0</v>
      </c>
      <c r="U661" s="47">
        <v>0</v>
      </c>
      <c r="V661" s="47">
        <v>0</v>
      </c>
      <c r="W661" s="48">
        <v>0</v>
      </c>
      <c r="X661" s="57">
        <f t="shared" si="30"/>
        <v>0</v>
      </c>
      <c r="Y661" s="119"/>
    </row>
    <row r="662" spans="1:25">
      <c r="A662" s="44" t="s">
        <v>480</v>
      </c>
      <c r="B662" s="19" t="s">
        <v>449</v>
      </c>
      <c r="C662" s="49">
        <v>2028</v>
      </c>
      <c r="D662" s="46">
        <v>0</v>
      </c>
      <c r="E662" s="47">
        <v>0</v>
      </c>
      <c r="F662" s="47">
        <v>0</v>
      </c>
      <c r="G662" s="48">
        <v>0</v>
      </c>
      <c r="H662" s="57">
        <f t="shared" si="31"/>
        <v>0</v>
      </c>
      <c r="I662" s="119"/>
      <c r="J662" s="119"/>
      <c r="K662" s="119"/>
      <c r="L662" s="119"/>
      <c r="M662" s="119"/>
      <c r="N662" s="119"/>
      <c r="O662" s="119"/>
      <c r="P662" s="119"/>
      <c r="Q662" s="44" t="s">
        <v>480</v>
      </c>
      <c r="R662" s="19" t="s">
        <v>449</v>
      </c>
      <c r="S662" s="49">
        <v>2028</v>
      </c>
      <c r="T662" s="46">
        <v>0</v>
      </c>
      <c r="U662" s="47">
        <v>0</v>
      </c>
      <c r="V662" s="47">
        <v>0</v>
      </c>
      <c r="W662" s="48">
        <v>0</v>
      </c>
      <c r="X662" s="57">
        <f t="shared" si="30"/>
        <v>0</v>
      </c>
      <c r="Y662" s="119"/>
    </row>
    <row r="663" spans="1:25">
      <c r="A663" s="44" t="s">
        <v>480</v>
      </c>
      <c r="B663" s="19" t="s">
        <v>449</v>
      </c>
      <c r="C663" s="49">
        <v>2029</v>
      </c>
      <c r="D663" s="46">
        <v>0</v>
      </c>
      <c r="E663" s="47">
        <v>0</v>
      </c>
      <c r="F663" s="47">
        <v>4.7066714356630994</v>
      </c>
      <c r="G663" s="48">
        <v>0</v>
      </c>
      <c r="H663" s="57">
        <f t="shared" si="31"/>
        <v>3.8447401818939113</v>
      </c>
      <c r="I663" s="119"/>
      <c r="J663" s="119"/>
      <c r="K663" s="119"/>
      <c r="L663" s="119"/>
      <c r="M663" s="119"/>
      <c r="N663" s="119"/>
      <c r="O663" s="119"/>
      <c r="P663" s="119"/>
      <c r="Q663" s="44" t="s">
        <v>480</v>
      </c>
      <c r="R663" s="19" t="s">
        <v>449</v>
      </c>
      <c r="S663" s="49">
        <v>2029</v>
      </c>
      <c r="T663" s="46">
        <v>0</v>
      </c>
      <c r="U663" s="47">
        <v>0</v>
      </c>
      <c r="V663" s="47">
        <v>4.7066714356630994</v>
      </c>
      <c r="W663" s="48">
        <v>0</v>
      </c>
      <c r="X663" s="57">
        <f t="shared" si="30"/>
        <v>4.7066714356630994</v>
      </c>
      <c r="Y663" s="119"/>
    </row>
    <row r="664" spans="1:25">
      <c r="A664" s="44" t="s">
        <v>480</v>
      </c>
      <c r="B664" s="19" t="s">
        <v>449</v>
      </c>
      <c r="C664" s="49">
        <v>2030</v>
      </c>
      <c r="D664" s="46">
        <v>0</v>
      </c>
      <c r="E664" s="47">
        <v>0</v>
      </c>
      <c r="F664" s="47">
        <v>23.475432693238826</v>
      </c>
      <c r="G664" s="48">
        <v>0</v>
      </c>
      <c r="H664" s="57">
        <f t="shared" si="31"/>
        <v>17.926042642723942</v>
      </c>
      <c r="I664" s="119"/>
      <c r="J664" s="119"/>
      <c r="K664" s="119"/>
      <c r="L664" s="119"/>
      <c r="M664" s="119"/>
      <c r="N664" s="119"/>
      <c r="O664" s="119"/>
      <c r="P664" s="119"/>
      <c r="Q664" s="44" t="s">
        <v>480</v>
      </c>
      <c r="R664" s="19" t="s">
        <v>449</v>
      </c>
      <c r="S664" s="49">
        <v>2030</v>
      </c>
      <c r="T664" s="46">
        <v>0</v>
      </c>
      <c r="U664" s="47">
        <v>0</v>
      </c>
      <c r="V664" s="47">
        <v>28.27623755761519</v>
      </c>
      <c r="W664" s="48">
        <v>0</v>
      </c>
      <c r="X664" s="57">
        <f t="shared" si="30"/>
        <v>28.27623755761519</v>
      </c>
      <c r="Y664" s="119"/>
    </row>
    <row r="665" spans="1:25">
      <c r="A665" s="44" t="s">
        <v>480</v>
      </c>
      <c r="B665" s="19" t="s">
        <v>449</v>
      </c>
      <c r="C665" s="49">
        <v>2031</v>
      </c>
      <c r="D665" s="46">
        <v>0</v>
      </c>
      <c r="E665" s="47">
        <v>0</v>
      </c>
      <c r="F665" s="47">
        <v>44.593239472962487</v>
      </c>
      <c r="G665" s="48">
        <v>0</v>
      </c>
      <c r="H665" s="57">
        <f t="shared" si="31"/>
        <v>31.831532439551488</v>
      </c>
      <c r="I665" s="119"/>
      <c r="J665" s="119"/>
      <c r="K665" s="119"/>
      <c r="L665" s="119"/>
      <c r="M665" s="119"/>
      <c r="N665" s="119"/>
      <c r="O665" s="119"/>
      <c r="P665" s="119"/>
      <c r="Q665" s="44" t="s">
        <v>480</v>
      </c>
      <c r="R665" s="19" t="s">
        <v>449</v>
      </c>
      <c r="S665" s="49">
        <v>2031</v>
      </c>
      <c r="T665" s="46">
        <v>0</v>
      </c>
      <c r="U665" s="47">
        <v>0</v>
      </c>
      <c r="V665" s="47">
        <v>73.43500178172998</v>
      </c>
      <c r="W665" s="48">
        <v>0</v>
      </c>
      <c r="X665" s="57">
        <f t="shared" si="30"/>
        <v>73.43500178172998</v>
      </c>
      <c r="Y665" s="119"/>
    </row>
    <row r="666" spans="1:25">
      <c r="A666" s="44" t="s">
        <v>480</v>
      </c>
      <c r="B666" s="19" t="s">
        <v>449</v>
      </c>
      <c r="C666" s="49">
        <v>2032</v>
      </c>
      <c r="D666" s="46">
        <v>0</v>
      </c>
      <c r="E666" s="47">
        <v>113.62240775970797</v>
      </c>
      <c r="F666" s="47">
        <v>41.691177601370356</v>
      </c>
      <c r="G666" s="48">
        <v>0</v>
      </c>
      <c r="H666" s="57">
        <f t="shared" si="31"/>
        <v>103.63720081718898</v>
      </c>
      <c r="I666" s="119"/>
      <c r="J666" s="119"/>
      <c r="K666" s="119"/>
      <c r="L666" s="119"/>
      <c r="M666" s="119"/>
      <c r="N666" s="119"/>
      <c r="O666" s="119"/>
      <c r="P666" s="119"/>
      <c r="Q666" s="44" t="s">
        <v>480</v>
      </c>
      <c r="R666" s="19" t="s">
        <v>449</v>
      </c>
      <c r="S666" s="49">
        <v>2032</v>
      </c>
      <c r="T666" s="46">
        <v>0</v>
      </c>
      <c r="U666" s="47">
        <v>113.62240775970797</v>
      </c>
      <c r="V666" s="47">
        <v>116.59487941873493</v>
      </c>
      <c r="W666" s="48">
        <v>0</v>
      </c>
      <c r="X666" s="57">
        <f t="shared" si="30"/>
        <v>230.21728717844292</v>
      </c>
      <c r="Y666" s="119"/>
    </row>
    <row r="667" spans="1:25">
      <c r="A667" s="44" t="s">
        <v>480</v>
      </c>
      <c r="B667" s="19" t="s">
        <v>449</v>
      </c>
      <c r="C667" s="49">
        <v>2033</v>
      </c>
      <c r="D667" s="46">
        <v>0</v>
      </c>
      <c r="E667" s="47">
        <v>106.21398248161529</v>
      </c>
      <c r="F667" s="47">
        <v>14.114917274115685</v>
      </c>
      <c r="G667" s="48">
        <v>0</v>
      </c>
      <c r="H667" s="57">
        <f t="shared" si="31"/>
        <v>75.0574627852303</v>
      </c>
      <c r="I667" s="119"/>
      <c r="J667" s="119"/>
      <c r="K667" s="119"/>
      <c r="L667" s="119"/>
      <c r="M667" s="119"/>
      <c r="N667" s="119"/>
      <c r="O667" s="119"/>
      <c r="P667" s="119"/>
      <c r="Q667" s="44" t="s">
        <v>480</v>
      </c>
      <c r="R667" s="19" t="s">
        <v>449</v>
      </c>
      <c r="S667" s="49">
        <v>2033</v>
      </c>
      <c r="T667" s="46">
        <v>0</v>
      </c>
      <c r="U667" s="47">
        <v>222.1088383965174</v>
      </c>
      <c r="V667" s="47">
        <v>133.04169428122532</v>
      </c>
      <c r="W667" s="48">
        <v>0</v>
      </c>
      <c r="X667" s="57">
        <f t="shared" si="30"/>
        <v>355.15053267774272</v>
      </c>
      <c r="Y667" s="119"/>
    </row>
    <row r="668" spans="1:25">
      <c r="A668" s="44" t="s">
        <v>480</v>
      </c>
      <c r="B668" s="19" t="s">
        <v>449</v>
      </c>
      <c r="C668" s="49">
        <v>2034</v>
      </c>
      <c r="D668" s="46">
        <v>0</v>
      </c>
      <c r="E668" s="47">
        <v>0</v>
      </c>
      <c r="F668" s="47">
        <v>0</v>
      </c>
      <c r="G668" s="48">
        <v>0</v>
      </c>
      <c r="H668" s="57">
        <f t="shared" si="31"/>
        <v>0</v>
      </c>
      <c r="I668" s="119"/>
      <c r="J668" s="119"/>
      <c r="K668" s="119"/>
      <c r="L668" s="119"/>
      <c r="M668" s="119"/>
      <c r="N668" s="119"/>
      <c r="O668" s="119"/>
      <c r="P668" s="119"/>
      <c r="Q668" s="44" t="s">
        <v>480</v>
      </c>
      <c r="R668" s="19" t="s">
        <v>449</v>
      </c>
      <c r="S668" s="49">
        <v>2034</v>
      </c>
      <c r="T668" s="46">
        <v>0</v>
      </c>
      <c r="U668" s="47">
        <v>226.55101516444776</v>
      </c>
      <c r="V668" s="47">
        <v>135.70252816684982</v>
      </c>
      <c r="W668" s="48">
        <v>0</v>
      </c>
      <c r="X668" s="57">
        <f t="shared" si="30"/>
        <v>362.25354333129758</v>
      </c>
      <c r="Y668" s="119"/>
    </row>
    <row r="669" spans="1:25">
      <c r="A669" s="44" t="s">
        <v>480</v>
      </c>
      <c r="B669" s="19" t="s">
        <v>449</v>
      </c>
      <c r="C669" s="49">
        <v>2035</v>
      </c>
      <c r="D669" s="46">
        <v>0</v>
      </c>
      <c r="E669" s="47">
        <v>0</v>
      </c>
      <c r="F669" s="47">
        <v>0</v>
      </c>
      <c r="G669" s="48">
        <v>0</v>
      </c>
      <c r="H669" s="57">
        <f t="shared" si="31"/>
        <v>0</v>
      </c>
      <c r="I669" s="119"/>
      <c r="J669" s="119"/>
      <c r="K669" s="119"/>
      <c r="L669" s="119"/>
      <c r="M669" s="119"/>
      <c r="N669" s="119"/>
      <c r="O669" s="119"/>
      <c r="P669" s="119"/>
      <c r="Q669" s="44" t="s">
        <v>480</v>
      </c>
      <c r="R669" s="19" t="s">
        <v>449</v>
      </c>
      <c r="S669" s="49">
        <v>2035</v>
      </c>
      <c r="T669" s="46">
        <v>0</v>
      </c>
      <c r="U669" s="47">
        <v>231.08203546773672</v>
      </c>
      <c r="V669" s="47">
        <v>138.41657873018681</v>
      </c>
      <c r="W669" s="48">
        <v>0</v>
      </c>
      <c r="X669" s="57">
        <f t="shared" si="30"/>
        <v>369.49861419792353</v>
      </c>
      <c r="Y669" s="119">
        <f>NPV($Y$10,X660:X669)/((1-(1+$Y$10)^-10)/$Y$10)</f>
        <v>115.07881050903028</v>
      </c>
    </row>
    <row r="670" spans="1:25">
      <c r="A670" s="44"/>
      <c r="B670" s="19" t="s">
        <v>401</v>
      </c>
      <c r="C670" s="49"/>
      <c r="D670" s="42" t="s">
        <v>401</v>
      </c>
      <c r="E670" s="19" t="s">
        <v>401</v>
      </c>
      <c r="F670" s="19" t="s">
        <v>401</v>
      </c>
      <c r="G670" s="43" t="s">
        <v>401</v>
      </c>
      <c r="H670" s="57">
        <f t="shared" si="31"/>
        <v>0</v>
      </c>
      <c r="I670" s="119"/>
      <c r="J670" s="119"/>
      <c r="K670" s="119"/>
      <c r="L670" s="119"/>
      <c r="M670" s="119"/>
      <c r="N670" s="119"/>
      <c r="O670" s="119"/>
      <c r="P670" s="119"/>
      <c r="Q670" s="44"/>
      <c r="R670" s="19" t="s">
        <v>401</v>
      </c>
      <c r="S670" s="49"/>
      <c r="T670" s="42"/>
      <c r="U670" s="19"/>
      <c r="V670" s="19"/>
      <c r="W670" s="43"/>
      <c r="X670" s="57">
        <f t="shared" si="30"/>
        <v>0</v>
      </c>
      <c r="Y670" s="119"/>
    </row>
    <row r="671" spans="1:25">
      <c r="A671" s="44" t="s">
        <v>480</v>
      </c>
      <c r="B671" s="19" t="s">
        <v>450</v>
      </c>
      <c r="C671" s="49">
        <v>2026</v>
      </c>
      <c r="D671" s="46">
        <v>0</v>
      </c>
      <c r="E671" s="47">
        <v>0</v>
      </c>
      <c r="F671" s="47">
        <v>0</v>
      </c>
      <c r="G671" s="48">
        <v>0</v>
      </c>
      <c r="H671" s="57">
        <f t="shared" si="31"/>
        <v>0</v>
      </c>
      <c r="I671" s="119"/>
      <c r="J671" s="119"/>
      <c r="K671" s="119"/>
      <c r="L671" s="119"/>
      <c r="M671" s="119"/>
      <c r="N671" s="119"/>
      <c r="O671" s="119"/>
      <c r="P671" s="119"/>
      <c r="Q671" s="44" t="s">
        <v>480</v>
      </c>
      <c r="R671" s="19" t="s">
        <v>450</v>
      </c>
      <c r="S671" s="49">
        <v>2026</v>
      </c>
      <c r="T671" s="46">
        <v>0</v>
      </c>
      <c r="U671" s="47">
        <v>0</v>
      </c>
      <c r="V671" s="47">
        <v>0</v>
      </c>
      <c r="W671" s="48">
        <v>0</v>
      </c>
      <c r="X671" s="57">
        <f t="shared" si="30"/>
        <v>0</v>
      </c>
      <c r="Y671" s="119"/>
    </row>
    <row r="672" spans="1:25">
      <c r="A672" s="44" t="s">
        <v>480</v>
      </c>
      <c r="B672" s="19" t="s">
        <v>450</v>
      </c>
      <c r="C672" s="49">
        <v>2027</v>
      </c>
      <c r="D672" s="46">
        <v>0</v>
      </c>
      <c r="E672" s="47">
        <v>0</v>
      </c>
      <c r="F672" s="47">
        <v>0</v>
      </c>
      <c r="G672" s="48">
        <v>0</v>
      </c>
      <c r="H672" s="57">
        <f t="shared" si="31"/>
        <v>0</v>
      </c>
      <c r="I672" s="119"/>
      <c r="J672" s="119"/>
      <c r="K672" s="119"/>
      <c r="L672" s="119"/>
      <c r="M672" s="119"/>
      <c r="N672" s="119"/>
      <c r="O672" s="119"/>
      <c r="P672" s="119"/>
      <c r="Q672" s="44" t="s">
        <v>480</v>
      </c>
      <c r="R672" s="19" t="s">
        <v>450</v>
      </c>
      <c r="S672" s="49">
        <v>2027</v>
      </c>
      <c r="T672" s="46">
        <v>0</v>
      </c>
      <c r="U672" s="47">
        <v>0</v>
      </c>
      <c r="V672" s="47">
        <v>0</v>
      </c>
      <c r="W672" s="48">
        <v>0</v>
      </c>
      <c r="X672" s="57">
        <f t="shared" si="30"/>
        <v>0</v>
      </c>
      <c r="Y672" s="119"/>
    </row>
    <row r="673" spans="1:25">
      <c r="A673" s="44" t="s">
        <v>480</v>
      </c>
      <c r="B673" s="19" t="s">
        <v>450</v>
      </c>
      <c r="C673" s="49">
        <v>2028</v>
      </c>
      <c r="D673" s="46">
        <v>0</v>
      </c>
      <c r="E673" s="47">
        <v>0</v>
      </c>
      <c r="F673" s="47">
        <v>0</v>
      </c>
      <c r="G673" s="48">
        <v>0</v>
      </c>
      <c r="H673" s="57">
        <f t="shared" si="31"/>
        <v>0</v>
      </c>
      <c r="I673" s="119"/>
      <c r="J673" s="119"/>
      <c r="K673" s="119"/>
      <c r="L673" s="119"/>
      <c r="M673" s="119"/>
      <c r="N673" s="119"/>
      <c r="O673" s="119"/>
      <c r="P673" s="119"/>
      <c r="Q673" s="44" t="s">
        <v>480</v>
      </c>
      <c r="R673" s="19" t="s">
        <v>450</v>
      </c>
      <c r="S673" s="49">
        <v>2028</v>
      </c>
      <c r="T673" s="46">
        <v>0</v>
      </c>
      <c r="U673" s="47">
        <v>0</v>
      </c>
      <c r="V673" s="47">
        <v>0</v>
      </c>
      <c r="W673" s="48">
        <v>0</v>
      </c>
      <c r="X673" s="57">
        <f t="shared" si="30"/>
        <v>0</v>
      </c>
      <c r="Y673" s="119"/>
    </row>
    <row r="674" spans="1:25">
      <c r="A674" s="44" t="s">
        <v>480</v>
      </c>
      <c r="B674" s="19" t="s">
        <v>450</v>
      </c>
      <c r="C674" s="49">
        <v>2029</v>
      </c>
      <c r="D674" s="46">
        <v>0</v>
      </c>
      <c r="E674" s="47">
        <v>0</v>
      </c>
      <c r="F674" s="47">
        <v>4.000670720313634</v>
      </c>
      <c r="G674" s="48">
        <v>0</v>
      </c>
      <c r="H674" s="57">
        <f t="shared" si="31"/>
        <v>3.2680291546098243</v>
      </c>
      <c r="I674" s="119"/>
      <c r="J674" s="119"/>
      <c r="K674" s="119"/>
      <c r="L674" s="119"/>
      <c r="M674" s="119"/>
      <c r="N674" s="119"/>
      <c r="O674" s="119"/>
      <c r="P674" s="119"/>
      <c r="Q674" s="44" t="s">
        <v>480</v>
      </c>
      <c r="R674" s="19" t="s">
        <v>450</v>
      </c>
      <c r="S674" s="49">
        <v>2029</v>
      </c>
      <c r="T674" s="46">
        <v>0</v>
      </c>
      <c r="U674" s="47">
        <v>0</v>
      </c>
      <c r="V674" s="47">
        <v>4.000670720313634</v>
      </c>
      <c r="W674" s="48">
        <v>0</v>
      </c>
      <c r="X674" s="57">
        <f t="shared" si="30"/>
        <v>4.000670720313634</v>
      </c>
      <c r="Y674" s="119"/>
    </row>
    <row r="675" spans="1:25">
      <c r="A675" s="44" t="s">
        <v>480</v>
      </c>
      <c r="B675" s="19" t="s">
        <v>450</v>
      </c>
      <c r="C675" s="49">
        <v>2030</v>
      </c>
      <c r="D675" s="46">
        <v>0</v>
      </c>
      <c r="E675" s="47">
        <v>0</v>
      </c>
      <c r="F675" s="47">
        <v>19.954117789252997</v>
      </c>
      <c r="G675" s="48">
        <v>0</v>
      </c>
      <c r="H675" s="57">
        <f t="shared" si="31"/>
        <v>15.237136246315348</v>
      </c>
      <c r="I675" s="119"/>
      <c r="J675" s="119"/>
      <c r="K675" s="119"/>
      <c r="L675" s="119"/>
      <c r="M675" s="119"/>
      <c r="N675" s="119"/>
      <c r="O675" s="119"/>
      <c r="P675" s="119"/>
      <c r="Q675" s="44" t="s">
        <v>480</v>
      </c>
      <c r="R675" s="19" t="s">
        <v>450</v>
      </c>
      <c r="S675" s="49">
        <v>2030</v>
      </c>
      <c r="T675" s="46">
        <v>0</v>
      </c>
      <c r="U675" s="47">
        <v>0</v>
      </c>
      <c r="V675" s="47">
        <v>24.034801923972903</v>
      </c>
      <c r="W675" s="48">
        <v>0</v>
      </c>
      <c r="X675" s="57">
        <f t="shared" si="30"/>
        <v>24.034801923972903</v>
      </c>
      <c r="Y675" s="119"/>
    </row>
    <row r="676" spans="1:25">
      <c r="A676" s="44" t="s">
        <v>480</v>
      </c>
      <c r="B676" s="19" t="s">
        <v>450</v>
      </c>
      <c r="C676" s="49">
        <v>2031</v>
      </c>
      <c r="D676" s="46">
        <v>0</v>
      </c>
      <c r="E676" s="47">
        <v>0</v>
      </c>
      <c r="F676" s="47">
        <v>37.904253552018112</v>
      </c>
      <c r="G676" s="48">
        <v>0</v>
      </c>
      <c r="H676" s="57">
        <f t="shared" si="31"/>
        <v>27.056802573618764</v>
      </c>
      <c r="I676" s="119"/>
      <c r="J676" s="119"/>
      <c r="K676" s="119"/>
      <c r="L676" s="119"/>
      <c r="M676" s="119"/>
      <c r="N676" s="119"/>
      <c r="O676" s="119"/>
      <c r="P676" s="119"/>
      <c r="Q676" s="44" t="s">
        <v>480</v>
      </c>
      <c r="R676" s="19" t="s">
        <v>450</v>
      </c>
      <c r="S676" s="49">
        <v>2031</v>
      </c>
      <c r="T676" s="46">
        <v>0</v>
      </c>
      <c r="U676" s="47">
        <v>0</v>
      </c>
      <c r="V676" s="47">
        <v>62.419751514470477</v>
      </c>
      <c r="W676" s="48">
        <v>0</v>
      </c>
      <c r="X676" s="57">
        <f t="shared" si="30"/>
        <v>62.419751514470477</v>
      </c>
      <c r="Y676" s="119"/>
    </row>
    <row r="677" spans="1:25">
      <c r="A677" s="44" t="s">
        <v>480</v>
      </c>
      <c r="B677" s="19" t="s">
        <v>450</v>
      </c>
      <c r="C677" s="49">
        <v>2032</v>
      </c>
      <c r="D677" s="46">
        <v>0</v>
      </c>
      <c r="E677" s="47">
        <v>0</v>
      </c>
      <c r="F677" s="47">
        <v>35.437500961164801</v>
      </c>
      <c r="G677" s="48">
        <v>0</v>
      </c>
      <c r="H677" s="57">
        <f t="shared" si="31"/>
        <v>23.646633325946844</v>
      </c>
      <c r="I677" s="119"/>
      <c r="J677" s="119"/>
      <c r="K677" s="119"/>
      <c r="L677" s="119"/>
      <c r="M677" s="119"/>
      <c r="N677" s="119"/>
      <c r="O677" s="119"/>
      <c r="P677" s="119"/>
      <c r="Q677" s="44" t="s">
        <v>480</v>
      </c>
      <c r="R677" s="19" t="s">
        <v>450</v>
      </c>
      <c r="S677" s="49">
        <v>2032</v>
      </c>
      <c r="T677" s="46">
        <v>0</v>
      </c>
      <c r="U677" s="47">
        <v>0</v>
      </c>
      <c r="V677" s="47">
        <v>99.105647505924679</v>
      </c>
      <c r="W677" s="48">
        <v>0</v>
      </c>
      <c r="X677" s="57">
        <f t="shared" si="30"/>
        <v>99.105647505924679</v>
      </c>
      <c r="Y677" s="119"/>
    </row>
    <row r="678" spans="1:25">
      <c r="A678" s="44" t="s">
        <v>480</v>
      </c>
      <c r="B678" s="19" t="s">
        <v>450</v>
      </c>
      <c r="C678" s="49">
        <v>2033</v>
      </c>
      <c r="D678" s="46">
        <v>0</v>
      </c>
      <c r="E678" s="47">
        <v>0</v>
      </c>
      <c r="F678" s="47">
        <v>11.997679682998331</v>
      </c>
      <c r="G678" s="48">
        <v>29.02931137661886</v>
      </c>
      <c r="H678" s="57">
        <f t="shared" si="31"/>
        <v>25.59137381708279</v>
      </c>
      <c r="I678" s="119"/>
      <c r="J678" s="119"/>
      <c r="K678" s="119"/>
      <c r="L678" s="119"/>
      <c r="M678" s="119"/>
      <c r="N678" s="119"/>
      <c r="O678" s="119"/>
      <c r="P678" s="119"/>
      <c r="Q678" s="44" t="s">
        <v>480</v>
      </c>
      <c r="R678" s="19" t="s">
        <v>450</v>
      </c>
      <c r="S678" s="49">
        <v>2033</v>
      </c>
      <c r="T678" s="46">
        <v>0</v>
      </c>
      <c r="U678" s="47">
        <v>0</v>
      </c>
      <c r="V678" s="47">
        <v>113.08544013904151</v>
      </c>
      <c r="W678" s="48">
        <v>29.02931137661886</v>
      </c>
      <c r="X678" s="57">
        <f t="shared" si="30"/>
        <v>142.11475151566037</v>
      </c>
      <c r="Y678" s="119"/>
    </row>
    <row r="679" spans="1:25">
      <c r="A679" s="44" t="s">
        <v>480</v>
      </c>
      <c r="B679" s="19" t="s">
        <v>450</v>
      </c>
      <c r="C679" s="49">
        <v>2034</v>
      </c>
      <c r="D679" s="46">
        <v>0</v>
      </c>
      <c r="E679" s="47">
        <v>0</v>
      </c>
      <c r="F679" s="47">
        <v>0</v>
      </c>
      <c r="G679" s="48">
        <v>0</v>
      </c>
      <c r="H679" s="57">
        <f t="shared" si="31"/>
        <v>0</v>
      </c>
      <c r="I679" s="119"/>
      <c r="J679" s="119"/>
      <c r="K679" s="119"/>
      <c r="L679" s="119"/>
      <c r="M679" s="119"/>
      <c r="N679" s="119"/>
      <c r="O679" s="119"/>
      <c r="P679" s="119"/>
      <c r="Q679" s="44" t="s">
        <v>480</v>
      </c>
      <c r="R679" s="19" t="s">
        <v>450</v>
      </c>
      <c r="S679" s="49">
        <v>2034</v>
      </c>
      <c r="T679" s="46">
        <v>0</v>
      </c>
      <c r="U679" s="47">
        <v>0</v>
      </c>
      <c r="V679" s="47">
        <v>115.34714894182234</v>
      </c>
      <c r="W679" s="48">
        <v>29.609897604151239</v>
      </c>
      <c r="X679" s="57">
        <f t="shared" si="30"/>
        <v>144.95704654597358</v>
      </c>
      <c r="Y679" s="119"/>
    </row>
    <row r="680" spans="1:25">
      <c r="A680" s="44" t="s">
        <v>480</v>
      </c>
      <c r="B680" s="19" t="s">
        <v>450</v>
      </c>
      <c r="C680" s="49">
        <v>2035</v>
      </c>
      <c r="D680" s="46">
        <v>0</v>
      </c>
      <c r="E680" s="47">
        <v>0</v>
      </c>
      <c r="F680" s="47">
        <v>0</v>
      </c>
      <c r="G680" s="48">
        <v>0</v>
      </c>
      <c r="H680" s="57">
        <f t="shared" si="31"/>
        <v>0</v>
      </c>
      <c r="I680" s="119"/>
      <c r="J680" s="119"/>
      <c r="K680" s="119"/>
      <c r="L680" s="119"/>
      <c r="M680" s="119"/>
      <c r="N680" s="119"/>
      <c r="O680" s="119"/>
      <c r="P680" s="119"/>
      <c r="Q680" s="44" t="s">
        <v>480</v>
      </c>
      <c r="R680" s="19" t="s">
        <v>450</v>
      </c>
      <c r="S680" s="49">
        <v>2035</v>
      </c>
      <c r="T680" s="46">
        <v>0</v>
      </c>
      <c r="U680" s="47">
        <v>0</v>
      </c>
      <c r="V680" s="47">
        <v>117.65409192065879</v>
      </c>
      <c r="W680" s="48">
        <v>30.202095556234266</v>
      </c>
      <c r="X680" s="57">
        <f t="shared" si="30"/>
        <v>147.85618747689304</v>
      </c>
      <c r="Y680" s="119">
        <f>NPV($Y$10,X671:X680)/((1-(1+$Y$10)^-10)/$Y$10)</f>
        <v>51.324687364331922</v>
      </c>
    </row>
    <row r="681" spans="1:25">
      <c r="A681" s="44"/>
      <c r="B681" s="19" t="s">
        <v>401</v>
      </c>
      <c r="C681" s="49"/>
      <c r="D681" s="46" t="s">
        <v>401</v>
      </c>
      <c r="E681" s="47" t="s">
        <v>401</v>
      </c>
      <c r="F681" s="47" t="s">
        <v>401</v>
      </c>
      <c r="G681" s="48" t="s">
        <v>401</v>
      </c>
      <c r="H681" s="57">
        <f t="shared" si="31"/>
        <v>0</v>
      </c>
      <c r="I681" s="119"/>
      <c r="J681" s="119"/>
      <c r="K681" s="119"/>
      <c r="L681" s="119"/>
      <c r="M681" s="119"/>
      <c r="N681" s="119"/>
      <c r="O681" s="119"/>
      <c r="P681" s="119"/>
      <c r="Q681" s="44"/>
      <c r="R681" s="19" t="s">
        <v>401</v>
      </c>
      <c r="S681" s="49"/>
      <c r="T681" s="46"/>
      <c r="U681" s="47"/>
      <c r="V681" s="47"/>
      <c r="W681" s="48"/>
      <c r="X681" s="57">
        <f t="shared" si="30"/>
        <v>0</v>
      </c>
      <c r="Y681" s="119"/>
    </row>
    <row r="682" spans="1:25">
      <c r="A682" s="44" t="s">
        <v>480</v>
      </c>
      <c r="B682" s="19" t="s">
        <v>451</v>
      </c>
      <c r="C682" s="49">
        <v>2026</v>
      </c>
      <c r="D682" s="46">
        <v>0</v>
      </c>
      <c r="E682" s="47">
        <v>0</v>
      </c>
      <c r="F682" s="47">
        <v>0</v>
      </c>
      <c r="G682" s="48">
        <v>0</v>
      </c>
      <c r="H682" s="57">
        <f t="shared" si="31"/>
        <v>0</v>
      </c>
      <c r="I682" s="119"/>
      <c r="J682" s="119"/>
      <c r="K682" s="119"/>
      <c r="L682" s="119"/>
      <c r="M682" s="119"/>
      <c r="N682" s="119"/>
      <c r="O682" s="119"/>
      <c r="P682" s="119"/>
      <c r="Q682" s="44" t="s">
        <v>480</v>
      </c>
      <c r="R682" s="19" t="s">
        <v>451</v>
      </c>
      <c r="S682" s="49">
        <v>2026</v>
      </c>
      <c r="T682" s="46">
        <v>0</v>
      </c>
      <c r="U682" s="47">
        <v>0</v>
      </c>
      <c r="V682" s="47">
        <v>0</v>
      </c>
      <c r="W682" s="48">
        <v>0</v>
      </c>
      <c r="X682" s="57">
        <f t="shared" si="30"/>
        <v>0</v>
      </c>
      <c r="Y682" s="119"/>
    </row>
    <row r="683" spans="1:25">
      <c r="A683" s="44" t="s">
        <v>480</v>
      </c>
      <c r="B683" s="19" t="s">
        <v>451</v>
      </c>
      <c r="C683" s="49">
        <v>2027</v>
      </c>
      <c r="D683" s="46">
        <v>0</v>
      </c>
      <c r="E683" s="47">
        <v>0</v>
      </c>
      <c r="F683" s="47">
        <v>0</v>
      </c>
      <c r="G683" s="48">
        <v>0</v>
      </c>
      <c r="H683" s="57">
        <f t="shared" si="31"/>
        <v>0</v>
      </c>
      <c r="I683" s="119"/>
      <c r="J683" s="119"/>
      <c r="K683" s="119"/>
      <c r="L683" s="119"/>
      <c r="M683" s="119"/>
      <c r="N683" s="119"/>
      <c r="O683" s="119"/>
      <c r="P683" s="119"/>
      <c r="Q683" s="44" t="s">
        <v>480</v>
      </c>
      <c r="R683" s="19" t="s">
        <v>451</v>
      </c>
      <c r="S683" s="49">
        <v>2027</v>
      </c>
      <c r="T683" s="46">
        <v>0</v>
      </c>
      <c r="U683" s="47">
        <v>0</v>
      </c>
      <c r="V683" s="47">
        <v>0</v>
      </c>
      <c r="W683" s="48">
        <v>0</v>
      </c>
      <c r="X683" s="57">
        <f t="shared" si="30"/>
        <v>0</v>
      </c>
      <c r="Y683" s="119"/>
    </row>
    <row r="684" spans="1:25">
      <c r="A684" s="44" t="s">
        <v>480</v>
      </c>
      <c r="B684" s="19" t="s">
        <v>451</v>
      </c>
      <c r="C684" s="49">
        <v>2028</v>
      </c>
      <c r="D684" s="46">
        <v>0</v>
      </c>
      <c r="E684" s="47">
        <v>0</v>
      </c>
      <c r="F684" s="47">
        <v>0</v>
      </c>
      <c r="G684" s="48">
        <v>0</v>
      </c>
      <c r="H684" s="57">
        <f t="shared" si="31"/>
        <v>0</v>
      </c>
      <c r="I684" s="119"/>
      <c r="J684" s="119"/>
      <c r="K684" s="119"/>
      <c r="L684" s="119"/>
      <c r="M684" s="119"/>
      <c r="N684" s="119"/>
      <c r="O684" s="119"/>
      <c r="P684" s="119"/>
      <c r="Q684" s="44" t="s">
        <v>480</v>
      </c>
      <c r="R684" s="19" t="s">
        <v>451</v>
      </c>
      <c r="S684" s="49">
        <v>2028</v>
      </c>
      <c r="T684" s="46">
        <v>0</v>
      </c>
      <c r="U684" s="47">
        <v>0</v>
      </c>
      <c r="V684" s="47">
        <v>0</v>
      </c>
      <c r="W684" s="48">
        <v>0</v>
      </c>
      <c r="X684" s="57">
        <f t="shared" si="30"/>
        <v>0</v>
      </c>
      <c r="Y684" s="119"/>
    </row>
    <row r="685" spans="1:25">
      <c r="A685" s="44" t="s">
        <v>480</v>
      </c>
      <c r="B685" s="19" t="s">
        <v>451</v>
      </c>
      <c r="C685" s="49">
        <v>2029</v>
      </c>
      <c r="D685" s="46">
        <v>0</v>
      </c>
      <c r="E685" s="47">
        <v>0</v>
      </c>
      <c r="F685" s="47">
        <v>4.279717503055509</v>
      </c>
      <c r="G685" s="48">
        <v>0</v>
      </c>
      <c r="H685" s="57">
        <f t="shared" si="31"/>
        <v>3.4959741881438586</v>
      </c>
      <c r="I685" s="119"/>
      <c r="J685" s="119"/>
      <c r="K685" s="119"/>
      <c r="L685" s="119"/>
      <c r="M685" s="119"/>
      <c r="N685" s="119"/>
      <c r="O685" s="119"/>
      <c r="P685" s="119"/>
      <c r="Q685" s="44" t="s">
        <v>480</v>
      </c>
      <c r="R685" s="19" t="s">
        <v>451</v>
      </c>
      <c r="S685" s="49">
        <v>2029</v>
      </c>
      <c r="T685" s="46">
        <v>0</v>
      </c>
      <c r="U685" s="47">
        <v>0</v>
      </c>
      <c r="V685" s="47">
        <v>4.279717503055509</v>
      </c>
      <c r="W685" s="48">
        <v>0</v>
      </c>
      <c r="X685" s="57">
        <f t="shared" si="30"/>
        <v>4.279717503055509</v>
      </c>
      <c r="Y685" s="119"/>
    </row>
    <row r="686" spans="1:25">
      <c r="A686" s="44" t="s">
        <v>480</v>
      </c>
      <c r="B686" s="19" t="s">
        <v>451</v>
      </c>
      <c r="C686" s="49">
        <v>2030</v>
      </c>
      <c r="D686" s="46">
        <v>0</v>
      </c>
      <c r="E686" s="47">
        <v>0</v>
      </c>
      <c r="F686" s="47">
        <v>21.345917505053393</v>
      </c>
      <c r="G686" s="48">
        <v>0</v>
      </c>
      <c r="H686" s="57">
        <f t="shared" si="31"/>
        <v>16.299926499495843</v>
      </c>
      <c r="I686" s="119"/>
      <c r="J686" s="119"/>
      <c r="K686" s="119"/>
      <c r="L686" s="119"/>
      <c r="M686" s="119"/>
      <c r="N686" s="119"/>
      <c r="O686" s="119"/>
      <c r="P686" s="119"/>
      <c r="Q686" s="44" t="s">
        <v>480</v>
      </c>
      <c r="R686" s="19" t="s">
        <v>451</v>
      </c>
      <c r="S686" s="49">
        <v>2030</v>
      </c>
      <c r="T686" s="46">
        <v>0</v>
      </c>
      <c r="U686" s="47">
        <v>0</v>
      </c>
      <c r="V686" s="47">
        <v>25.711229358170012</v>
      </c>
      <c r="W686" s="48">
        <v>0</v>
      </c>
      <c r="X686" s="57">
        <f t="shared" si="30"/>
        <v>25.711229358170012</v>
      </c>
      <c r="Y686" s="119"/>
    </row>
    <row r="687" spans="1:25">
      <c r="A687" s="44" t="s">
        <v>480</v>
      </c>
      <c r="B687" s="19" t="s">
        <v>451</v>
      </c>
      <c r="C687" s="49">
        <v>2031</v>
      </c>
      <c r="D687" s="46">
        <v>0</v>
      </c>
      <c r="E687" s="47">
        <v>0</v>
      </c>
      <c r="F687" s="47">
        <v>40.548075237271377</v>
      </c>
      <c r="G687" s="48">
        <v>0</v>
      </c>
      <c r="H687" s="57">
        <f t="shared" si="31"/>
        <v>28.944014553128675</v>
      </c>
      <c r="I687" s="119"/>
      <c r="J687" s="119"/>
      <c r="K687" s="119"/>
      <c r="L687" s="119"/>
      <c r="M687" s="119"/>
      <c r="N687" s="119"/>
      <c r="O687" s="119"/>
      <c r="P687" s="119"/>
      <c r="Q687" s="44" t="s">
        <v>480</v>
      </c>
      <c r="R687" s="19" t="s">
        <v>451</v>
      </c>
      <c r="S687" s="49">
        <v>2031</v>
      </c>
      <c r="T687" s="46">
        <v>0</v>
      </c>
      <c r="U687" s="47">
        <v>0</v>
      </c>
      <c r="V687" s="47">
        <v>66.77352918260479</v>
      </c>
      <c r="W687" s="48">
        <v>0</v>
      </c>
      <c r="X687" s="57">
        <f t="shared" si="30"/>
        <v>66.77352918260479</v>
      </c>
      <c r="Y687" s="119"/>
    </row>
    <row r="688" spans="1:25">
      <c r="A688" s="44" t="s">
        <v>480</v>
      </c>
      <c r="B688" s="19" t="s">
        <v>451</v>
      </c>
      <c r="C688" s="49">
        <v>2032</v>
      </c>
      <c r="D688" s="46">
        <v>0</v>
      </c>
      <c r="E688" s="47">
        <v>0</v>
      </c>
      <c r="F688" s="47">
        <v>37.909266653206032</v>
      </c>
      <c r="G688" s="48">
        <v>0</v>
      </c>
      <c r="H688" s="57">
        <f t="shared" si="31"/>
        <v>25.295986000431625</v>
      </c>
      <c r="I688" s="119"/>
      <c r="J688" s="119"/>
      <c r="K688" s="119"/>
      <c r="L688" s="119"/>
      <c r="M688" s="119"/>
      <c r="N688" s="119"/>
      <c r="O688" s="119"/>
      <c r="P688" s="119"/>
      <c r="Q688" s="44" t="s">
        <v>480</v>
      </c>
      <c r="R688" s="19" t="s">
        <v>451</v>
      </c>
      <c r="S688" s="49">
        <v>2032</v>
      </c>
      <c r="T688" s="46">
        <v>0</v>
      </c>
      <c r="U688" s="47">
        <v>0</v>
      </c>
      <c r="V688" s="47">
        <v>106.01826641946292</v>
      </c>
      <c r="W688" s="48">
        <v>0</v>
      </c>
      <c r="X688" s="57">
        <f t="shared" si="30"/>
        <v>106.01826641946292</v>
      </c>
      <c r="Y688" s="119"/>
    </row>
    <row r="689" spans="1:25">
      <c r="A689" s="44" t="s">
        <v>480</v>
      </c>
      <c r="B689" s="19" t="s">
        <v>451</v>
      </c>
      <c r="C689" s="49">
        <v>2033</v>
      </c>
      <c r="D689" s="46">
        <v>0</v>
      </c>
      <c r="E689" s="47">
        <v>0</v>
      </c>
      <c r="F689" s="47">
        <v>12.834517840887465</v>
      </c>
      <c r="G689" s="48">
        <v>0</v>
      </c>
      <c r="H689" s="57">
        <f t="shared" si="31"/>
        <v>8.0057770590801436</v>
      </c>
      <c r="I689" s="119"/>
      <c r="J689" s="119"/>
      <c r="K689" s="119"/>
      <c r="L689" s="119"/>
      <c r="M689" s="119"/>
      <c r="N689" s="119"/>
      <c r="O689" s="119"/>
      <c r="P689" s="119"/>
      <c r="Q689" s="44" t="s">
        <v>480</v>
      </c>
      <c r="R689" s="19" t="s">
        <v>451</v>
      </c>
      <c r="S689" s="49">
        <v>2033</v>
      </c>
      <c r="T689" s="46">
        <v>0</v>
      </c>
      <c r="U689" s="47">
        <v>0</v>
      </c>
      <c r="V689" s="47">
        <v>120.97314958873963</v>
      </c>
      <c r="W689" s="48">
        <v>0</v>
      </c>
      <c r="X689" s="57">
        <f t="shared" si="30"/>
        <v>120.97314958873963</v>
      </c>
      <c r="Y689" s="119"/>
    </row>
    <row r="690" spans="1:25">
      <c r="A690" s="44" t="s">
        <v>480</v>
      </c>
      <c r="B690" s="19" t="s">
        <v>451</v>
      </c>
      <c r="C690" s="49">
        <v>2034</v>
      </c>
      <c r="D690" s="46">
        <v>0</v>
      </c>
      <c r="E690" s="47">
        <v>0</v>
      </c>
      <c r="F690" s="47">
        <v>0</v>
      </c>
      <c r="G690" s="48">
        <v>27.22580278800001</v>
      </c>
      <c r="H690" s="57">
        <f t="shared" si="31"/>
        <v>15.875314332076739</v>
      </c>
      <c r="I690" s="119"/>
      <c r="J690" s="119"/>
      <c r="K690" s="119"/>
      <c r="L690" s="119"/>
      <c r="M690" s="119"/>
      <c r="N690" s="119"/>
      <c r="O690" s="119"/>
      <c r="P690" s="119"/>
      <c r="Q690" s="44" t="s">
        <v>480</v>
      </c>
      <c r="R690" s="19" t="s">
        <v>451</v>
      </c>
      <c r="S690" s="49">
        <v>2034</v>
      </c>
      <c r="T690" s="46">
        <v>0</v>
      </c>
      <c r="U690" s="47">
        <v>0</v>
      </c>
      <c r="V690" s="47">
        <v>123.39261258051442</v>
      </c>
      <c r="W690" s="48">
        <v>27.22580278800001</v>
      </c>
      <c r="X690" s="57">
        <f t="shared" si="30"/>
        <v>150.61841536851443</v>
      </c>
      <c r="Y690" s="119"/>
    </row>
    <row r="691" spans="1:25">
      <c r="A691" s="44" t="s">
        <v>480</v>
      </c>
      <c r="B691" s="19" t="s">
        <v>451</v>
      </c>
      <c r="C691" s="49">
        <v>2035</v>
      </c>
      <c r="D691" s="46">
        <v>0</v>
      </c>
      <c r="E691" s="47">
        <v>0</v>
      </c>
      <c r="F691" s="47">
        <v>0</v>
      </c>
      <c r="G691" s="48">
        <v>0</v>
      </c>
      <c r="H691" s="57">
        <f t="shared" si="31"/>
        <v>0</v>
      </c>
      <c r="I691" s="119"/>
      <c r="J691" s="119"/>
      <c r="K691" s="119"/>
      <c r="L691" s="119"/>
      <c r="M691" s="119"/>
      <c r="N691" s="119"/>
      <c r="O691" s="119"/>
      <c r="P691" s="119"/>
      <c r="Q691" s="44" t="s">
        <v>480</v>
      </c>
      <c r="R691" s="19" t="s">
        <v>451</v>
      </c>
      <c r="S691" s="49">
        <v>2035</v>
      </c>
      <c r="T691" s="46">
        <v>0</v>
      </c>
      <c r="U691" s="47">
        <v>0</v>
      </c>
      <c r="V691" s="47">
        <v>125.86046483212472</v>
      </c>
      <c r="W691" s="48">
        <v>27.770318843760009</v>
      </c>
      <c r="X691" s="57">
        <f t="shared" si="30"/>
        <v>153.63078367588474</v>
      </c>
      <c r="Y691" s="119">
        <f>NPV($Y$10,X682:X691)/((1-(1+$Y$10)^-10)/$Y$10)</f>
        <v>51.655680768065892</v>
      </c>
    </row>
    <row r="692" spans="1:25">
      <c r="A692" s="44"/>
      <c r="B692" s="19" t="s">
        <v>401</v>
      </c>
      <c r="C692" s="49"/>
      <c r="D692" s="42" t="s">
        <v>401</v>
      </c>
      <c r="E692" s="19" t="s">
        <v>401</v>
      </c>
      <c r="F692" s="19" t="s">
        <v>401</v>
      </c>
      <c r="G692" s="43" t="s">
        <v>401</v>
      </c>
      <c r="H692" s="57">
        <f t="shared" si="31"/>
        <v>0</v>
      </c>
      <c r="I692" s="119"/>
      <c r="J692" s="119"/>
      <c r="K692" s="119"/>
      <c r="L692" s="119"/>
      <c r="M692" s="119"/>
      <c r="N692" s="119"/>
      <c r="O692" s="119"/>
      <c r="P692" s="119"/>
      <c r="Q692" s="44"/>
      <c r="R692" s="19" t="s">
        <v>401</v>
      </c>
      <c r="S692" s="49"/>
      <c r="T692" s="42"/>
      <c r="U692" s="19"/>
      <c r="V692" s="19"/>
      <c r="W692" s="43"/>
      <c r="X692" s="57">
        <f t="shared" si="30"/>
        <v>0</v>
      </c>
      <c r="Y692" s="119"/>
    </row>
    <row r="693" spans="1:25">
      <c r="A693" s="44" t="s">
        <v>480</v>
      </c>
      <c r="B693" s="19" t="s">
        <v>452</v>
      </c>
      <c r="C693" s="49">
        <v>2026</v>
      </c>
      <c r="D693" s="46">
        <v>0</v>
      </c>
      <c r="E693" s="47">
        <v>0</v>
      </c>
      <c r="F693" s="47">
        <v>0</v>
      </c>
      <c r="G693" s="48">
        <v>0</v>
      </c>
      <c r="H693" s="57">
        <f t="shared" si="31"/>
        <v>0</v>
      </c>
      <c r="I693" s="119"/>
      <c r="J693" s="119"/>
      <c r="K693" s="119"/>
      <c r="L693" s="119"/>
      <c r="M693" s="119"/>
      <c r="N693" s="119"/>
      <c r="O693" s="119"/>
      <c r="P693" s="119"/>
      <c r="Q693" s="44" t="s">
        <v>480</v>
      </c>
      <c r="R693" s="19" t="s">
        <v>452</v>
      </c>
      <c r="S693" s="49">
        <v>2026</v>
      </c>
      <c r="T693" s="46">
        <v>0</v>
      </c>
      <c r="U693" s="47">
        <v>0</v>
      </c>
      <c r="V693" s="47">
        <v>0</v>
      </c>
      <c r="W693" s="48">
        <v>0</v>
      </c>
      <c r="X693" s="57">
        <f t="shared" si="30"/>
        <v>0</v>
      </c>
      <c r="Y693" s="119"/>
    </row>
    <row r="694" spans="1:25">
      <c r="A694" s="44" t="s">
        <v>480</v>
      </c>
      <c r="B694" s="19" t="s">
        <v>452</v>
      </c>
      <c r="C694" s="49">
        <v>2027</v>
      </c>
      <c r="D694" s="46">
        <v>0</v>
      </c>
      <c r="E694" s="47">
        <v>0</v>
      </c>
      <c r="F694" s="47">
        <v>0</v>
      </c>
      <c r="G694" s="48">
        <v>0</v>
      </c>
      <c r="H694" s="57">
        <f t="shared" si="31"/>
        <v>0</v>
      </c>
      <c r="I694" s="119"/>
      <c r="J694" s="119"/>
      <c r="K694" s="119"/>
      <c r="L694" s="119"/>
      <c r="M694" s="119"/>
      <c r="N694" s="119"/>
      <c r="O694" s="119"/>
      <c r="P694" s="119"/>
      <c r="Q694" s="44" t="s">
        <v>480</v>
      </c>
      <c r="R694" s="19" t="s">
        <v>452</v>
      </c>
      <c r="S694" s="49">
        <v>2027</v>
      </c>
      <c r="T694" s="46">
        <v>0</v>
      </c>
      <c r="U694" s="47">
        <v>0</v>
      </c>
      <c r="V694" s="47">
        <v>0</v>
      </c>
      <c r="W694" s="48">
        <v>0</v>
      </c>
      <c r="X694" s="57">
        <f t="shared" si="30"/>
        <v>0</v>
      </c>
      <c r="Y694" s="119"/>
    </row>
    <row r="695" spans="1:25">
      <c r="A695" s="44" t="s">
        <v>480</v>
      </c>
      <c r="B695" s="19" t="s">
        <v>452</v>
      </c>
      <c r="C695" s="49">
        <v>2028</v>
      </c>
      <c r="D695" s="46">
        <v>0</v>
      </c>
      <c r="E695" s="47">
        <v>0</v>
      </c>
      <c r="F695" s="47">
        <v>0</v>
      </c>
      <c r="G695" s="48">
        <v>0</v>
      </c>
      <c r="H695" s="57">
        <f t="shared" si="31"/>
        <v>0</v>
      </c>
      <c r="I695" s="119"/>
      <c r="J695" s="119"/>
      <c r="K695" s="119"/>
      <c r="L695" s="119"/>
      <c r="M695" s="119"/>
      <c r="N695" s="119"/>
      <c r="O695" s="119"/>
      <c r="P695" s="119"/>
      <c r="Q695" s="44" t="s">
        <v>480</v>
      </c>
      <c r="R695" s="19" t="s">
        <v>452</v>
      </c>
      <c r="S695" s="49">
        <v>2028</v>
      </c>
      <c r="T695" s="46">
        <v>0</v>
      </c>
      <c r="U695" s="47">
        <v>0</v>
      </c>
      <c r="V695" s="47">
        <v>0</v>
      </c>
      <c r="W695" s="48">
        <v>0</v>
      </c>
      <c r="X695" s="57">
        <f t="shared" si="30"/>
        <v>0</v>
      </c>
      <c r="Y695" s="119"/>
    </row>
    <row r="696" spans="1:25">
      <c r="A696" s="44" t="s">
        <v>480</v>
      </c>
      <c r="B696" s="19" t="s">
        <v>452</v>
      </c>
      <c r="C696" s="49">
        <v>2029</v>
      </c>
      <c r="D696" s="46">
        <v>0</v>
      </c>
      <c r="E696" s="47">
        <v>0</v>
      </c>
      <c r="F696" s="47">
        <v>0</v>
      </c>
      <c r="G696" s="48">
        <v>0</v>
      </c>
      <c r="H696" s="57">
        <f t="shared" si="31"/>
        <v>0</v>
      </c>
      <c r="I696" s="119"/>
      <c r="J696" s="119"/>
      <c r="K696" s="119"/>
      <c r="L696" s="119"/>
      <c r="M696" s="119"/>
      <c r="N696" s="119"/>
      <c r="O696" s="119"/>
      <c r="P696" s="119"/>
      <c r="Q696" s="44" t="s">
        <v>480</v>
      </c>
      <c r="R696" s="19" t="s">
        <v>452</v>
      </c>
      <c r="S696" s="49">
        <v>2029</v>
      </c>
      <c r="T696" s="46">
        <v>0</v>
      </c>
      <c r="U696" s="47">
        <v>0</v>
      </c>
      <c r="V696" s="47">
        <v>0</v>
      </c>
      <c r="W696" s="48">
        <v>0</v>
      </c>
      <c r="X696" s="57">
        <f t="shared" si="30"/>
        <v>0</v>
      </c>
      <c r="Y696" s="119"/>
    </row>
    <row r="697" spans="1:25">
      <c r="A697" s="44" t="s">
        <v>480</v>
      </c>
      <c r="B697" s="19" t="s">
        <v>452</v>
      </c>
      <c r="C697" s="49">
        <v>2030</v>
      </c>
      <c r="D697" s="46">
        <v>0</v>
      </c>
      <c r="E697" s="47">
        <v>0</v>
      </c>
      <c r="F697" s="47">
        <v>0</v>
      </c>
      <c r="G697" s="48">
        <v>0</v>
      </c>
      <c r="H697" s="57">
        <f t="shared" si="31"/>
        <v>0</v>
      </c>
      <c r="I697" s="119"/>
      <c r="J697" s="119"/>
      <c r="K697" s="119"/>
      <c r="L697" s="119"/>
      <c r="M697" s="119"/>
      <c r="N697" s="119"/>
      <c r="O697" s="119"/>
      <c r="P697" s="119"/>
      <c r="Q697" s="44" t="s">
        <v>480</v>
      </c>
      <c r="R697" s="19" t="s">
        <v>452</v>
      </c>
      <c r="S697" s="49">
        <v>2030</v>
      </c>
      <c r="T697" s="46">
        <v>0</v>
      </c>
      <c r="U697" s="47">
        <v>0</v>
      </c>
      <c r="V697" s="47">
        <v>0</v>
      </c>
      <c r="W697" s="48">
        <v>0</v>
      </c>
      <c r="X697" s="57">
        <f t="shared" si="30"/>
        <v>0</v>
      </c>
      <c r="Y697" s="119"/>
    </row>
    <row r="698" spans="1:25">
      <c r="A698" s="44" t="s">
        <v>480</v>
      </c>
      <c r="B698" s="19" t="s">
        <v>452</v>
      </c>
      <c r="C698" s="49">
        <v>2031</v>
      </c>
      <c r="D698" s="46">
        <v>0</v>
      </c>
      <c r="E698" s="47">
        <v>0</v>
      </c>
      <c r="F698" s="47">
        <v>0</v>
      </c>
      <c r="G698" s="48">
        <v>0</v>
      </c>
      <c r="H698" s="57">
        <f t="shared" si="31"/>
        <v>0</v>
      </c>
      <c r="I698" s="119"/>
      <c r="J698" s="119"/>
      <c r="K698" s="119"/>
      <c r="L698" s="119"/>
      <c r="M698" s="119"/>
      <c r="N698" s="119"/>
      <c r="O698" s="119"/>
      <c r="P698" s="119"/>
      <c r="Q698" s="44" t="s">
        <v>480</v>
      </c>
      <c r="R698" s="19" t="s">
        <v>452</v>
      </c>
      <c r="S698" s="49">
        <v>2031</v>
      </c>
      <c r="T698" s="46">
        <v>0</v>
      </c>
      <c r="U698" s="47">
        <v>0</v>
      </c>
      <c r="V698" s="47">
        <v>0</v>
      </c>
      <c r="W698" s="48">
        <v>0</v>
      </c>
      <c r="X698" s="57">
        <f t="shared" si="30"/>
        <v>0</v>
      </c>
      <c r="Y698" s="119"/>
    </row>
    <row r="699" spans="1:25">
      <c r="A699" s="44" t="s">
        <v>480</v>
      </c>
      <c r="B699" s="19" t="s">
        <v>452</v>
      </c>
      <c r="C699" s="49">
        <v>2032</v>
      </c>
      <c r="D699" s="46">
        <v>52.32296661846361</v>
      </c>
      <c r="E699" s="47">
        <v>0</v>
      </c>
      <c r="F699" s="47">
        <v>0</v>
      </c>
      <c r="G699" s="48">
        <v>0</v>
      </c>
      <c r="H699" s="57">
        <f t="shared" si="31"/>
        <v>34.913918097905793</v>
      </c>
      <c r="I699" s="119"/>
      <c r="J699" s="119"/>
      <c r="K699" s="119"/>
      <c r="L699" s="119"/>
      <c r="M699" s="119"/>
      <c r="N699" s="119"/>
      <c r="O699" s="119"/>
      <c r="P699" s="119"/>
      <c r="Q699" s="44" t="s">
        <v>480</v>
      </c>
      <c r="R699" s="19" t="s">
        <v>452</v>
      </c>
      <c r="S699" s="49">
        <v>2032</v>
      </c>
      <c r="T699" s="46">
        <v>52.32296661846361</v>
      </c>
      <c r="U699" s="47">
        <v>0</v>
      </c>
      <c r="V699" s="47">
        <v>0</v>
      </c>
      <c r="W699" s="48">
        <v>0</v>
      </c>
      <c r="X699" s="57">
        <f t="shared" si="30"/>
        <v>52.32296661846361</v>
      </c>
      <c r="Y699" s="119"/>
    </row>
    <row r="700" spans="1:25">
      <c r="A700" s="44" t="s">
        <v>480</v>
      </c>
      <c r="B700" s="19" t="s">
        <v>452</v>
      </c>
      <c r="C700" s="49">
        <v>2033</v>
      </c>
      <c r="D700" s="46">
        <v>48.911396698727373</v>
      </c>
      <c r="E700" s="47">
        <v>0</v>
      </c>
      <c r="F700" s="47">
        <v>0</v>
      </c>
      <c r="G700" s="48">
        <v>0</v>
      </c>
      <c r="H700" s="57">
        <f t="shared" si="31"/>
        <v>30.50942329682124</v>
      </c>
      <c r="I700" s="119"/>
      <c r="J700" s="119"/>
      <c r="K700" s="119"/>
      <c r="L700" s="119"/>
      <c r="M700" s="119"/>
      <c r="N700" s="119"/>
      <c r="O700" s="119"/>
      <c r="P700" s="119"/>
      <c r="Q700" s="44" t="s">
        <v>480</v>
      </c>
      <c r="R700" s="19" t="s">
        <v>452</v>
      </c>
      <c r="S700" s="49">
        <v>2033</v>
      </c>
      <c r="T700" s="46">
        <v>102.28082264956026</v>
      </c>
      <c r="U700" s="47">
        <v>0</v>
      </c>
      <c r="V700" s="47">
        <v>0</v>
      </c>
      <c r="W700" s="48">
        <v>0</v>
      </c>
      <c r="X700" s="57">
        <f t="shared" si="30"/>
        <v>102.28082264956026</v>
      </c>
      <c r="Y700" s="119"/>
    </row>
    <row r="701" spans="1:25">
      <c r="A701" s="44" t="s">
        <v>480</v>
      </c>
      <c r="B701" s="19" t="s">
        <v>452</v>
      </c>
      <c r="C701" s="49">
        <v>2034</v>
      </c>
      <c r="D701" s="46">
        <v>80.977032837293478</v>
      </c>
      <c r="E701" s="47">
        <v>0</v>
      </c>
      <c r="F701" s="47">
        <v>0</v>
      </c>
      <c r="G701" s="48">
        <v>0</v>
      </c>
      <c r="H701" s="57">
        <f t="shared" si="31"/>
        <v>47.217555345605611</v>
      </c>
      <c r="I701" s="119"/>
      <c r="J701" s="119"/>
      <c r="K701" s="119"/>
      <c r="L701" s="119"/>
      <c r="M701" s="119"/>
      <c r="N701" s="119"/>
      <c r="O701" s="119"/>
      <c r="P701" s="119"/>
      <c r="Q701" s="44" t="s">
        <v>480</v>
      </c>
      <c r="R701" s="19" t="s">
        <v>452</v>
      </c>
      <c r="S701" s="49">
        <v>2034</v>
      </c>
      <c r="T701" s="46">
        <v>185.30347193984494</v>
      </c>
      <c r="U701" s="47">
        <v>0</v>
      </c>
      <c r="V701" s="47">
        <v>0</v>
      </c>
      <c r="W701" s="48">
        <v>0</v>
      </c>
      <c r="X701" s="57">
        <f t="shared" si="30"/>
        <v>185.30347193984494</v>
      </c>
      <c r="Y701" s="119"/>
    </row>
    <row r="702" spans="1:25">
      <c r="A702" s="44" t="s">
        <v>480</v>
      </c>
      <c r="B702" s="19" t="s">
        <v>452</v>
      </c>
      <c r="C702" s="49">
        <v>2035</v>
      </c>
      <c r="D702" s="46">
        <v>0</v>
      </c>
      <c r="E702" s="47">
        <v>0</v>
      </c>
      <c r="F702" s="47">
        <v>0</v>
      </c>
      <c r="G702" s="48">
        <v>0</v>
      </c>
      <c r="H702" s="57">
        <f t="shared" si="31"/>
        <v>0</v>
      </c>
      <c r="I702" s="119"/>
      <c r="J702" s="119"/>
      <c r="K702" s="119"/>
      <c r="L702" s="119"/>
      <c r="M702" s="119"/>
      <c r="N702" s="119"/>
      <c r="O702" s="119"/>
      <c r="P702" s="119"/>
      <c r="Q702" s="44" t="s">
        <v>480</v>
      </c>
      <c r="R702" s="19" t="s">
        <v>452</v>
      </c>
      <c r="S702" s="49">
        <v>2035</v>
      </c>
      <c r="T702" s="46">
        <v>189.00954137864184</v>
      </c>
      <c r="U702" s="47">
        <v>0</v>
      </c>
      <c r="V702" s="47">
        <v>0</v>
      </c>
      <c r="W702" s="48">
        <v>0</v>
      </c>
      <c r="X702" s="57">
        <f t="shared" si="30"/>
        <v>189.00954137864184</v>
      </c>
      <c r="Y702" s="119">
        <f>NPV($Y$10,X693:X702)/((1-(1+$Y$10)^-10)/$Y$10)</f>
        <v>41.183447050902821</v>
      </c>
    </row>
    <row r="703" spans="1:25">
      <c r="A703" s="44"/>
      <c r="B703" s="19" t="s">
        <v>401</v>
      </c>
      <c r="C703" s="49"/>
      <c r="D703" s="46" t="s">
        <v>401</v>
      </c>
      <c r="E703" s="47" t="s">
        <v>401</v>
      </c>
      <c r="F703" s="47" t="s">
        <v>401</v>
      </c>
      <c r="G703" s="48" t="s">
        <v>401</v>
      </c>
      <c r="H703" s="57">
        <f t="shared" si="31"/>
        <v>0</v>
      </c>
      <c r="I703" s="119"/>
      <c r="J703" s="119"/>
      <c r="K703" s="119"/>
      <c r="L703" s="119"/>
      <c r="M703" s="119"/>
      <c r="N703" s="119"/>
      <c r="O703" s="119"/>
      <c r="P703" s="119"/>
      <c r="Q703" s="44"/>
      <c r="R703" s="19" t="s">
        <v>401</v>
      </c>
      <c r="S703" s="49"/>
      <c r="T703" s="46"/>
      <c r="U703" s="47"/>
      <c r="V703" s="47"/>
      <c r="W703" s="48"/>
      <c r="X703" s="57">
        <f t="shared" si="30"/>
        <v>0</v>
      </c>
      <c r="Y703" s="119"/>
    </row>
    <row r="704" spans="1:25">
      <c r="A704" s="44" t="s">
        <v>480</v>
      </c>
      <c r="B704" s="19" t="s">
        <v>453</v>
      </c>
      <c r="C704" s="49">
        <v>2026</v>
      </c>
      <c r="D704" s="46">
        <v>0</v>
      </c>
      <c r="E704" s="47">
        <v>0</v>
      </c>
      <c r="F704" s="47">
        <v>0</v>
      </c>
      <c r="G704" s="48">
        <v>0</v>
      </c>
      <c r="H704" s="57">
        <f t="shared" si="31"/>
        <v>0</v>
      </c>
      <c r="I704" s="119"/>
      <c r="J704" s="119"/>
      <c r="K704" s="119"/>
      <c r="L704" s="119"/>
      <c r="M704" s="119"/>
      <c r="N704" s="119"/>
      <c r="O704" s="119"/>
      <c r="P704" s="119"/>
      <c r="Q704" s="44" t="s">
        <v>480</v>
      </c>
      <c r="R704" s="19" t="s">
        <v>453</v>
      </c>
      <c r="S704" s="49">
        <v>2026</v>
      </c>
      <c r="T704" s="46">
        <v>0</v>
      </c>
      <c r="U704" s="47">
        <v>0</v>
      </c>
      <c r="V704" s="47">
        <v>0</v>
      </c>
      <c r="W704" s="48">
        <v>0</v>
      </c>
      <c r="X704" s="57">
        <f t="shared" si="30"/>
        <v>0</v>
      </c>
      <c r="Y704" s="119"/>
    </row>
    <row r="705" spans="1:25">
      <c r="A705" s="44" t="s">
        <v>480</v>
      </c>
      <c r="B705" s="19" t="s">
        <v>453</v>
      </c>
      <c r="C705" s="49">
        <v>2027</v>
      </c>
      <c r="D705" s="46">
        <v>0</v>
      </c>
      <c r="E705" s="47">
        <v>0</v>
      </c>
      <c r="F705" s="47">
        <v>0</v>
      </c>
      <c r="G705" s="48">
        <v>0</v>
      </c>
      <c r="H705" s="57">
        <f t="shared" si="31"/>
        <v>0</v>
      </c>
      <c r="I705" s="119"/>
      <c r="J705" s="119"/>
      <c r="K705" s="119"/>
      <c r="L705" s="119"/>
      <c r="M705" s="119"/>
      <c r="N705" s="119"/>
      <c r="O705" s="119"/>
      <c r="P705" s="119"/>
      <c r="Q705" s="44" t="s">
        <v>480</v>
      </c>
      <c r="R705" s="19" t="s">
        <v>453</v>
      </c>
      <c r="S705" s="49">
        <v>2027</v>
      </c>
      <c r="T705" s="46">
        <v>0</v>
      </c>
      <c r="U705" s="47">
        <v>0</v>
      </c>
      <c r="V705" s="47">
        <v>0</v>
      </c>
      <c r="W705" s="48">
        <v>0</v>
      </c>
      <c r="X705" s="57">
        <f t="shared" si="30"/>
        <v>0</v>
      </c>
      <c r="Y705" s="119"/>
    </row>
    <row r="706" spans="1:25">
      <c r="A706" s="44" t="s">
        <v>480</v>
      </c>
      <c r="B706" s="19" t="s">
        <v>453</v>
      </c>
      <c r="C706" s="49">
        <v>2028</v>
      </c>
      <c r="D706" s="46">
        <v>0</v>
      </c>
      <c r="E706" s="47">
        <v>0</v>
      </c>
      <c r="F706" s="47">
        <v>4.3307560259804614</v>
      </c>
      <c r="G706" s="48">
        <v>0</v>
      </c>
      <c r="H706" s="57">
        <f t="shared" si="31"/>
        <v>3.7844182489453289</v>
      </c>
      <c r="I706" s="119"/>
      <c r="J706" s="119"/>
      <c r="K706" s="119"/>
      <c r="L706" s="119"/>
      <c r="M706" s="119"/>
      <c r="N706" s="119"/>
      <c r="O706" s="119"/>
      <c r="P706" s="119"/>
      <c r="Q706" s="44" t="s">
        <v>480</v>
      </c>
      <c r="R706" s="19" t="s">
        <v>453</v>
      </c>
      <c r="S706" s="49">
        <v>2028</v>
      </c>
      <c r="T706" s="46">
        <v>0</v>
      </c>
      <c r="U706" s="47">
        <v>0</v>
      </c>
      <c r="V706" s="47">
        <v>4.3307560259804614</v>
      </c>
      <c r="W706" s="48">
        <v>0</v>
      </c>
      <c r="X706" s="57">
        <f t="shared" si="30"/>
        <v>4.3307560259804614</v>
      </c>
      <c r="Y706" s="119"/>
    </row>
    <row r="707" spans="1:25">
      <c r="A707" s="44" t="s">
        <v>480</v>
      </c>
      <c r="B707" s="19" t="s">
        <v>453</v>
      </c>
      <c r="C707" s="49">
        <v>2029</v>
      </c>
      <c r="D707" s="46">
        <v>0</v>
      </c>
      <c r="E707" s="47">
        <v>0</v>
      </c>
      <c r="F707" s="47">
        <v>0</v>
      </c>
      <c r="G707" s="48">
        <v>0</v>
      </c>
      <c r="H707" s="57">
        <f t="shared" si="31"/>
        <v>0</v>
      </c>
      <c r="I707" s="119"/>
      <c r="J707" s="119"/>
      <c r="K707" s="119"/>
      <c r="L707" s="119"/>
      <c r="M707" s="119"/>
      <c r="N707" s="119"/>
      <c r="O707" s="119"/>
      <c r="P707" s="119"/>
      <c r="Q707" s="44" t="s">
        <v>480</v>
      </c>
      <c r="R707" s="19" t="s">
        <v>453</v>
      </c>
      <c r="S707" s="49">
        <v>2029</v>
      </c>
      <c r="T707" s="46">
        <v>0</v>
      </c>
      <c r="U707" s="47">
        <v>0</v>
      </c>
      <c r="V707" s="47">
        <v>4.4173711465000709</v>
      </c>
      <c r="W707" s="48">
        <v>0</v>
      </c>
      <c r="X707" s="57">
        <f t="shared" si="30"/>
        <v>4.4173711465000709</v>
      </c>
      <c r="Y707" s="119"/>
    </row>
    <row r="708" spans="1:25">
      <c r="A708" s="44" t="s">
        <v>480</v>
      </c>
      <c r="B708" s="19" t="s">
        <v>453</v>
      </c>
      <c r="C708" s="49">
        <v>2030</v>
      </c>
      <c r="D708" s="46">
        <v>0</v>
      </c>
      <c r="E708" s="47">
        <v>0</v>
      </c>
      <c r="F708" s="47">
        <v>0</v>
      </c>
      <c r="G708" s="48">
        <v>0</v>
      </c>
      <c r="H708" s="57">
        <f t="shared" si="31"/>
        <v>0</v>
      </c>
      <c r="I708" s="119"/>
      <c r="J708" s="119"/>
      <c r="K708" s="119"/>
      <c r="L708" s="119"/>
      <c r="M708" s="119"/>
      <c r="N708" s="119"/>
      <c r="O708" s="119"/>
      <c r="P708" s="119"/>
      <c r="Q708" s="44" t="s">
        <v>480</v>
      </c>
      <c r="R708" s="19" t="s">
        <v>453</v>
      </c>
      <c r="S708" s="49">
        <v>2030</v>
      </c>
      <c r="T708" s="46">
        <v>0</v>
      </c>
      <c r="U708" s="47">
        <v>0</v>
      </c>
      <c r="V708" s="47">
        <v>4.5057185694300728</v>
      </c>
      <c r="W708" s="48">
        <v>0</v>
      </c>
      <c r="X708" s="57">
        <f t="shared" si="30"/>
        <v>4.5057185694300728</v>
      </c>
      <c r="Y708" s="119"/>
    </row>
    <row r="709" spans="1:25">
      <c r="A709" s="44" t="s">
        <v>480</v>
      </c>
      <c r="B709" s="19" t="s">
        <v>453</v>
      </c>
      <c r="C709" s="49">
        <v>2031</v>
      </c>
      <c r="D709" s="46">
        <v>0</v>
      </c>
      <c r="E709" s="47">
        <v>0</v>
      </c>
      <c r="F709" s="47">
        <v>0</v>
      </c>
      <c r="G709" s="48">
        <v>0</v>
      </c>
      <c r="H709" s="57">
        <f t="shared" si="31"/>
        <v>0</v>
      </c>
      <c r="I709" s="119"/>
      <c r="J709" s="119"/>
      <c r="K709" s="119"/>
      <c r="L709" s="119"/>
      <c r="M709" s="119"/>
      <c r="N709" s="119"/>
      <c r="O709" s="119"/>
      <c r="P709" s="119"/>
      <c r="Q709" s="44" t="s">
        <v>480</v>
      </c>
      <c r="R709" s="19" t="s">
        <v>453</v>
      </c>
      <c r="S709" s="49">
        <v>2031</v>
      </c>
      <c r="T709" s="46">
        <v>0</v>
      </c>
      <c r="U709" s="47">
        <v>0</v>
      </c>
      <c r="V709" s="47">
        <v>4.5958329408186742</v>
      </c>
      <c r="W709" s="48">
        <v>0</v>
      </c>
      <c r="X709" s="57">
        <f t="shared" si="30"/>
        <v>4.5958329408186742</v>
      </c>
      <c r="Y709" s="119"/>
    </row>
    <row r="710" spans="1:25">
      <c r="A710" s="44" t="s">
        <v>480</v>
      </c>
      <c r="B710" s="19" t="s">
        <v>453</v>
      </c>
      <c r="C710" s="49">
        <v>2032</v>
      </c>
      <c r="D710" s="46">
        <v>0</v>
      </c>
      <c r="E710" s="47">
        <v>0</v>
      </c>
      <c r="F710" s="47">
        <v>0</v>
      </c>
      <c r="G710" s="48">
        <v>0</v>
      </c>
      <c r="H710" s="57">
        <f t="shared" si="31"/>
        <v>0</v>
      </c>
      <c r="I710" s="119"/>
      <c r="J710" s="119"/>
      <c r="K710" s="119"/>
      <c r="L710" s="119"/>
      <c r="M710" s="119"/>
      <c r="N710" s="119"/>
      <c r="O710" s="119"/>
      <c r="P710" s="119"/>
      <c r="Q710" s="44" t="s">
        <v>480</v>
      </c>
      <c r="R710" s="19" t="s">
        <v>453</v>
      </c>
      <c r="S710" s="49">
        <v>2032</v>
      </c>
      <c r="T710" s="46">
        <v>0</v>
      </c>
      <c r="U710" s="47">
        <v>0</v>
      </c>
      <c r="V710" s="47">
        <v>4.6877495996350476</v>
      </c>
      <c r="W710" s="48">
        <v>0</v>
      </c>
      <c r="X710" s="57">
        <f t="shared" si="30"/>
        <v>4.6877495996350476</v>
      </c>
      <c r="Y710" s="119"/>
    </row>
    <row r="711" spans="1:25">
      <c r="A711" s="44" t="s">
        <v>480</v>
      </c>
      <c r="B711" s="19" t="s">
        <v>453</v>
      </c>
      <c r="C711" s="49">
        <v>2033</v>
      </c>
      <c r="D711" s="46">
        <v>0</v>
      </c>
      <c r="E711" s="47">
        <v>0</v>
      </c>
      <c r="F711" s="47">
        <v>0</v>
      </c>
      <c r="G711" s="48">
        <v>0</v>
      </c>
      <c r="H711" s="57">
        <f t="shared" si="31"/>
        <v>0</v>
      </c>
      <c r="I711" s="119"/>
      <c r="J711" s="119"/>
      <c r="K711" s="119"/>
      <c r="L711" s="119"/>
      <c r="M711" s="119"/>
      <c r="N711" s="119"/>
      <c r="O711" s="119"/>
      <c r="P711" s="119"/>
      <c r="Q711" s="44" t="s">
        <v>480</v>
      </c>
      <c r="R711" s="19" t="s">
        <v>453</v>
      </c>
      <c r="S711" s="49">
        <v>2033</v>
      </c>
      <c r="T711" s="46">
        <v>0</v>
      </c>
      <c r="U711" s="47">
        <v>0</v>
      </c>
      <c r="V711" s="47">
        <v>4.7815045916277485</v>
      </c>
      <c r="W711" s="48">
        <v>0</v>
      </c>
      <c r="X711" s="57">
        <f t="shared" si="30"/>
        <v>4.7815045916277485</v>
      </c>
      <c r="Y711" s="119"/>
    </row>
    <row r="712" spans="1:25">
      <c r="A712" s="44" t="s">
        <v>480</v>
      </c>
      <c r="B712" s="19" t="s">
        <v>453</v>
      </c>
      <c r="C712" s="49">
        <v>2034</v>
      </c>
      <c r="D712" s="46">
        <v>0</v>
      </c>
      <c r="E712" s="47">
        <v>0</v>
      </c>
      <c r="F712" s="47">
        <v>92.326189294183763</v>
      </c>
      <c r="G712" s="48">
        <v>0</v>
      </c>
      <c r="H712" s="57">
        <f t="shared" si="31"/>
        <v>53.835227102063918</v>
      </c>
      <c r="I712" s="119"/>
      <c r="J712" s="119"/>
      <c r="K712" s="119"/>
      <c r="L712" s="119"/>
      <c r="M712" s="119"/>
      <c r="N712" s="119"/>
      <c r="O712" s="119"/>
      <c r="P712" s="119"/>
      <c r="Q712" s="44" t="s">
        <v>480</v>
      </c>
      <c r="R712" s="19" t="s">
        <v>453</v>
      </c>
      <c r="S712" s="49">
        <v>2034</v>
      </c>
      <c r="T712" s="46">
        <v>0</v>
      </c>
      <c r="U712" s="47">
        <v>0</v>
      </c>
      <c r="V712" s="47">
        <v>97.203323977644061</v>
      </c>
      <c r="W712" s="48">
        <v>0</v>
      </c>
      <c r="X712" s="57">
        <f t="shared" si="30"/>
        <v>97.203323977644061</v>
      </c>
      <c r="Y712" s="119"/>
    </row>
    <row r="713" spans="1:25">
      <c r="A713" s="44" t="s">
        <v>480</v>
      </c>
      <c r="B713" s="19" t="s">
        <v>453</v>
      </c>
      <c r="C713" s="49">
        <v>2035</v>
      </c>
      <c r="D713" s="46">
        <v>0</v>
      </c>
      <c r="E713" s="47">
        <v>0</v>
      </c>
      <c r="F713" s="47">
        <v>0</v>
      </c>
      <c r="G713" s="48">
        <v>0</v>
      </c>
      <c r="H713" s="57">
        <f t="shared" si="31"/>
        <v>0</v>
      </c>
      <c r="I713" s="119"/>
      <c r="J713" s="119"/>
      <c r="K713" s="119"/>
      <c r="L713" s="119"/>
      <c r="M713" s="119"/>
      <c r="N713" s="119"/>
      <c r="O713" s="119"/>
      <c r="P713" s="119"/>
      <c r="Q713" s="44" t="s">
        <v>480</v>
      </c>
      <c r="R713" s="19" t="s">
        <v>453</v>
      </c>
      <c r="S713" s="49">
        <v>2035</v>
      </c>
      <c r="T713" s="46">
        <v>0</v>
      </c>
      <c r="U713" s="47">
        <v>0</v>
      </c>
      <c r="V713" s="47">
        <v>99.147390457196948</v>
      </c>
      <c r="W713" s="48">
        <v>0</v>
      </c>
      <c r="X713" s="57">
        <f t="shared" si="30"/>
        <v>99.147390457196948</v>
      </c>
      <c r="Y713" s="119">
        <f>NPV($Y$10,X704:X713)/((1-(1+$Y$10)^-10)/$Y$10)</f>
        <v>17.408128315812423</v>
      </c>
    </row>
    <row r="714" spans="1:25">
      <c r="A714" s="44"/>
      <c r="B714" s="19" t="s">
        <v>401</v>
      </c>
      <c r="C714" s="49"/>
      <c r="D714" s="42" t="s">
        <v>401</v>
      </c>
      <c r="E714" s="19" t="s">
        <v>401</v>
      </c>
      <c r="F714" s="19" t="s">
        <v>401</v>
      </c>
      <c r="G714" s="43" t="s">
        <v>401</v>
      </c>
      <c r="H714" s="57">
        <f t="shared" si="31"/>
        <v>0</v>
      </c>
      <c r="I714" s="119"/>
      <c r="J714" s="119"/>
      <c r="K714" s="119"/>
      <c r="L714" s="119"/>
      <c r="M714" s="119"/>
      <c r="N714" s="119"/>
      <c r="O714" s="119"/>
      <c r="P714" s="119"/>
      <c r="Q714" s="44"/>
      <c r="R714" s="19" t="s">
        <v>401</v>
      </c>
      <c r="S714" s="49"/>
      <c r="T714" s="42"/>
      <c r="U714" s="19"/>
      <c r="V714" s="19"/>
      <c r="W714" s="43"/>
      <c r="X714" s="57">
        <f t="shared" si="30"/>
        <v>0</v>
      </c>
      <c r="Y714" s="119"/>
    </row>
    <row r="715" spans="1:25">
      <c r="A715" s="44" t="s">
        <v>480</v>
      </c>
      <c r="B715" s="19" t="s">
        <v>454</v>
      </c>
      <c r="C715" s="49">
        <v>2026</v>
      </c>
      <c r="D715" s="46">
        <v>0</v>
      </c>
      <c r="E715" s="47">
        <v>0</v>
      </c>
      <c r="F715" s="47">
        <v>0</v>
      </c>
      <c r="G715" s="48">
        <v>0</v>
      </c>
      <c r="H715" s="57">
        <f t="shared" si="31"/>
        <v>0</v>
      </c>
      <c r="I715" s="119"/>
      <c r="J715" s="119"/>
      <c r="K715" s="119"/>
      <c r="L715" s="119"/>
      <c r="M715" s="119"/>
      <c r="N715" s="119"/>
      <c r="O715" s="119"/>
      <c r="P715" s="119"/>
      <c r="Q715" s="44" t="s">
        <v>480</v>
      </c>
      <c r="R715" s="19" t="s">
        <v>454</v>
      </c>
      <c r="S715" s="49">
        <v>2026</v>
      </c>
      <c r="T715" s="46">
        <v>0</v>
      </c>
      <c r="U715" s="47">
        <v>0</v>
      </c>
      <c r="V715" s="47">
        <v>0</v>
      </c>
      <c r="W715" s="48">
        <v>0</v>
      </c>
      <c r="X715" s="57">
        <f t="shared" si="30"/>
        <v>0</v>
      </c>
      <c r="Y715" s="119"/>
    </row>
    <row r="716" spans="1:25">
      <c r="A716" s="44" t="s">
        <v>480</v>
      </c>
      <c r="B716" s="19" t="s">
        <v>454</v>
      </c>
      <c r="C716" s="49">
        <v>2027</v>
      </c>
      <c r="D716" s="46">
        <v>0</v>
      </c>
      <c r="E716" s="47">
        <v>0</v>
      </c>
      <c r="F716" s="47">
        <v>0</v>
      </c>
      <c r="G716" s="48">
        <v>0</v>
      </c>
      <c r="H716" s="57">
        <f t="shared" si="31"/>
        <v>0</v>
      </c>
      <c r="I716" s="119"/>
      <c r="J716" s="119"/>
      <c r="K716" s="119"/>
      <c r="L716" s="119"/>
      <c r="M716" s="119"/>
      <c r="N716" s="119"/>
      <c r="O716" s="119"/>
      <c r="P716" s="119"/>
      <c r="Q716" s="44" t="s">
        <v>480</v>
      </c>
      <c r="R716" s="19" t="s">
        <v>454</v>
      </c>
      <c r="S716" s="49">
        <v>2027</v>
      </c>
      <c r="T716" s="46">
        <v>0</v>
      </c>
      <c r="U716" s="47">
        <v>0</v>
      </c>
      <c r="V716" s="47">
        <v>0</v>
      </c>
      <c r="W716" s="48">
        <v>0</v>
      </c>
      <c r="X716" s="57">
        <f t="shared" ref="X716:X779" si="32">SUM(T716:W716)</f>
        <v>0</v>
      </c>
      <c r="Y716" s="119"/>
    </row>
    <row r="717" spans="1:25">
      <c r="A717" s="44" t="s">
        <v>480</v>
      </c>
      <c r="B717" s="19" t="s">
        <v>454</v>
      </c>
      <c r="C717" s="49">
        <v>2028</v>
      </c>
      <c r="D717" s="46">
        <v>0</v>
      </c>
      <c r="E717" s="47">
        <v>0</v>
      </c>
      <c r="F717" s="47">
        <v>0</v>
      </c>
      <c r="G717" s="48">
        <v>0</v>
      </c>
      <c r="H717" s="57">
        <f t="shared" ref="H717:H780" si="33">SUM(D717:G717)/((1+$L$7)^(C717-C$11))</f>
        <v>0</v>
      </c>
      <c r="I717" s="119"/>
      <c r="J717" s="119"/>
      <c r="K717" s="119"/>
      <c r="L717" s="119"/>
      <c r="M717" s="119"/>
      <c r="N717" s="119"/>
      <c r="O717" s="119"/>
      <c r="P717" s="119"/>
      <c r="Q717" s="44" t="s">
        <v>480</v>
      </c>
      <c r="R717" s="19" t="s">
        <v>454</v>
      </c>
      <c r="S717" s="49">
        <v>2028</v>
      </c>
      <c r="T717" s="46">
        <v>0</v>
      </c>
      <c r="U717" s="47">
        <v>0</v>
      </c>
      <c r="V717" s="47">
        <v>0</v>
      </c>
      <c r="W717" s="48">
        <v>0</v>
      </c>
      <c r="X717" s="57">
        <f t="shared" si="32"/>
        <v>0</v>
      </c>
      <c r="Y717" s="119"/>
    </row>
    <row r="718" spans="1:25">
      <c r="A718" s="44" t="s">
        <v>480</v>
      </c>
      <c r="B718" s="19" t="s">
        <v>454</v>
      </c>
      <c r="C718" s="49">
        <v>2029</v>
      </c>
      <c r="D718" s="46">
        <v>0</v>
      </c>
      <c r="E718" s="47">
        <v>0</v>
      </c>
      <c r="F718" s="47">
        <v>0</v>
      </c>
      <c r="G718" s="48">
        <v>0</v>
      </c>
      <c r="H718" s="57">
        <f t="shared" si="33"/>
        <v>0</v>
      </c>
      <c r="I718" s="119"/>
      <c r="J718" s="119"/>
      <c r="K718" s="119"/>
      <c r="L718" s="119"/>
      <c r="M718" s="119"/>
      <c r="N718" s="119"/>
      <c r="O718" s="119"/>
      <c r="P718" s="119"/>
      <c r="Q718" s="44" t="s">
        <v>480</v>
      </c>
      <c r="R718" s="19" t="s">
        <v>454</v>
      </c>
      <c r="S718" s="49">
        <v>2029</v>
      </c>
      <c r="T718" s="46">
        <v>0</v>
      </c>
      <c r="U718" s="47">
        <v>0</v>
      </c>
      <c r="V718" s="47">
        <v>0</v>
      </c>
      <c r="W718" s="48">
        <v>0</v>
      </c>
      <c r="X718" s="57">
        <f t="shared" si="32"/>
        <v>0</v>
      </c>
      <c r="Y718" s="119"/>
    </row>
    <row r="719" spans="1:25">
      <c r="A719" s="44" t="s">
        <v>480</v>
      </c>
      <c r="B719" s="19" t="s">
        <v>454</v>
      </c>
      <c r="C719" s="49">
        <v>2030</v>
      </c>
      <c r="D719" s="46">
        <v>71.743598005787803</v>
      </c>
      <c r="E719" s="47">
        <v>0</v>
      </c>
      <c r="F719" s="47">
        <v>0</v>
      </c>
      <c r="G719" s="48">
        <v>0</v>
      </c>
      <c r="H719" s="57">
        <f t="shared" si="33"/>
        <v>54.784029500108041</v>
      </c>
      <c r="I719" s="119"/>
      <c r="J719" s="119"/>
      <c r="K719" s="119"/>
      <c r="L719" s="119"/>
      <c r="M719" s="119"/>
      <c r="N719" s="119"/>
      <c r="O719" s="119"/>
      <c r="P719" s="119"/>
      <c r="Q719" s="44" t="s">
        <v>480</v>
      </c>
      <c r="R719" s="19" t="s">
        <v>454</v>
      </c>
      <c r="S719" s="49">
        <v>2030</v>
      </c>
      <c r="T719" s="46">
        <v>71.743598005787803</v>
      </c>
      <c r="U719" s="47">
        <v>0</v>
      </c>
      <c r="V719" s="47">
        <v>0</v>
      </c>
      <c r="W719" s="48">
        <v>0</v>
      </c>
      <c r="X719" s="57">
        <f t="shared" si="32"/>
        <v>71.743598005787803</v>
      </c>
      <c r="Y719" s="119"/>
    </row>
    <row r="720" spans="1:25">
      <c r="A720" s="44" t="s">
        <v>480</v>
      </c>
      <c r="B720" s="19" t="s">
        <v>454</v>
      </c>
      <c r="C720" s="49">
        <v>2031</v>
      </c>
      <c r="D720" s="46">
        <v>0</v>
      </c>
      <c r="E720" s="47">
        <v>0</v>
      </c>
      <c r="F720" s="47">
        <v>0</v>
      </c>
      <c r="G720" s="48">
        <v>0</v>
      </c>
      <c r="H720" s="57">
        <f t="shared" si="33"/>
        <v>0</v>
      </c>
      <c r="I720" s="119"/>
      <c r="J720" s="119"/>
      <c r="K720" s="119"/>
      <c r="L720" s="119"/>
      <c r="M720" s="119"/>
      <c r="N720" s="119"/>
      <c r="O720" s="119"/>
      <c r="P720" s="119"/>
      <c r="Q720" s="44" t="s">
        <v>480</v>
      </c>
      <c r="R720" s="19" t="s">
        <v>454</v>
      </c>
      <c r="S720" s="49">
        <v>2031</v>
      </c>
      <c r="T720" s="46">
        <v>73.17846996590356</v>
      </c>
      <c r="U720" s="47">
        <v>0</v>
      </c>
      <c r="V720" s="47">
        <v>0</v>
      </c>
      <c r="W720" s="48">
        <v>0</v>
      </c>
      <c r="X720" s="57">
        <f t="shared" si="32"/>
        <v>73.17846996590356</v>
      </c>
      <c r="Y720" s="119"/>
    </row>
    <row r="721" spans="1:25">
      <c r="A721" s="44" t="s">
        <v>480</v>
      </c>
      <c r="B721" s="19" t="s">
        <v>454</v>
      </c>
      <c r="C721" s="49">
        <v>2032</v>
      </c>
      <c r="D721" s="46">
        <v>0</v>
      </c>
      <c r="E721" s="47">
        <v>0</v>
      </c>
      <c r="F721" s="47">
        <v>0</v>
      </c>
      <c r="G721" s="48">
        <v>0</v>
      </c>
      <c r="H721" s="57">
        <f t="shared" si="33"/>
        <v>0</v>
      </c>
      <c r="I721" s="119"/>
      <c r="J721" s="119"/>
      <c r="K721" s="119"/>
      <c r="L721" s="119"/>
      <c r="M721" s="119"/>
      <c r="N721" s="119"/>
      <c r="O721" s="119"/>
      <c r="P721" s="119"/>
      <c r="Q721" s="44" t="s">
        <v>480</v>
      </c>
      <c r="R721" s="19" t="s">
        <v>454</v>
      </c>
      <c r="S721" s="49">
        <v>2032</v>
      </c>
      <c r="T721" s="46">
        <v>74.642039365221635</v>
      </c>
      <c r="U721" s="47">
        <v>0</v>
      </c>
      <c r="V721" s="47">
        <v>0</v>
      </c>
      <c r="W721" s="48">
        <v>0</v>
      </c>
      <c r="X721" s="57">
        <f t="shared" si="32"/>
        <v>74.642039365221635</v>
      </c>
      <c r="Y721" s="119"/>
    </row>
    <row r="722" spans="1:25">
      <c r="A722" s="44" t="s">
        <v>480</v>
      </c>
      <c r="B722" s="19" t="s">
        <v>454</v>
      </c>
      <c r="C722" s="49">
        <v>2033</v>
      </c>
      <c r="D722" s="46">
        <v>0</v>
      </c>
      <c r="E722" s="47">
        <v>0</v>
      </c>
      <c r="F722" s="47">
        <v>0</v>
      </c>
      <c r="G722" s="48">
        <v>0</v>
      </c>
      <c r="H722" s="57">
        <f t="shared" si="33"/>
        <v>0</v>
      </c>
      <c r="I722" s="119"/>
      <c r="J722" s="119"/>
      <c r="K722" s="119"/>
      <c r="L722" s="119"/>
      <c r="M722" s="119"/>
      <c r="N722" s="119"/>
      <c r="O722" s="119"/>
      <c r="P722" s="119"/>
      <c r="Q722" s="44" t="s">
        <v>480</v>
      </c>
      <c r="R722" s="19" t="s">
        <v>454</v>
      </c>
      <c r="S722" s="49">
        <v>2033</v>
      </c>
      <c r="T722" s="46">
        <v>76.134880152526065</v>
      </c>
      <c r="U722" s="47">
        <v>0</v>
      </c>
      <c r="V722" s="47">
        <v>0</v>
      </c>
      <c r="W722" s="48">
        <v>0</v>
      </c>
      <c r="X722" s="57">
        <f t="shared" si="32"/>
        <v>76.134880152526065</v>
      </c>
      <c r="Y722" s="119"/>
    </row>
    <row r="723" spans="1:25">
      <c r="A723" s="44" t="s">
        <v>480</v>
      </c>
      <c r="B723" s="19" t="s">
        <v>454</v>
      </c>
      <c r="C723" s="49">
        <v>2034</v>
      </c>
      <c r="D723" s="46">
        <v>0</v>
      </c>
      <c r="E723" s="47">
        <v>0</v>
      </c>
      <c r="F723" s="47">
        <v>0</v>
      </c>
      <c r="G723" s="48">
        <v>0</v>
      </c>
      <c r="H723" s="57">
        <f t="shared" si="33"/>
        <v>0</v>
      </c>
      <c r="I723" s="119"/>
      <c r="J723" s="119"/>
      <c r="K723" s="119"/>
      <c r="L723" s="119"/>
      <c r="M723" s="119"/>
      <c r="N723" s="119"/>
      <c r="O723" s="119"/>
      <c r="P723" s="119"/>
      <c r="Q723" s="44" t="s">
        <v>480</v>
      </c>
      <c r="R723" s="19" t="s">
        <v>454</v>
      </c>
      <c r="S723" s="49">
        <v>2034</v>
      </c>
      <c r="T723" s="46">
        <v>77.657577755576582</v>
      </c>
      <c r="U723" s="47">
        <v>0</v>
      </c>
      <c r="V723" s="47">
        <v>0</v>
      </c>
      <c r="W723" s="48">
        <v>0</v>
      </c>
      <c r="X723" s="57">
        <f t="shared" si="32"/>
        <v>77.657577755576582</v>
      </c>
      <c r="Y723" s="119"/>
    </row>
    <row r="724" spans="1:25">
      <c r="A724" s="44" t="s">
        <v>480</v>
      </c>
      <c r="B724" s="19" t="s">
        <v>454</v>
      </c>
      <c r="C724" s="49">
        <v>2035</v>
      </c>
      <c r="D724" s="46">
        <v>0</v>
      </c>
      <c r="E724" s="47">
        <v>0</v>
      </c>
      <c r="F724" s="47">
        <v>0</v>
      </c>
      <c r="G724" s="48">
        <v>0</v>
      </c>
      <c r="H724" s="57">
        <f t="shared" si="33"/>
        <v>0</v>
      </c>
      <c r="I724" s="119"/>
      <c r="J724" s="119"/>
      <c r="K724" s="119"/>
      <c r="L724" s="119"/>
      <c r="M724" s="119"/>
      <c r="N724" s="119"/>
      <c r="O724" s="119"/>
      <c r="P724" s="119"/>
      <c r="Q724" s="44" t="s">
        <v>480</v>
      </c>
      <c r="R724" s="19" t="s">
        <v>454</v>
      </c>
      <c r="S724" s="49">
        <v>2035</v>
      </c>
      <c r="T724" s="46">
        <v>79.210729310688109</v>
      </c>
      <c r="U724" s="47">
        <v>0</v>
      </c>
      <c r="V724" s="47">
        <v>0</v>
      </c>
      <c r="W724" s="48">
        <v>0</v>
      </c>
      <c r="X724" s="57">
        <f t="shared" si="32"/>
        <v>79.210729310688109</v>
      </c>
      <c r="Y724" s="119">
        <f>NPV($Y$10,X715:X724)/((1-(1+$Y$10)^-10)/$Y$10)</f>
        <v>38.92174564023594</v>
      </c>
    </row>
    <row r="725" spans="1:25">
      <c r="A725" s="44"/>
      <c r="B725" s="19" t="s">
        <v>401</v>
      </c>
      <c r="C725" s="49"/>
      <c r="D725" s="46" t="s">
        <v>401</v>
      </c>
      <c r="E725" s="47" t="s">
        <v>401</v>
      </c>
      <c r="F725" s="47" t="s">
        <v>401</v>
      </c>
      <c r="G725" s="48" t="s">
        <v>401</v>
      </c>
      <c r="H725" s="57">
        <f t="shared" si="33"/>
        <v>0</v>
      </c>
      <c r="I725" s="119"/>
      <c r="J725" s="119"/>
      <c r="K725" s="119"/>
      <c r="L725" s="119"/>
      <c r="M725" s="119"/>
      <c r="N725" s="119"/>
      <c r="O725" s="119"/>
      <c r="P725" s="119"/>
      <c r="Q725" s="44"/>
      <c r="R725" s="19" t="s">
        <v>401</v>
      </c>
      <c r="S725" s="49"/>
      <c r="T725" s="46"/>
      <c r="U725" s="47"/>
      <c r="V725" s="47"/>
      <c r="W725" s="48"/>
      <c r="X725" s="57">
        <f t="shared" si="32"/>
        <v>0</v>
      </c>
      <c r="Y725" s="119"/>
    </row>
    <row r="726" spans="1:25">
      <c r="A726" s="44" t="s">
        <v>480</v>
      </c>
      <c r="B726" s="19" t="s">
        <v>455</v>
      </c>
      <c r="C726" s="49">
        <v>2026</v>
      </c>
      <c r="D726" s="46">
        <v>0</v>
      </c>
      <c r="E726" s="47">
        <v>0</v>
      </c>
      <c r="F726" s="47">
        <v>0</v>
      </c>
      <c r="G726" s="48">
        <v>0</v>
      </c>
      <c r="H726" s="57">
        <f t="shared" si="33"/>
        <v>0</v>
      </c>
      <c r="I726" s="119"/>
      <c r="J726" s="119"/>
      <c r="K726" s="119"/>
      <c r="L726" s="119"/>
      <c r="M726" s="119"/>
      <c r="N726" s="119"/>
      <c r="O726" s="119"/>
      <c r="P726" s="119"/>
      <c r="Q726" s="44" t="s">
        <v>480</v>
      </c>
      <c r="R726" s="19" t="s">
        <v>455</v>
      </c>
      <c r="S726" s="49">
        <v>2026</v>
      </c>
      <c r="T726" s="46">
        <v>0</v>
      </c>
      <c r="U726" s="47">
        <v>0</v>
      </c>
      <c r="V726" s="47">
        <v>0</v>
      </c>
      <c r="W726" s="48">
        <v>0</v>
      </c>
      <c r="X726" s="57">
        <f t="shared" si="32"/>
        <v>0</v>
      </c>
      <c r="Y726" s="119"/>
    </row>
    <row r="727" spans="1:25">
      <c r="A727" s="44" t="s">
        <v>480</v>
      </c>
      <c r="B727" s="19" t="s">
        <v>455</v>
      </c>
      <c r="C727" s="49">
        <v>2027</v>
      </c>
      <c r="D727" s="46">
        <v>0</v>
      </c>
      <c r="E727" s="47">
        <v>0</v>
      </c>
      <c r="F727" s="47">
        <v>0</v>
      </c>
      <c r="G727" s="48">
        <v>0</v>
      </c>
      <c r="H727" s="57">
        <f t="shared" si="33"/>
        <v>0</v>
      </c>
      <c r="I727" s="119"/>
      <c r="J727" s="119"/>
      <c r="K727" s="119"/>
      <c r="L727" s="119"/>
      <c r="M727" s="119"/>
      <c r="N727" s="119"/>
      <c r="O727" s="119"/>
      <c r="P727" s="119"/>
      <c r="Q727" s="44" t="s">
        <v>480</v>
      </c>
      <c r="R727" s="19" t="s">
        <v>455</v>
      </c>
      <c r="S727" s="49">
        <v>2027</v>
      </c>
      <c r="T727" s="46">
        <v>0</v>
      </c>
      <c r="U727" s="47">
        <v>0</v>
      </c>
      <c r="V727" s="47">
        <v>0</v>
      </c>
      <c r="W727" s="48">
        <v>0</v>
      </c>
      <c r="X727" s="57">
        <f t="shared" si="32"/>
        <v>0</v>
      </c>
      <c r="Y727" s="119"/>
    </row>
    <row r="728" spans="1:25">
      <c r="A728" s="44" t="s">
        <v>480</v>
      </c>
      <c r="B728" s="19" t="s">
        <v>455</v>
      </c>
      <c r="C728" s="49">
        <v>2028</v>
      </c>
      <c r="D728" s="46">
        <v>0</v>
      </c>
      <c r="E728" s="47">
        <v>0</v>
      </c>
      <c r="F728" s="47">
        <v>0</v>
      </c>
      <c r="G728" s="48">
        <v>0</v>
      </c>
      <c r="H728" s="57">
        <f t="shared" si="33"/>
        <v>0</v>
      </c>
      <c r="I728" s="119"/>
      <c r="J728" s="119"/>
      <c r="K728" s="119"/>
      <c r="L728" s="119"/>
      <c r="M728" s="119"/>
      <c r="N728" s="119"/>
      <c r="O728" s="119"/>
      <c r="P728" s="119"/>
      <c r="Q728" s="44" t="s">
        <v>480</v>
      </c>
      <c r="R728" s="19" t="s">
        <v>455</v>
      </c>
      <c r="S728" s="49">
        <v>2028</v>
      </c>
      <c r="T728" s="46">
        <v>0</v>
      </c>
      <c r="U728" s="47">
        <v>0</v>
      </c>
      <c r="V728" s="47">
        <v>0</v>
      </c>
      <c r="W728" s="48">
        <v>0</v>
      </c>
      <c r="X728" s="57">
        <f t="shared" si="32"/>
        <v>0</v>
      </c>
      <c r="Y728" s="119"/>
    </row>
    <row r="729" spans="1:25">
      <c r="A729" s="44" t="s">
        <v>480</v>
      </c>
      <c r="B729" s="19" t="s">
        <v>455</v>
      </c>
      <c r="C729" s="49">
        <v>2029</v>
      </c>
      <c r="D729" s="46">
        <v>0</v>
      </c>
      <c r="E729" s="47">
        <v>0</v>
      </c>
      <c r="F729" s="47">
        <v>0</v>
      </c>
      <c r="G729" s="48">
        <v>0</v>
      </c>
      <c r="H729" s="57">
        <f t="shared" si="33"/>
        <v>0</v>
      </c>
      <c r="I729" s="119"/>
      <c r="J729" s="119"/>
      <c r="K729" s="119"/>
      <c r="L729" s="119"/>
      <c r="M729" s="119"/>
      <c r="N729" s="119"/>
      <c r="O729" s="119"/>
      <c r="P729" s="119"/>
      <c r="Q729" s="44" t="s">
        <v>480</v>
      </c>
      <c r="R729" s="19" t="s">
        <v>455</v>
      </c>
      <c r="S729" s="49">
        <v>2029</v>
      </c>
      <c r="T729" s="46">
        <v>0</v>
      </c>
      <c r="U729" s="47">
        <v>0</v>
      </c>
      <c r="V729" s="47">
        <v>0</v>
      </c>
      <c r="W729" s="48">
        <v>0</v>
      </c>
      <c r="X729" s="57">
        <f t="shared" si="32"/>
        <v>0</v>
      </c>
      <c r="Y729" s="119"/>
    </row>
    <row r="730" spans="1:25">
      <c r="A730" s="44" t="s">
        <v>480</v>
      </c>
      <c r="B730" s="19" t="s">
        <v>455</v>
      </c>
      <c r="C730" s="49">
        <v>2030</v>
      </c>
      <c r="D730" s="46">
        <v>42.946315239986752</v>
      </c>
      <c r="E730" s="47">
        <v>0</v>
      </c>
      <c r="F730" s="47">
        <v>0</v>
      </c>
      <c r="G730" s="48">
        <v>0</v>
      </c>
      <c r="H730" s="57">
        <f t="shared" si="33"/>
        <v>32.794176294846089</v>
      </c>
      <c r="I730" s="119"/>
      <c r="J730" s="119"/>
      <c r="K730" s="119"/>
      <c r="L730" s="119"/>
      <c r="M730" s="119"/>
      <c r="N730" s="119"/>
      <c r="O730" s="119"/>
      <c r="P730" s="119"/>
      <c r="Q730" s="44" t="s">
        <v>480</v>
      </c>
      <c r="R730" s="19" t="s">
        <v>455</v>
      </c>
      <c r="S730" s="49">
        <v>2030</v>
      </c>
      <c r="T730" s="46">
        <v>42.946315239986752</v>
      </c>
      <c r="U730" s="47">
        <v>0</v>
      </c>
      <c r="V730" s="47">
        <v>0</v>
      </c>
      <c r="W730" s="48">
        <v>0</v>
      </c>
      <c r="X730" s="57">
        <f t="shared" si="32"/>
        <v>42.946315239986752</v>
      </c>
      <c r="Y730" s="119"/>
    </row>
    <row r="731" spans="1:25">
      <c r="A731" s="44" t="s">
        <v>480</v>
      </c>
      <c r="B731" s="19" t="s">
        <v>455</v>
      </c>
      <c r="C731" s="49">
        <v>2031</v>
      </c>
      <c r="D731" s="46">
        <v>0</v>
      </c>
      <c r="E731" s="47">
        <v>0</v>
      </c>
      <c r="F731" s="47">
        <v>0</v>
      </c>
      <c r="G731" s="48">
        <v>0</v>
      </c>
      <c r="H731" s="57">
        <f t="shared" si="33"/>
        <v>0</v>
      </c>
      <c r="I731" s="119"/>
      <c r="J731" s="119"/>
      <c r="K731" s="119"/>
      <c r="L731" s="119"/>
      <c r="M731" s="119"/>
      <c r="N731" s="119"/>
      <c r="O731" s="119"/>
      <c r="P731" s="119"/>
      <c r="Q731" s="44" t="s">
        <v>480</v>
      </c>
      <c r="R731" s="19" t="s">
        <v>455</v>
      </c>
      <c r="S731" s="49">
        <v>2031</v>
      </c>
      <c r="T731" s="46">
        <v>43.80524154478649</v>
      </c>
      <c r="U731" s="47">
        <v>0</v>
      </c>
      <c r="V731" s="47">
        <v>0</v>
      </c>
      <c r="W731" s="48">
        <v>0</v>
      </c>
      <c r="X731" s="57">
        <f t="shared" si="32"/>
        <v>43.80524154478649</v>
      </c>
      <c r="Y731" s="119"/>
    </row>
    <row r="732" spans="1:25">
      <c r="A732" s="44" t="s">
        <v>480</v>
      </c>
      <c r="B732" s="19" t="s">
        <v>455</v>
      </c>
      <c r="C732" s="49">
        <v>2032</v>
      </c>
      <c r="D732" s="46">
        <v>0</v>
      </c>
      <c r="E732" s="47">
        <v>0</v>
      </c>
      <c r="F732" s="47">
        <v>0</v>
      </c>
      <c r="G732" s="48">
        <v>0</v>
      </c>
      <c r="H732" s="57">
        <f t="shared" si="33"/>
        <v>0</v>
      </c>
      <c r="I732" s="119"/>
      <c r="J732" s="119"/>
      <c r="K732" s="119"/>
      <c r="L732" s="119"/>
      <c r="M732" s="119"/>
      <c r="N732" s="119"/>
      <c r="O732" s="119"/>
      <c r="P732" s="119"/>
      <c r="Q732" s="44" t="s">
        <v>480</v>
      </c>
      <c r="R732" s="19" t="s">
        <v>455</v>
      </c>
      <c r="S732" s="49">
        <v>2032</v>
      </c>
      <c r="T732" s="46">
        <v>44.681346375682217</v>
      </c>
      <c r="U732" s="47">
        <v>0</v>
      </c>
      <c r="V732" s="47">
        <v>0</v>
      </c>
      <c r="W732" s="48">
        <v>0</v>
      </c>
      <c r="X732" s="57">
        <f t="shared" si="32"/>
        <v>44.681346375682217</v>
      </c>
      <c r="Y732" s="119"/>
    </row>
    <row r="733" spans="1:25">
      <c r="A733" s="44" t="s">
        <v>480</v>
      </c>
      <c r="B733" s="19" t="s">
        <v>455</v>
      </c>
      <c r="C733" s="49">
        <v>2033</v>
      </c>
      <c r="D733" s="46">
        <v>0</v>
      </c>
      <c r="E733" s="47">
        <v>0</v>
      </c>
      <c r="F733" s="47">
        <v>0</v>
      </c>
      <c r="G733" s="48">
        <v>0</v>
      </c>
      <c r="H733" s="57">
        <f t="shared" si="33"/>
        <v>0</v>
      </c>
      <c r="I733" s="119"/>
      <c r="J733" s="119"/>
      <c r="K733" s="119"/>
      <c r="L733" s="119"/>
      <c r="M733" s="119"/>
      <c r="N733" s="119"/>
      <c r="O733" s="119"/>
      <c r="P733" s="119"/>
      <c r="Q733" s="44" t="s">
        <v>480</v>
      </c>
      <c r="R733" s="19" t="s">
        <v>455</v>
      </c>
      <c r="S733" s="49">
        <v>2033</v>
      </c>
      <c r="T733" s="46">
        <v>45.574973303195861</v>
      </c>
      <c r="U733" s="47">
        <v>0</v>
      </c>
      <c r="V733" s="47">
        <v>0</v>
      </c>
      <c r="W733" s="48">
        <v>0</v>
      </c>
      <c r="X733" s="57">
        <f t="shared" si="32"/>
        <v>45.574973303195861</v>
      </c>
      <c r="Y733" s="119"/>
    </row>
    <row r="734" spans="1:25">
      <c r="A734" s="44" t="s">
        <v>480</v>
      </c>
      <c r="B734" s="19" t="s">
        <v>455</v>
      </c>
      <c r="C734" s="49">
        <v>2034</v>
      </c>
      <c r="D734" s="46">
        <v>0</v>
      </c>
      <c r="E734" s="47">
        <v>0</v>
      </c>
      <c r="F734" s="47">
        <v>0</v>
      </c>
      <c r="G734" s="48">
        <v>0</v>
      </c>
      <c r="H734" s="57">
        <f t="shared" si="33"/>
        <v>0</v>
      </c>
      <c r="I734" s="119"/>
      <c r="J734" s="119"/>
      <c r="K734" s="119"/>
      <c r="L734" s="119"/>
      <c r="M734" s="119"/>
      <c r="N734" s="119"/>
      <c r="O734" s="119"/>
      <c r="P734" s="119"/>
      <c r="Q734" s="44" t="s">
        <v>480</v>
      </c>
      <c r="R734" s="19" t="s">
        <v>455</v>
      </c>
      <c r="S734" s="49">
        <v>2034</v>
      </c>
      <c r="T734" s="46">
        <v>46.486472769259777</v>
      </c>
      <c r="U734" s="47">
        <v>0</v>
      </c>
      <c r="V734" s="47">
        <v>0</v>
      </c>
      <c r="W734" s="48">
        <v>0</v>
      </c>
      <c r="X734" s="57">
        <f t="shared" si="32"/>
        <v>46.486472769259777</v>
      </c>
      <c r="Y734" s="119"/>
    </row>
    <row r="735" spans="1:25">
      <c r="A735" s="44" t="s">
        <v>480</v>
      </c>
      <c r="B735" s="19" t="s">
        <v>455</v>
      </c>
      <c r="C735" s="49">
        <v>2035</v>
      </c>
      <c r="D735" s="46">
        <v>0</v>
      </c>
      <c r="E735" s="47">
        <v>0</v>
      </c>
      <c r="F735" s="47">
        <v>0</v>
      </c>
      <c r="G735" s="48">
        <v>0</v>
      </c>
      <c r="H735" s="57">
        <f t="shared" si="33"/>
        <v>0</v>
      </c>
      <c r="I735" s="119"/>
      <c r="J735" s="119"/>
      <c r="K735" s="119"/>
      <c r="L735" s="119"/>
      <c r="M735" s="119"/>
      <c r="N735" s="119"/>
      <c r="O735" s="119"/>
      <c r="P735" s="119"/>
      <c r="Q735" s="44" t="s">
        <v>480</v>
      </c>
      <c r="R735" s="19" t="s">
        <v>455</v>
      </c>
      <c r="S735" s="49">
        <v>2035</v>
      </c>
      <c r="T735" s="46">
        <v>47.416202224644977</v>
      </c>
      <c r="U735" s="47">
        <v>0</v>
      </c>
      <c r="V735" s="47">
        <v>0</v>
      </c>
      <c r="W735" s="48">
        <v>0</v>
      </c>
      <c r="X735" s="57">
        <f t="shared" si="32"/>
        <v>47.416202224644977</v>
      </c>
      <c r="Y735" s="119">
        <f>NPV($Y$10,X726:X735)/((1-(1+$Y$10)^-10)/$Y$10)</f>
        <v>23.298881076765948</v>
      </c>
    </row>
    <row r="736" spans="1:25">
      <c r="A736" s="44"/>
      <c r="B736" s="19" t="s">
        <v>401</v>
      </c>
      <c r="C736" s="49"/>
      <c r="D736" s="42" t="s">
        <v>401</v>
      </c>
      <c r="E736" s="19" t="s">
        <v>401</v>
      </c>
      <c r="F736" s="19" t="s">
        <v>401</v>
      </c>
      <c r="G736" s="43" t="s">
        <v>401</v>
      </c>
      <c r="H736" s="57">
        <f t="shared" si="33"/>
        <v>0</v>
      </c>
      <c r="I736" s="119"/>
      <c r="J736" s="119"/>
      <c r="K736" s="119"/>
      <c r="L736" s="119"/>
      <c r="M736" s="119"/>
      <c r="N736" s="119"/>
      <c r="O736" s="119"/>
      <c r="P736" s="119"/>
      <c r="Q736" s="44"/>
      <c r="R736" s="19" t="s">
        <v>401</v>
      </c>
      <c r="S736" s="49"/>
      <c r="T736" s="42"/>
      <c r="U736" s="19"/>
      <c r="V736" s="19"/>
      <c r="W736" s="43"/>
      <c r="X736" s="57">
        <f t="shared" si="32"/>
        <v>0</v>
      </c>
      <c r="Y736" s="119"/>
    </row>
    <row r="737" spans="1:25">
      <c r="A737" s="44" t="s">
        <v>481</v>
      </c>
      <c r="B737" s="19" t="s">
        <v>456</v>
      </c>
      <c r="C737" s="49">
        <v>2026</v>
      </c>
      <c r="D737" s="46">
        <v>0</v>
      </c>
      <c r="E737" s="47">
        <v>0</v>
      </c>
      <c r="F737" s="47">
        <v>0</v>
      </c>
      <c r="G737" s="48">
        <v>0</v>
      </c>
      <c r="H737" s="57">
        <f t="shared" si="33"/>
        <v>0</v>
      </c>
      <c r="I737" s="119"/>
      <c r="J737" s="119"/>
      <c r="K737" s="119"/>
      <c r="L737" s="119"/>
      <c r="M737" s="119"/>
      <c r="N737" s="119"/>
      <c r="O737" s="119"/>
      <c r="P737" s="119"/>
      <c r="Q737" s="44" t="s">
        <v>481</v>
      </c>
      <c r="R737" s="19" t="s">
        <v>456</v>
      </c>
      <c r="S737" s="49">
        <v>2026</v>
      </c>
      <c r="T737" s="46">
        <v>0</v>
      </c>
      <c r="U737" s="47">
        <v>0</v>
      </c>
      <c r="V737" s="47">
        <v>0</v>
      </c>
      <c r="W737" s="48">
        <v>0</v>
      </c>
      <c r="X737" s="57">
        <f t="shared" si="32"/>
        <v>0</v>
      </c>
      <c r="Y737" s="119"/>
    </row>
    <row r="738" spans="1:25">
      <c r="A738" s="44" t="s">
        <v>481</v>
      </c>
      <c r="B738" s="19" t="s">
        <v>456</v>
      </c>
      <c r="C738" s="49">
        <v>2027</v>
      </c>
      <c r="D738" s="46">
        <v>0</v>
      </c>
      <c r="E738" s="47">
        <v>0</v>
      </c>
      <c r="F738" s="47">
        <v>0</v>
      </c>
      <c r="G738" s="48">
        <v>0</v>
      </c>
      <c r="H738" s="57">
        <f t="shared" si="33"/>
        <v>0</v>
      </c>
      <c r="I738" s="119"/>
      <c r="J738" s="119"/>
      <c r="K738" s="119"/>
      <c r="L738" s="119"/>
      <c r="M738" s="119"/>
      <c r="N738" s="119"/>
      <c r="O738" s="119"/>
      <c r="P738" s="119"/>
      <c r="Q738" s="44" t="s">
        <v>481</v>
      </c>
      <c r="R738" s="19" t="s">
        <v>456</v>
      </c>
      <c r="S738" s="49">
        <v>2027</v>
      </c>
      <c r="T738" s="46">
        <v>0</v>
      </c>
      <c r="U738" s="47">
        <v>0</v>
      </c>
      <c r="V738" s="47">
        <v>0</v>
      </c>
      <c r="W738" s="48">
        <v>0</v>
      </c>
      <c r="X738" s="57">
        <f t="shared" si="32"/>
        <v>0</v>
      </c>
      <c r="Y738" s="119"/>
    </row>
    <row r="739" spans="1:25">
      <c r="A739" s="44" t="s">
        <v>481</v>
      </c>
      <c r="B739" s="19" t="s">
        <v>456</v>
      </c>
      <c r="C739" s="49">
        <v>2028</v>
      </c>
      <c r="D739" s="46">
        <v>0</v>
      </c>
      <c r="E739" s="47">
        <v>0</v>
      </c>
      <c r="F739" s="47">
        <v>0</v>
      </c>
      <c r="G739" s="48">
        <v>0</v>
      </c>
      <c r="H739" s="57">
        <f t="shared" si="33"/>
        <v>0</v>
      </c>
      <c r="I739" s="119"/>
      <c r="J739" s="119"/>
      <c r="K739" s="119"/>
      <c r="L739" s="119"/>
      <c r="M739" s="119"/>
      <c r="N739" s="119"/>
      <c r="O739" s="119"/>
      <c r="P739" s="119"/>
      <c r="Q739" s="44" t="s">
        <v>481</v>
      </c>
      <c r="R739" s="19" t="s">
        <v>456</v>
      </c>
      <c r="S739" s="49">
        <v>2028</v>
      </c>
      <c r="T739" s="46">
        <v>0</v>
      </c>
      <c r="U739" s="47">
        <v>0</v>
      </c>
      <c r="V739" s="47">
        <v>0</v>
      </c>
      <c r="W739" s="48">
        <v>0</v>
      </c>
      <c r="X739" s="57">
        <f t="shared" si="32"/>
        <v>0</v>
      </c>
      <c r="Y739" s="119"/>
    </row>
    <row r="740" spans="1:25">
      <c r="A740" s="44" t="s">
        <v>481</v>
      </c>
      <c r="B740" s="19" t="s">
        <v>456</v>
      </c>
      <c r="C740" s="49">
        <v>2029</v>
      </c>
      <c r="D740" s="46">
        <v>0</v>
      </c>
      <c r="E740" s="47">
        <v>0</v>
      </c>
      <c r="F740" s="47">
        <v>0</v>
      </c>
      <c r="G740" s="48">
        <v>0</v>
      </c>
      <c r="H740" s="57">
        <f t="shared" si="33"/>
        <v>0</v>
      </c>
      <c r="I740" s="119"/>
      <c r="J740" s="119"/>
      <c r="K740" s="119"/>
      <c r="L740" s="119"/>
      <c r="M740" s="119"/>
      <c r="N740" s="119"/>
      <c r="O740" s="119"/>
      <c r="P740" s="119"/>
      <c r="Q740" s="44" t="s">
        <v>481</v>
      </c>
      <c r="R740" s="19" t="s">
        <v>456</v>
      </c>
      <c r="S740" s="49">
        <v>2029</v>
      </c>
      <c r="T740" s="46">
        <v>0</v>
      </c>
      <c r="U740" s="47">
        <v>0</v>
      </c>
      <c r="V740" s="47">
        <v>0</v>
      </c>
      <c r="W740" s="48">
        <v>0</v>
      </c>
      <c r="X740" s="57">
        <f t="shared" si="32"/>
        <v>0</v>
      </c>
      <c r="Y740" s="119"/>
    </row>
    <row r="741" spans="1:25">
      <c r="A741" s="44" t="s">
        <v>481</v>
      </c>
      <c r="B741" s="19" t="s">
        <v>456</v>
      </c>
      <c r="C741" s="49">
        <v>2030</v>
      </c>
      <c r="D741" s="46">
        <v>0</v>
      </c>
      <c r="E741" s="47">
        <v>0</v>
      </c>
      <c r="F741" s="47">
        <v>0</v>
      </c>
      <c r="G741" s="48">
        <v>124.85258660095643</v>
      </c>
      <c r="H741" s="57">
        <f t="shared" si="33"/>
        <v>95.338510719239224</v>
      </c>
      <c r="I741" s="119"/>
      <c r="J741" s="119"/>
      <c r="K741" s="119"/>
      <c r="L741" s="119"/>
      <c r="M741" s="119"/>
      <c r="N741" s="119"/>
      <c r="O741" s="119"/>
      <c r="P741" s="119"/>
      <c r="Q741" s="44" t="s">
        <v>481</v>
      </c>
      <c r="R741" s="19" t="s">
        <v>456</v>
      </c>
      <c r="S741" s="49">
        <v>2030</v>
      </c>
      <c r="T741" s="46">
        <v>0</v>
      </c>
      <c r="U741" s="47">
        <v>0</v>
      </c>
      <c r="V741" s="47">
        <v>0</v>
      </c>
      <c r="W741" s="48">
        <v>124.85258660095643</v>
      </c>
      <c r="X741" s="57">
        <f t="shared" si="32"/>
        <v>124.85258660095643</v>
      </c>
      <c r="Y741" s="119"/>
    </row>
    <row r="742" spans="1:25">
      <c r="A742" s="44" t="s">
        <v>481</v>
      </c>
      <c r="B742" s="19" t="s">
        <v>456</v>
      </c>
      <c r="C742" s="49">
        <v>2031</v>
      </c>
      <c r="D742" s="46">
        <v>0</v>
      </c>
      <c r="E742" s="47">
        <v>0</v>
      </c>
      <c r="F742" s="47">
        <v>0</v>
      </c>
      <c r="G742" s="48">
        <v>0</v>
      </c>
      <c r="H742" s="57">
        <f t="shared" si="33"/>
        <v>0</v>
      </c>
      <c r="I742" s="119"/>
      <c r="J742" s="119"/>
      <c r="K742" s="119"/>
      <c r="L742" s="119"/>
      <c r="M742" s="119"/>
      <c r="N742" s="119"/>
      <c r="O742" s="119"/>
      <c r="P742" s="119"/>
      <c r="Q742" s="44" t="s">
        <v>481</v>
      </c>
      <c r="R742" s="19" t="s">
        <v>456</v>
      </c>
      <c r="S742" s="49">
        <v>2031</v>
      </c>
      <c r="T742" s="46">
        <v>0</v>
      </c>
      <c r="U742" s="47">
        <v>0</v>
      </c>
      <c r="V742" s="47">
        <v>0</v>
      </c>
      <c r="W742" s="48">
        <v>127.34963833297556</v>
      </c>
      <c r="X742" s="57">
        <f t="shared" si="32"/>
        <v>127.34963833297556</v>
      </c>
      <c r="Y742" s="119"/>
    </row>
    <row r="743" spans="1:25">
      <c r="A743" s="44" t="s">
        <v>481</v>
      </c>
      <c r="B743" s="19" t="s">
        <v>456</v>
      </c>
      <c r="C743" s="49">
        <v>2032</v>
      </c>
      <c r="D743" s="46">
        <v>0</v>
      </c>
      <c r="E743" s="47">
        <v>0</v>
      </c>
      <c r="F743" s="47">
        <v>0</v>
      </c>
      <c r="G743" s="48">
        <v>0</v>
      </c>
      <c r="H743" s="57">
        <f t="shared" si="33"/>
        <v>0</v>
      </c>
      <c r="I743" s="119"/>
      <c r="J743" s="119"/>
      <c r="K743" s="119"/>
      <c r="L743" s="119"/>
      <c r="M743" s="119"/>
      <c r="N743" s="119"/>
      <c r="O743" s="119"/>
      <c r="P743" s="119"/>
      <c r="Q743" s="44" t="s">
        <v>481</v>
      </c>
      <c r="R743" s="19" t="s">
        <v>456</v>
      </c>
      <c r="S743" s="49">
        <v>2032</v>
      </c>
      <c r="T743" s="46">
        <v>0</v>
      </c>
      <c r="U743" s="47">
        <v>0</v>
      </c>
      <c r="V743" s="47">
        <v>0</v>
      </c>
      <c r="W743" s="48">
        <v>129.89663109963507</v>
      </c>
      <c r="X743" s="57">
        <f t="shared" si="32"/>
        <v>129.89663109963507</v>
      </c>
      <c r="Y743" s="119"/>
    </row>
    <row r="744" spans="1:25">
      <c r="A744" s="44" t="s">
        <v>481</v>
      </c>
      <c r="B744" s="19" t="s">
        <v>456</v>
      </c>
      <c r="C744" s="49">
        <v>2033</v>
      </c>
      <c r="D744" s="46">
        <v>0</v>
      </c>
      <c r="E744" s="47">
        <v>0</v>
      </c>
      <c r="F744" s="47">
        <v>0</v>
      </c>
      <c r="G744" s="48">
        <v>0</v>
      </c>
      <c r="H744" s="57">
        <f t="shared" si="33"/>
        <v>0</v>
      </c>
      <c r="I744" s="119"/>
      <c r="J744" s="119"/>
      <c r="K744" s="119"/>
      <c r="L744" s="119"/>
      <c r="M744" s="119"/>
      <c r="N744" s="119"/>
      <c r="O744" s="119"/>
      <c r="P744" s="119"/>
      <c r="Q744" s="44" t="s">
        <v>481</v>
      </c>
      <c r="R744" s="19" t="s">
        <v>456</v>
      </c>
      <c r="S744" s="49">
        <v>2033</v>
      </c>
      <c r="T744" s="46">
        <v>0</v>
      </c>
      <c r="U744" s="47">
        <v>0</v>
      </c>
      <c r="V744" s="47">
        <v>0</v>
      </c>
      <c r="W744" s="48">
        <v>132.49456372162777</v>
      </c>
      <c r="X744" s="57">
        <f t="shared" si="32"/>
        <v>132.49456372162777</v>
      </c>
      <c r="Y744" s="119"/>
    </row>
    <row r="745" spans="1:25">
      <c r="A745" s="44" t="s">
        <v>481</v>
      </c>
      <c r="B745" s="19" t="s">
        <v>456</v>
      </c>
      <c r="C745" s="49">
        <v>2034</v>
      </c>
      <c r="D745" s="46">
        <v>0</v>
      </c>
      <c r="E745" s="47">
        <v>0</v>
      </c>
      <c r="F745" s="47">
        <v>0</v>
      </c>
      <c r="G745" s="48">
        <v>0</v>
      </c>
      <c r="H745" s="57">
        <f t="shared" si="33"/>
        <v>0</v>
      </c>
      <c r="I745" s="119"/>
      <c r="J745" s="119"/>
      <c r="K745" s="119"/>
      <c r="L745" s="119"/>
      <c r="M745" s="119"/>
      <c r="N745" s="119"/>
      <c r="O745" s="119"/>
      <c r="P745" s="119"/>
      <c r="Q745" s="44" t="s">
        <v>481</v>
      </c>
      <c r="R745" s="19" t="s">
        <v>456</v>
      </c>
      <c r="S745" s="49">
        <v>2034</v>
      </c>
      <c r="T745" s="46">
        <v>0</v>
      </c>
      <c r="U745" s="47">
        <v>0</v>
      </c>
      <c r="V745" s="47">
        <v>0</v>
      </c>
      <c r="W745" s="48">
        <v>135.14445499606032</v>
      </c>
      <c r="X745" s="57">
        <f t="shared" si="32"/>
        <v>135.14445499606032</v>
      </c>
      <c r="Y745" s="119"/>
    </row>
    <row r="746" spans="1:25">
      <c r="A746" s="44" t="s">
        <v>481</v>
      </c>
      <c r="B746" s="19" t="s">
        <v>456</v>
      </c>
      <c r="C746" s="49">
        <v>2035</v>
      </c>
      <c r="D746" s="46">
        <v>0</v>
      </c>
      <c r="E746" s="47">
        <v>0</v>
      </c>
      <c r="F746" s="47">
        <v>0</v>
      </c>
      <c r="G746" s="48">
        <v>0</v>
      </c>
      <c r="H746" s="57">
        <f t="shared" si="33"/>
        <v>0</v>
      </c>
      <c r="I746" s="119"/>
      <c r="J746" s="119"/>
      <c r="K746" s="119"/>
      <c r="L746" s="119"/>
      <c r="M746" s="119"/>
      <c r="N746" s="119"/>
      <c r="O746" s="119"/>
      <c r="P746" s="119"/>
      <c r="Q746" s="44" t="s">
        <v>481</v>
      </c>
      <c r="R746" s="19" t="s">
        <v>456</v>
      </c>
      <c r="S746" s="49">
        <v>2035</v>
      </c>
      <c r="T746" s="46">
        <v>0</v>
      </c>
      <c r="U746" s="47">
        <v>0</v>
      </c>
      <c r="V746" s="47">
        <v>0</v>
      </c>
      <c r="W746" s="48">
        <v>137.84734409598153</v>
      </c>
      <c r="X746" s="57">
        <f t="shared" si="32"/>
        <v>137.84734409598153</v>
      </c>
      <c r="Y746" s="119">
        <f>NPV($Y$10,X737:X746)/((1-(1+$Y$10)^-10)/$Y$10)</f>
        <v>67.733996527689115</v>
      </c>
    </row>
    <row r="747" spans="1:25">
      <c r="A747" s="44"/>
      <c r="B747" s="19" t="s">
        <v>401</v>
      </c>
      <c r="C747" s="49"/>
      <c r="D747" s="46" t="s">
        <v>401</v>
      </c>
      <c r="E747" s="47" t="s">
        <v>401</v>
      </c>
      <c r="F747" s="47" t="s">
        <v>401</v>
      </c>
      <c r="G747" s="48" t="s">
        <v>401</v>
      </c>
      <c r="H747" s="57">
        <f t="shared" si="33"/>
        <v>0</v>
      </c>
      <c r="I747" s="119"/>
      <c r="J747" s="119"/>
      <c r="K747" s="119"/>
      <c r="L747" s="119"/>
      <c r="M747" s="119"/>
      <c r="N747" s="119"/>
      <c r="O747" s="119"/>
      <c r="P747" s="119"/>
      <c r="Q747" s="44"/>
      <c r="R747" s="19" t="s">
        <v>401</v>
      </c>
      <c r="S747" s="49"/>
      <c r="T747" s="46"/>
      <c r="U747" s="47"/>
      <c r="V747" s="47"/>
      <c r="W747" s="48"/>
      <c r="X747" s="57">
        <f t="shared" si="32"/>
        <v>0</v>
      </c>
      <c r="Y747" s="119"/>
    </row>
    <row r="748" spans="1:25" ht="30">
      <c r="A748" s="44" t="s">
        <v>482</v>
      </c>
      <c r="B748" s="19" t="s">
        <v>457</v>
      </c>
      <c r="C748" s="49">
        <v>2026</v>
      </c>
      <c r="D748" s="46">
        <v>0</v>
      </c>
      <c r="E748" s="47">
        <v>0</v>
      </c>
      <c r="F748" s="47">
        <v>0</v>
      </c>
      <c r="G748" s="48">
        <v>0</v>
      </c>
      <c r="H748" s="57">
        <f t="shared" si="33"/>
        <v>0</v>
      </c>
      <c r="I748" s="119"/>
      <c r="J748" s="119"/>
      <c r="K748" s="119"/>
      <c r="L748" s="119"/>
      <c r="M748" s="119"/>
      <c r="N748" s="119"/>
      <c r="O748" s="119"/>
      <c r="P748" s="119"/>
      <c r="Q748" s="44" t="s">
        <v>482</v>
      </c>
      <c r="R748" s="19" t="s">
        <v>457</v>
      </c>
      <c r="S748" s="49">
        <v>2026</v>
      </c>
      <c r="T748" s="46">
        <v>0</v>
      </c>
      <c r="U748" s="47">
        <v>0</v>
      </c>
      <c r="V748" s="47">
        <v>0</v>
      </c>
      <c r="W748" s="48">
        <v>0</v>
      </c>
      <c r="X748" s="57">
        <f t="shared" si="32"/>
        <v>0</v>
      </c>
      <c r="Y748" s="119"/>
    </row>
    <row r="749" spans="1:25" ht="30">
      <c r="A749" s="44" t="s">
        <v>482</v>
      </c>
      <c r="B749" s="19" t="s">
        <v>457</v>
      </c>
      <c r="C749" s="49">
        <v>2027</v>
      </c>
      <c r="D749" s="46">
        <v>0</v>
      </c>
      <c r="E749" s="47">
        <v>0</v>
      </c>
      <c r="F749" s="47">
        <v>0</v>
      </c>
      <c r="G749" s="48">
        <v>0</v>
      </c>
      <c r="H749" s="57">
        <f t="shared" si="33"/>
        <v>0</v>
      </c>
      <c r="I749" s="119"/>
      <c r="J749" s="119"/>
      <c r="K749" s="119"/>
      <c r="L749" s="119"/>
      <c r="M749" s="119"/>
      <c r="N749" s="119"/>
      <c r="O749" s="119"/>
      <c r="P749" s="119"/>
      <c r="Q749" s="44" t="s">
        <v>482</v>
      </c>
      <c r="R749" s="19" t="s">
        <v>457</v>
      </c>
      <c r="S749" s="49">
        <v>2027</v>
      </c>
      <c r="T749" s="46">
        <v>0</v>
      </c>
      <c r="U749" s="47">
        <v>0</v>
      </c>
      <c r="V749" s="47">
        <v>0</v>
      </c>
      <c r="W749" s="48">
        <v>0</v>
      </c>
      <c r="X749" s="57">
        <f t="shared" si="32"/>
        <v>0</v>
      </c>
      <c r="Y749" s="119"/>
    </row>
    <row r="750" spans="1:25" ht="30">
      <c r="A750" s="44" t="s">
        <v>482</v>
      </c>
      <c r="B750" s="19" t="s">
        <v>457</v>
      </c>
      <c r="C750" s="49">
        <v>2028</v>
      </c>
      <c r="D750" s="46">
        <v>0</v>
      </c>
      <c r="E750" s="47">
        <v>0</v>
      </c>
      <c r="F750" s="47">
        <v>0</v>
      </c>
      <c r="G750" s="48">
        <v>0</v>
      </c>
      <c r="H750" s="57">
        <f t="shared" si="33"/>
        <v>0</v>
      </c>
      <c r="I750" s="119"/>
      <c r="J750" s="119"/>
      <c r="K750" s="119"/>
      <c r="L750" s="119"/>
      <c r="M750" s="119"/>
      <c r="N750" s="119"/>
      <c r="O750" s="119"/>
      <c r="P750" s="119"/>
      <c r="Q750" s="44" t="s">
        <v>482</v>
      </c>
      <c r="R750" s="19" t="s">
        <v>457</v>
      </c>
      <c r="S750" s="49">
        <v>2028</v>
      </c>
      <c r="T750" s="46">
        <v>0</v>
      </c>
      <c r="U750" s="47">
        <v>0</v>
      </c>
      <c r="V750" s="47">
        <v>0</v>
      </c>
      <c r="W750" s="48">
        <v>0</v>
      </c>
      <c r="X750" s="57">
        <f t="shared" si="32"/>
        <v>0</v>
      </c>
      <c r="Y750" s="119"/>
    </row>
    <row r="751" spans="1:25" ht="30">
      <c r="A751" s="44" t="s">
        <v>482</v>
      </c>
      <c r="B751" s="19" t="s">
        <v>457</v>
      </c>
      <c r="C751" s="49">
        <v>2029</v>
      </c>
      <c r="D751" s="46">
        <v>0</v>
      </c>
      <c r="E751" s="47">
        <v>0</v>
      </c>
      <c r="F751" s="47">
        <v>0</v>
      </c>
      <c r="G751" s="48">
        <v>0</v>
      </c>
      <c r="H751" s="57">
        <f t="shared" si="33"/>
        <v>0</v>
      </c>
      <c r="I751" s="119"/>
      <c r="J751" s="119"/>
      <c r="K751" s="119"/>
      <c r="L751" s="119"/>
      <c r="M751" s="119"/>
      <c r="N751" s="119"/>
      <c r="O751" s="119"/>
      <c r="P751" s="119"/>
      <c r="Q751" s="44" t="s">
        <v>482</v>
      </c>
      <c r="R751" s="19" t="s">
        <v>457</v>
      </c>
      <c r="S751" s="49">
        <v>2029</v>
      </c>
      <c r="T751" s="46">
        <v>0</v>
      </c>
      <c r="U751" s="47">
        <v>0</v>
      </c>
      <c r="V751" s="47">
        <v>0</v>
      </c>
      <c r="W751" s="48">
        <v>0</v>
      </c>
      <c r="X751" s="57">
        <f t="shared" si="32"/>
        <v>0</v>
      </c>
      <c r="Y751" s="119"/>
    </row>
    <row r="752" spans="1:25" ht="30">
      <c r="A752" s="44" t="s">
        <v>482</v>
      </c>
      <c r="B752" s="19" t="s">
        <v>457</v>
      </c>
      <c r="C752" s="49">
        <v>2030</v>
      </c>
      <c r="D752" s="46">
        <v>0</v>
      </c>
      <c r="E752" s="47">
        <v>0</v>
      </c>
      <c r="F752" s="47">
        <v>0</v>
      </c>
      <c r="G752" s="48">
        <v>32.897616031889477</v>
      </c>
      <c r="H752" s="57">
        <f t="shared" si="33"/>
        <v>25.120903011149029</v>
      </c>
      <c r="I752" s="119"/>
      <c r="J752" s="119"/>
      <c r="K752" s="119"/>
      <c r="L752" s="119"/>
      <c r="M752" s="119"/>
      <c r="N752" s="119"/>
      <c r="O752" s="119"/>
      <c r="P752" s="119"/>
      <c r="Q752" s="44" t="s">
        <v>482</v>
      </c>
      <c r="R752" s="19" t="s">
        <v>457</v>
      </c>
      <c r="S752" s="49">
        <v>2030</v>
      </c>
      <c r="T752" s="46">
        <v>0</v>
      </c>
      <c r="U752" s="47">
        <v>0</v>
      </c>
      <c r="V752" s="47">
        <v>0</v>
      </c>
      <c r="W752" s="48">
        <v>32.897616031889477</v>
      </c>
      <c r="X752" s="57">
        <f t="shared" si="32"/>
        <v>32.897616031889477</v>
      </c>
      <c r="Y752" s="119"/>
    </row>
    <row r="753" spans="1:25" ht="30">
      <c r="A753" s="44" t="s">
        <v>482</v>
      </c>
      <c r="B753" s="19" t="s">
        <v>457</v>
      </c>
      <c r="C753" s="49">
        <v>2031</v>
      </c>
      <c r="D753" s="46">
        <v>0</v>
      </c>
      <c r="E753" s="47">
        <v>0</v>
      </c>
      <c r="F753" s="47">
        <v>0</v>
      </c>
      <c r="G753" s="48">
        <v>0</v>
      </c>
      <c r="H753" s="57">
        <f t="shared" si="33"/>
        <v>0</v>
      </c>
      <c r="I753" s="119"/>
      <c r="J753" s="119"/>
      <c r="K753" s="119"/>
      <c r="L753" s="119"/>
      <c r="M753" s="119"/>
      <c r="N753" s="119"/>
      <c r="O753" s="119"/>
      <c r="P753" s="119"/>
      <c r="Q753" s="44" t="s">
        <v>482</v>
      </c>
      <c r="R753" s="19" t="s">
        <v>457</v>
      </c>
      <c r="S753" s="49">
        <v>2031</v>
      </c>
      <c r="T753" s="46">
        <v>0</v>
      </c>
      <c r="U753" s="47">
        <v>0</v>
      </c>
      <c r="V753" s="47">
        <v>0</v>
      </c>
      <c r="W753" s="48">
        <v>33.555568352527267</v>
      </c>
      <c r="X753" s="57">
        <f t="shared" si="32"/>
        <v>33.555568352527267</v>
      </c>
      <c r="Y753" s="119"/>
    </row>
    <row r="754" spans="1:25" ht="30">
      <c r="A754" s="44" t="s">
        <v>482</v>
      </c>
      <c r="B754" s="19" t="s">
        <v>457</v>
      </c>
      <c r="C754" s="49">
        <v>2032</v>
      </c>
      <c r="D754" s="46">
        <v>0</v>
      </c>
      <c r="E754" s="47">
        <v>0</v>
      </c>
      <c r="F754" s="47">
        <v>0</v>
      </c>
      <c r="G754" s="48">
        <v>0</v>
      </c>
      <c r="H754" s="57">
        <f t="shared" si="33"/>
        <v>0</v>
      </c>
      <c r="I754" s="119"/>
      <c r="J754" s="119"/>
      <c r="K754" s="119"/>
      <c r="L754" s="119"/>
      <c r="M754" s="119"/>
      <c r="N754" s="119"/>
      <c r="O754" s="119"/>
      <c r="P754" s="119"/>
      <c r="Q754" s="44" t="s">
        <v>482</v>
      </c>
      <c r="R754" s="19" t="s">
        <v>457</v>
      </c>
      <c r="S754" s="49">
        <v>2032</v>
      </c>
      <c r="T754" s="46">
        <v>0</v>
      </c>
      <c r="U754" s="47">
        <v>0</v>
      </c>
      <c r="V754" s="47">
        <v>0</v>
      </c>
      <c r="W754" s="48">
        <v>34.22667971957781</v>
      </c>
      <c r="X754" s="57">
        <f t="shared" si="32"/>
        <v>34.22667971957781</v>
      </c>
      <c r="Y754" s="119"/>
    </row>
    <row r="755" spans="1:25" ht="30">
      <c r="A755" s="44" t="s">
        <v>482</v>
      </c>
      <c r="B755" s="19" t="s">
        <v>457</v>
      </c>
      <c r="C755" s="49">
        <v>2033</v>
      </c>
      <c r="D755" s="46">
        <v>0</v>
      </c>
      <c r="E755" s="47">
        <v>0</v>
      </c>
      <c r="F755" s="47">
        <v>0</v>
      </c>
      <c r="G755" s="48">
        <v>0</v>
      </c>
      <c r="H755" s="57">
        <f t="shared" si="33"/>
        <v>0</v>
      </c>
      <c r="I755" s="119"/>
      <c r="J755" s="119"/>
      <c r="K755" s="119"/>
      <c r="L755" s="119"/>
      <c r="M755" s="119"/>
      <c r="N755" s="119"/>
      <c r="O755" s="119"/>
      <c r="P755" s="119"/>
      <c r="Q755" s="44" t="s">
        <v>482</v>
      </c>
      <c r="R755" s="19" t="s">
        <v>457</v>
      </c>
      <c r="S755" s="49">
        <v>2033</v>
      </c>
      <c r="T755" s="46">
        <v>0</v>
      </c>
      <c r="U755" s="47">
        <v>0</v>
      </c>
      <c r="V755" s="47">
        <v>0</v>
      </c>
      <c r="W755" s="48">
        <v>34.91121331396937</v>
      </c>
      <c r="X755" s="57">
        <f t="shared" si="32"/>
        <v>34.91121331396937</v>
      </c>
      <c r="Y755" s="119"/>
    </row>
    <row r="756" spans="1:25" ht="30">
      <c r="A756" s="44" t="s">
        <v>482</v>
      </c>
      <c r="B756" s="19" t="s">
        <v>457</v>
      </c>
      <c r="C756" s="49">
        <v>2034</v>
      </c>
      <c r="D756" s="46">
        <v>0</v>
      </c>
      <c r="E756" s="47">
        <v>0</v>
      </c>
      <c r="F756" s="47">
        <v>0</v>
      </c>
      <c r="G756" s="48">
        <v>0</v>
      </c>
      <c r="H756" s="57">
        <f t="shared" si="33"/>
        <v>0</v>
      </c>
      <c r="I756" s="119"/>
      <c r="J756" s="119"/>
      <c r="K756" s="119"/>
      <c r="L756" s="119"/>
      <c r="M756" s="119"/>
      <c r="N756" s="119"/>
      <c r="O756" s="119"/>
      <c r="P756" s="119"/>
      <c r="Q756" s="44" t="s">
        <v>482</v>
      </c>
      <c r="R756" s="19" t="s">
        <v>457</v>
      </c>
      <c r="S756" s="49">
        <v>2034</v>
      </c>
      <c r="T756" s="46">
        <v>0</v>
      </c>
      <c r="U756" s="47">
        <v>0</v>
      </c>
      <c r="V756" s="47">
        <v>0</v>
      </c>
      <c r="W756" s="48">
        <v>35.609437580248759</v>
      </c>
      <c r="X756" s="57">
        <f t="shared" si="32"/>
        <v>35.609437580248759</v>
      </c>
      <c r="Y756" s="119"/>
    </row>
    <row r="757" spans="1:25" ht="30">
      <c r="A757" s="44" t="s">
        <v>482</v>
      </c>
      <c r="B757" s="19" t="s">
        <v>457</v>
      </c>
      <c r="C757" s="49">
        <v>2035</v>
      </c>
      <c r="D757" s="46">
        <v>0</v>
      </c>
      <c r="E757" s="47">
        <v>0</v>
      </c>
      <c r="F757" s="47">
        <v>0</v>
      </c>
      <c r="G757" s="48">
        <v>0</v>
      </c>
      <c r="H757" s="57">
        <f t="shared" si="33"/>
        <v>0</v>
      </c>
      <c r="I757" s="119"/>
      <c r="J757" s="119"/>
      <c r="K757" s="119"/>
      <c r="L757" s="119"/>
      <c r="M757" s="119"/>
      <c r="N757" s="119"/>
      <c r="O757" s="119"/>
      <c r="P757" s="119"/>
      <c r="Q757" s="44" t="s">
        <v>482</v>
      </c>
      <c r="R757" s="19" t="s">
        <v>457</v>
      </c>
      <c r="S757" s="49">
        <v>2035</v>
      </c>
      <c r="T757" s="46">
        <v>0</v>
      </c>
      <c r="U757" s="47">
        <v>0</v>
      </c>
      <c r="V757" s="47">
        <v>0</v>
      </c>
      <c r="W757" s="48">
        <v>36.321626331853736</v>
      </c>
      <c r="X757" s="57">
        <f t="shared" si="32"/>
        <v>36.321626331853736</v>
      </c>
      <c r="Y757" s="119">
        <f>NPV($Y$10,X748:X757)/((1-(1+$Y$10)^-10)/$Y$10)</f>
        <v>17.847343581235684</v>
      </c>
    </row>
    <row r="758" spans="1:25">
      <c r="A758" s="44"/>
      <c r="B758" s="19" t="s">
        <v>401</v>
      </c>
      <c r="C758" s="49"/>
      <c r="D758" s="42" t="s">
        <v>401</v>
      </c>
      <c r="E758" s="19" t="s">
        <v>401</v>
      </c>
      <c r="F758" s="19" t="s">
        <v>401</v>
      </c>
      <c r="G758" s="43" t="s">
        <v>401</v>
      </c>
      <c r="H758" s="57">
        <f t="shared" si="33"/>
        <v>0</v>
      </c>
      <c r="I758" s="119"/>
      <c r="J758" s="119"/>
      <c r="K758" s="119"/>
      <c r="L758" s="119"/>
      <c r="M758" s="119"/>
      <c r="N758" s="119"/>
      <c r="O758" s="119"/>
      <c r="P758" s="119"/>
      <c r="Q758" s="44"/>
      <c r="R758" s="19" t="s">
        <v>401</v>
      </c>
      <c r="S758" s="49"/>
      <c r="T758" s="42"/>
      <c r="U758" s="19"/>
      <c r="V758" s="19"/>
      <c r="W758" s="43"/>
      <c r="X758" s="57">
        <f t="shared" si="32"/>
        <v>0</v>
      </c>
      <c r="Y758" s="119"/>
    </row>
    <row r="759" spans="1:25" ht="30">
      <c r="A759" s="44" t="s">
        <v>482</v>
      </c>
      <c r="B759" s="19" t="s">
        <v>458</v>
      </c>
      <c r="C759" s="49">
        <v>2026</v>
      </c>
      <c r="D759" s="46">
        <v>0</v>
      </c>
      <c r="E759" s="47">
        <v>0</v>
      </c>
      <c r="F759" s="47">
        <v>0</v>
      </c>
      <c r="G759" s="48">
        <v>0</v>
      </c>
      <c r="H759" s="57">
        <f t="shared" si="33"/>
        <v>0</v>
      </c>
      <c r="I759" s="119"/>
      <c r="J759" s="119"/>
      <c r="K759" s="119"/>
      <c r="L759" s="119"/>
      <c r="M759" s="119"/>
      <c r="N759" s="119"/>
      <c r="O759" s="119"/>
      <c r="P759" s="119"/>
      <c r="Q759" s="44" t="s">
        <v>482</v>
      </c>
      <c r="R759" s="19" t="s">
        <v>458</v>
      </c>
      <c r="S759" s="49">
        <v>2026</v>
      </c>
      <c r="T759" s="46">
        <v>0</v>
      </c>
      <c r="U759" s="47">
        <v>0</v>
      </c>
      <c r="V759" s="47">
        <v>0</v>
      </c>
      <c r="W759" s="48">
        <v>0</v>
      </c>
      <c r="X759" s="57">
        <f t="shared" si="32"/>
        <v>0</v>
      </c>
      <c r="Y759" s="119"/>
    </row>
    <row r="760" spans="1:25" ht="30">
      <c r="A760" s="44" t="s">
        <v>482</v>
      </c>
      <c r="B760" s="19" t="s">
        <v>458</v>
      </c>
      <c r="C760" s="49">
        <v>2027</v>
      </c>
      <c r="D760" s="46">
        <v>0</v>
      </c>
      <c r="E760" s="47">
        <v>0</v>
      </c>
      <c r="F760" s="47">
        <v>0</v>
      </c>
      <c r="G760" s="48">
        <v>0</v>
      </c>
      <c r="H760" s="57">
        <f t="shared" si="33"/>
        <v>0</v>
      </c>
      <c r="I760" s="119"/>
      <c r="J760" s="119"/>
      <c r="K760" s="119"/>
      <c r="L760" s="119"/>
      <c r="M760" s="119"/>
      <c r="N760" s="119"/>
      <c r="O760" s="119"/>
      <c r="P760" s="119"/>
      <c r="Q760" s="44" t="s">
        <v>482</v>
      </c>
      <c r="R760" s="19" t="s">
        <v>458</v>
      </c>
      <c r="S760" s="49">
        <v>2027</v>
      </c>
      <c r="T760" s="46">
        <v>0</v>
      </c>
      <c r="U760" s="47">
        <v>0</v>
      </c>
      <c r="V760" s="47">
        <v>0</v>
      </c>
      <c r="W760" s="48">
        <v>0</v>
      </c>
      <c r="X760" s="57">
        <f t="shared" si="32"/>
        <v>0</v>
      </c>
      <c r="Y760" s="119"/>
    </row>
    <row r="761" spans="1:25" ht="30">
      <c r="A761" s="44" t="s">
        <v>482</v>
      </c>
      <c r="B761" s="19" t="s">
        <v>458</v>
      </c>
      <c r="C761" s="49">
        <v>2028</v>
      </c>
      <c r="D761" s="46">
        <v>0</v>
      </c>
      <c r="E761" s="47">
        <v>0</v>
      </c>
      <c r="F761" s="47">
        <v>0</v>
      </c>
      <c r="G761" s="48">
        <v>0</v>
      </c>
      <c r="H761" s="57">
        <f t="shared" si="33"/>
        <v>0</v>
      </c>
      <c r="I761" s="119"/>
      <c r="J761" s="119"/>
      <c r="K761" s="119"/>
      <c r="L761" s="119"/>
      <c r="M761" s="119"/>
      <c r="N761" s="119"/>
      <c r="O761" s="119"/>
      <c r="P761" s="119"/>
      <c r="Q761" s="44" t="s">
        <v>482</v>
      </c>
      <c r="R761" s="19" t="s">
        <v>458</v>
      </c>
      <c r="S761" s="49">
        <v>2028</v>
      </c>
      <c r="T761" s="46">
        <v>0</v>
      </c>
      <c r="U761" s="47">
        <v>0</v>
      </c>
      <c r="V761" s="47">
        <v>0</v>
      </c>
      <c r="W761" s="48">
        <v>0</v>
      </c>
      <c r="X761" s="57">
        <f t="shared" si="32"/>
        <v>0</v>
      </c>
      <c r="Y761" s="119"/>
    </row>
    <row r="762" spans="1:25" ht="30">
      <c r="A762" s="44" t="s">
        <v>482</v>
      </c>
      <c r="B762" s="19" t="s">
        <v>458</v>
      </c>
      <c r="C762" s="49">
        <v>2029</v>
      </c>
      <c r="D762" s="46">
        <v>0</v>
      </c>
      <c r="E762" s="47">
        <v>0</v>
      </c>
      <c r="F762" s="47">
        <v>0</v>
      </c>
      <c r="G762" s="48">
        <v>0</v>
      </c>
      <c r="H762" s="57">
        <f t="shared" si="33"/>
        <v>0</v>
      </c>
      <c r="I762" s="119"/>
      <c r="J762" s="119"/>
      <c r="K762" s="119"/>
      <c r="L762" s="119"/>
      <c r="M762" s="119"/>
      <c r="N762" s="119"/>
      <c r="O762" s="119"/>
      <c r="P762" s="119"/>
      <c r="Q762" s="44" t="s">
        <v>482</v>
      </c>
      <c r="R762" s="19" t="s">
        <v>458</v>
      </c>
      <c r="S762" s="49">
        <v>2029</v>
      </c>
      <c r="T762" s="46">
        <v>0</v>
      </c>
      <c r="U762" s="47">
        <v>0</v>
      </c>
      <c r="V762" s="47">
        <v>0</v>
      </c>
      <c r="W762" s="48">
        <v>0</v>
      </c>
      <c r="X762" s="57">
        <f t="shared" si="32"/>
        <v>0</v>
      </c>
      <c r="Y762" s="119"/>
    </row>
    <row r="763" spans="1:25" ht="30">
      <c r="A763" s="44" t="s">
        <v>482</v>
      </c>
      <c r="B763" s="19" t="s">
        <v>458</v>
      </c>
      <c r="C763" s="49">
        <v>2030</v>
      </c>
      <c r="D763" s="46">
        <v>0</v>
      </c>
      <c r="E763" s="47">
        <v>0</v>
      </c>
      <c r="F763" s="47">
        <v>0</v>
      </c>
      <c r="G763" s="48">
        <v>0</v>
      </c>
      <c r="H763" s="57">
        <f t="shared" si="33"/>
        <v>0</v>
      </c>
      <c r="I763" s="119"/>
      <c r="J763" s="119"/>
      <c r="K763" s="119"/>
      <c r="L763" s="119"/>
      <c r="M763" s="119"/>
      <c r="N763" s="119"/>
      <c r="O763" s="119"/>
      <c r="P763" s="119"/>
      <c r="Q763" s="44" t="s">
        <v>482</v>
      </c>
      <c r="R763" s="19" t="s">
        <v>458</v>
      </c>
      <c r="S763" s="49">
        <v>2030</v>
      </c>
      <c r="T763" s="46">
        <v>0</v>
      </c>
      <c r="U763" s="47">
        <v>0</v>
      </c>
      <c r="V763" s="47">
        <v>0</v>
      </c>
      <c r="W763" s="48">
        <v>0</v>
      </c>
      <c r="X763" s="57">
        <f t="shared" si="32"/>
        <v>0</v>
      </c>
      <c r="Y763" s="119"/>
    </row>
    <row r="764" spans="1:25" ht="30">
      <c r="A764" s="44" t="s">
        <v>482</v>
      </c>
      <c r="B764" s="19" t="s">
        <v>458</v>
      </c>
      <c r="C764" s="49">
        <v>2031</v>
      </c>
      <c r="D764" s="46">
        <v>0</v>
      </c>
      <c r="E764" s="47">
        <v>0</v>
      </c>
      <c r="F764" s="47">
        <v>0</v>
      </c>
      <c r="G764" s="48">
        <v>0</v>
      </c>
      <c r="H764" s="57">
        <f t="shared" si="33"/>
        <v>0</v>
      </c>
      <c r="I764" s="119"/>
      <c r="J764" s="119"/>
      <c r="K764" s="119"/>
      <c r="L764" s="119"/>
      <c r="M764" s="119"/>
      <c r="N764" s="119"/>
      <c r="O764" s="119"/>
      <c r="P764" s="119"/>
      <c r="Q764" s="44" t="s">
        <v>482</v>
      </c>
      <c r="R764" s="19" t="s">
        <v>458</v>
      </c>
      <c r="S764" s="49">
        <v>2031</v>
      </c>
      <c r="T764" s="46">
        <v>0</v>
      </c>
      <c r="U764" s="47">
        <v>0</v>
      </c>
      <c r="V764" s="47">
        <v>0</v>
      </c>
      <c r="W764" s="48">
        <v>0</v>
      </c>
      <c r="X764" s="57">
        <f t="shared" si="32"/>
        <v>0</v>
      </c>
      <c r="Y764" s="119"/>
    </row>
    <row r="765" spans="1:25" ht="30">
      <c r="A765" s="44" t="s">
        <v>482</v>
      </c>
      <c r="B765" s="19" t="s">
        <v>458</v>
      </c>
      <c r="C765" s="49">
        <v>2032</v>
      </c>
      <c r="D765" s="46">
        <v>0</v>
      </c>
      <c r="E765" s="47">
        <v>0</v>
      </c>
      <c r="F765" s="47">
        <v>0</v>
      </c>
      <c r="G765" s="48">
        <v>0</v>
      </c>
      <c r="H765" s="57">
        <f t="shared" si="33"/>
        <v>0</v>
      </c>
      <c r="I765" s="119"/>
      <c r="J765" s="119"/>
      <c r="K765" s="119"/>
      <c r="L765" s="119"/>
      <c r="M765" s="119"/>
      <c r="N765" s="119"/>
      <c r="O765" s="119"/>
      <c r="P765" s="119"/>
      <c r="Q765" s="44" t="s">
        <v>482</v>
      </c>
      <c r="R765" s="19" t="s">
        <v>458</v>
      </c>
      <c r="S765" s="49">
        <v>2032</v>
      </c>
      <c r="T765" s="46">
        <v>0</v>
      </c>
      <c r="U765" s="47">
        <v>0</v>
      </c>
      <c r="V765" s="47">
        <v>0</v>
      </c>
      <c r="W765" s="48">
        <v>0</v>
      </c>
      <c r="X765" s="57">
        <f t="shared" si="32"/>
        <v>0</v>
      </c>
      <c r="Y765" s="119"/>
    </row>
    <row r="766" spans="1:25" ht="30">
      <c r="A766" s="44" t="s">
        <v>482</v>
      </c>
      <c r="B766" s="19" t="s">
        <v>458</v>
      </c>
      <c r="C766" s="49">
        <v>2033</v>
      </c>
      <c r="D766" s="46">
        <v>0</v>
      </c>
      <c r="E766" s="47">
        <v>0</v>
      </c>
      <c r="F766" s="47">
        <v>0</v>
      </c>
      <c r="G766" s="48">
        <v>0</v>
      </c>
      <c r="H766" s="57">
        <f t="shared" si="33"/>
        <v>0</v>
      </c>
      <c r="I766" s="119"/>
      <c r="J766" s="119"/>
      <c r="K766" s="119"/>
      <c r="L766" s="119"/>
      <c r="M766" s="119"/>
      <c r="N766" s="119"/>
      <c r="O766" s="119"/>
      <c r="P766" s="119"/>
      <c r="Q766" s="44" t="s">
        <v>482</v>
      </c>
      <c r="R766" s="19" t="s">
        <v>458</v>
      </c>
      <c r="S766" s="49">
        <v>2033</v>
      </c>
      <c r="T766" s="46">
        <v>0</v>
      </c>
      <c r="U766" s="47">
        <v>0</v>
      </c>
      <c r="V766" s="47">
        <v>0</v>
      </c>
      <c r="W766" s="48">
        <v>0</v>
      </c>
      <c r="X766" s="57">
        <f t="shared" si="32"/>
        <v>0</v>
      </c>
      <c r="Y766" s="119"/>
    </row>
    <row r="767" spans="1:25" ht="30">
      <c r="A767" s="44" t="s">
        <v>482</v>
      </c>
      <c r="B767" s="19" t="s">
        <v>458</v>
      </c>
      <c r="C767" s="49">
        <v>2034</v>
      </c>
      <c r="D767" s="46">
        <v>0</v>
      </c>
      <c r="E767" s="47">
        <v>133.1331626431533</v>
      </c>
      <c r="F767" s="47">
        <v>51.286433954209812</v>
      </c>
      <c r="G767" s="48">
        <v>0</v>
      </c>
      <c r="H767" s="57">
        <f t="shared" si="33"/>
        <v>107.5347194635651</v>
      </c>
      <c r="I767" s="119"/>
      <c r="J767" s="119"/>
      <c r="K767" s="119"/>
      <c r="L767" s="119"/>
      <c r="M767" s="119"/>
      <c r="N767" s="119"/>
      <c r="O767" s="119"/>
      <c r="P767" s="119"/>
      <c r="Q767" s="44" t="s">
        <v>482</v>
      </c>
      <c r="R767" s="19" t="s">
        <v>458</v>
      </c>
      <c r="S767" s="49">
        <v>2034</v>
      </c>
      <c r="T767" s="46">
        <v>0</v>
      </c>
      <c r="U767" s="47">
        <v>133.1331626431533</v>
      </c>
      <c r="V767" s="47">
        <v>51.286433954209812</v>
      </c>
      <c r="W767" s="48">
        <v>0</v>
      </c>
      <c r="X767" s="57">
        <f t="shared" si="32"/>
        <v>184.41959659736312</v>
      </c>
      <c r="Y767" s="119"/>
    </row>
    <row r="768" spans="1:25" ht="30">
      <c r="A768" s="44" t="s">
        <v>482</v>
      </c>
      <c r="B768" s="19" t="s">
        <v>458</v>
      </c>
      <c r="C768" s="49">
        <v>2035</v>
      </c>
      <c r="D768" s="46">
        <v>0</v>
      </c>
      <c r="E768" s="47">
        <v>176.03392389282499</v>
      </c>
      <c r="F768" s="47">
        <v>67.81294781998524</v>
      </c>
      <c r="G768" s="48">
        <v>0</v>
      </c>
      <c r="H768" s="57">
        <f t="shared" si="33"/>
        <v>132.91577627074409</v>
      </c>
      <c r="I768" s="119"/>
      <c r="J768" s="119"/>
      <c r="K768" s="119"/>
      <c r="L768" s="119"/>
      <c r="M768" s="119"/>
      <c r="N768" s="119"/>
      <c r="O768" s="119"/>
      <c r="P768" s="119"/>
      <c r="Q768" s="44" t="s">
        <v>482</v>
      </c>
      <c r="R768" s="19" t="s">
        <v>458</v>
      </c>
      <c r="S768" s="49">
        <v>2035</v>
      </c>
      <c r="T768" s="46">
        <v>0</v>
      </c>
      <c r="U768" s="47">
        <v>311.82974978884135</v>
      </c>
      <c r="V768" s="47">
        <v>120.12511045327925</v>
      </c>
      <c r="W768" s="48">
        <v>0</v>
      </c>
      <c r="X768" s="57">
        <f t="shared" si="32"/>
        <v>431.95486024212062</v>
      </c>
      <c r="Y768" s="119">
        <f>NPV($Y$10,X759:X768)/((1-(1+$Y$10)^-10)/$Y$10)</f>
        <v>45.596460964546722</v>
      </c>
    </row>
    <row r="769" spans="1:25">
      <c r="A769" s="44"/>
      <c r="B769" s="19" t="s">
        <v>401</v>
      </c>
      <c r="C769" s="49"/>
      <c r="D769" s="46" t="s">
        <v>401</v>
      </c>
      <c r="E769" s="47" t="s">
        <v>401</v>
      </c>
      <c r="F769" s="47" t="s">
        <v>401</v>
      </c>
      <c r="G769" s="48" t="s">
        <v>401</v>
      </c>
      <c r="H769" s="57">
        <f t="shared" si="33"/>
        <v>0</v>
      </c>
      <c r="I769" s="119"/>
      <c r="J769" s="119"/>
      <c r="K769" s="119"/>
      <c r="L769" s="119"/>
      <c r="M769" s="119"/>
      <c r="N769" s="119"/>
      <c r="O769" s="119"/>
      <c r="P769" s="119"/>
      <c r="Q769" s="44"/>
      <c r="R769" s="19" t="s">
        <v>401</v>
      </c>
      <c r="S769" s="49"/>
      <c r="T769" s="46"/>
      <c r="U769" s="47"/>
      <c r="V769" s="47"/>
      <c r="W769" s="48"/>
      <c r="X769" s="57">
        <f t="shared" si="32"/>
        <v>0</v>
      </c>
      <c r="Y769" s="119"/>
    </row>
    <row r="770" spans="1:25" ht="30">
      <c r="A770" s="44" t="s">
        <v>482</v>
      </c>
      <c r="B770" s="19" t="s">
        <v>459</v>
      </c>
      <c r="C770" s="49">
        <v>2026</v>
      </c>
      <c r="D770" s="46">
        <v>0</v>
      </c>
      <c r="E770" s="47">
        <v>0</v>
      </c>
      <c r="F770" s="47">
        <v>0</v>
      </c>
      <c r="G770" s="48">
        <v>0</v>
      </c>
      <c r="H770" s="57">
        <f t="shared" si="33"/>
        <v>0</v>
      </c>
      <c r="I770" s="119"/>
      <c r="J770" s="119"/>
      <c r="K770" s="119"/>
      <c r="L770" s="119"/>
      <c r="M770" s="119"/>
      <c r="N770" s="119"/>
      <c r="O770" s="119"/>
      <c r="P770" s="119"/>
      <c r="Q770" s="44" t="s">
        <v>482</v>
      </c>
      <c r="R770" s="19" t="s">
        <v>459</v>
      </c>
      <c r="S770" s="49">
        <v>2026</v>
      </c>
      <c r="T770" s="46">
        <v>0</v>
      </c>
      <c r="U770" s="47">
        <v>0</v>
      </c>
      <c r="V770" s="47">
        <v>0</v>
      </c>
      <c r="W770" s="48">
        <v>0</v>
      </c>
      <c r="X770" s="57">
        <f t="shared" si="32"/>
        <v>0</v>
      </c>
      <c r="Y770" s="119"/>
    </row>
    <row r="771" spans="1:25" ht="30">
      <c r="A771" s="44" t="s">
        <v>482</v>
      </c>
      <c r="B771" s="19" t="s">
        <v>459</v>
      </c>
      <c r="C771" s="49">
        <v>2027</v>
      </c>
      <c r="D771" s="46">
        <v>0</v>
      </c>
      <c r="E771" s="47">
        <v>0</v>
      </c>
      <c r="F771" s="47">
        <v>0</v>
      </c>
      <c r="G771" s="48">
        <v>0</v>
      </c>
      <c r="H771" s="57">
        <f t="shared" si="33"/>
        <v>0</v>
      </c>
      <c r="I771" s="119"/>
      <c r="J771" s="119"/>
      <c r="K771" s="119"/>
      <c r="L771" s="119"/>
      <c r="M771" s="119"/>
      <c r="N771" s="119"/>
      <c r="O771" s="119"/>
      <c r="P771" s="119"/>
      <c r="Q771" s="44" t="s">
        <v>482</v>
      </c>
      <c r="R771" s="19" t="s">
        <v>459</v>
      </c>
      <c r="S771" s="49">
        <v>2027</v>
      </c>
      <c r="T771" s="46">
        <v>0</v>
      </c>
      <c r="U771" s="47">
        <v>0</v>
      </c>
      <c r="V771" s="47">
        <v>0</v>
      </c>
      <c r="W771" s="48">
        <v>0</v>
      </c>
      <c r="X771" s="57">
        <f t="shared" si="32"/>
        <v>0</v>
      </c>
      <c r="Y771" s="119"/>
    </row>
    <row r="772" spans="1:25" ht="30">
      <c r="A772" s="44" t="s">
        <v>482</v>
      </c>
      <c r="B772" s="19" t="s">
        <v>459</v>
      </c>
      <c r="C772" s="49">
        <v>2028</v>
      </c>
      <c r="D772" s="46">
        <v>0</v>
      </c>
      <c r="E772" s="47">
        <v>0</v>
      </c>
      <c r="F772" s="47">
        <v>0</v>
      </c>
      <c r="G772" s="48">
        <v>0</v>
      </c>
      <c r="H772" s="57">
        <f t="shared" si="33"/>
        <v>0</v>
      </c>
      <c r="I772" s="119"/>
      <c r="J772" s="119"/>
      <c r="K772" s="119"/>
      <c r="L772" s="119"/>
      <c r="M772" s="119"/>
      <c r="N772" s="119"/>
      <c r="O772" s="119"/>
      <c r="P772" s="119"/>
      <c r="Q772" s="44" t="s">
        <v>482</v>
      </c>
      <c r="R772" s="19" t="s">
        <v>459</v>
      </c>
      <c r="S772" s="49">
        <v>2028</v>
      </c>
      <c r="T772" s="46">
        <v>0</v>
      </c>
      <c r="U772" s="47">
        <v>0</v>
      </c>
      <c r="V772" s="47">
        <v>0</v>
      </c>
      <c r="W772" s="48">
        <v>0</v>
      </c>
      <c r="X772" s="57">
        <f t="shared" si="32"/>
        <v>0</v>
      </c>
      <c r="Y772" s="119"/>
    </row>
    <row r="773" spans="1:25" ht="30">
      <c r="A773" s="44" t="s">
        <v>482</v>
      </c>
      <c r="B773" s="19" t="s">
        <v>459</v>
      </c>
      <c r="C773" s="49">
        <v>2029</v>
      </c>
      <c r="D773" s="46">
        <v>0</v>
      </c>
      <c r="E773" s="47">
        <v>0</v>
      </c>
      <c r="F773" s="47">
        <v>0</v>
      </c>
      <c r="G773" s="48">
        <v>0</v>
      </c>
      <c r="H773" s="57">
        <f t="shared" si="33"/>
        <v>0</v>
      </c>
      <c r="I773" s="119"/>
      <c r="J773" s="119"/>
      <c r="K773" s="119"/>
      <c r="L773" s="119"/>
      <c r="M773" s="119"/>
      <c r="N773" s="119"/>
      <c r="O773" s="119"/>
      <c r="P773" s="119"/>
      <c r="Q773" s="44" t="s">
        <v>482</v>
      </c>
      <c r="R773" s="19" t="s">
        <v>459</v>
      </c>
      <c r="S773" s="49">
        <v>2029</v>
      </c>
      <c r="T773" s="46">
        <v>0</v>
      </c>
      <c r="U773" s="47">
        <v>0</v>
      </c>
      <c r="V773" s="47">
        <v>0</v>
      </c>
      <c r="W773" s="48">
        <v>0</v>
      </c>
      <c r="X773" s="57">
        <f t="shared" si="32"/>
        <v>0</v>
      </c>
      <c r="Y773" s="119"/>
    </row>
    <row r="774" spans="1:25" ht="30">
      <c r="A774" s="44" t="s">
        <v>482</v>
      </c>
      <c r="B774" s="19" t="s">
        <v>459</v>
      </c>
      <c r="C774" s="49">
        <v>2030</v>
      </c>
      <c r="D774" s="46">
        <v>0</v>
      </c>
      <c r="E774" s="47">
        <v>0</v>
      </c>
      <c r="F774" s="47">
        <v>0</v>
      </c>
      <c r="G774" s="48">
        <v>0</v>
      </c>
      <c r="H774" s="57">
        <f t="shared" si="33"/>
        <v>0</v>
      </c>
      <c r="I774" s="119"/>
      <c r="J774" s="119"/>
      <c r="K774" s="119"/>
      <c r="L774" s="119"/>
      <c r="M774" s="119"/>
      <c r="N774" s="119"/>
      <c r="O774" s="119"/>
      <c r="P774" s="119"/>
      <c r="Q774" s="44" t="s">
        <v>482</v>
      </c>
      <c r="R774" s="19" t="s">
        <v>459</v>
      </c>
      <c r="S774" s="49">
        <v>2030</v>
      </c>
      <c r="T774" s="46">
        <v>0</v>
      </c>
      <c r="U774" s="47">
        <v>0</v>
      </c>
      <c r="V774" s="47">
        <v>0</v>
      </c>
      <c r="W774" s="48">
        <v>0</v>
      </c>
      <c r="X774" s="57">
        <f t="shared" si="32"/>
        <v>0</v>
      </c>
      <c r="Y774" s="119"/>
    </row>
    <row r="775" spans="1:25" ht="30">
      <c r="A775" s="44" t="s">
        <v>482</v>
      </c>
      <c r="B775" s="19" t="s">
        <v>459</v>
      </c>
      <c r="C775" s="49">
        <v>2031</v>
      </c>
      <c r="D775" s="46">
        <v>0</v>
      </c>
      <c r="E775" s="47">
        <v>0</v>
      </c>
      <c r="F775" s="47">
        <v>0</v>
      </c>
      <c r="G775" s="48">
        <v>0</v>
      </c>
      <c r="H775" s="57">
        <f t="shared" si="33"/>
        <v>0</v>
      </c>
      <c r="I775" s="119"/>
      <c r="J775" s="119"/>
      <c r="K775" s="119"/>
      <c r="L775" s="119"/>
      <c r="M775" s="119"/>
      <c r="N775" s="119"/>
      <c r="O775" s="119"/>
      <c r="P775" s="119"/>
      <c r="Q775" s="44" t="s">
        <v>482</v>
      </c>
      <c r="R775" s="19" t="s">
        <v>459</v>
      </c>
      <c r="S775" s="49">
        <v>2031</v>
      </c>
      <c r="T775" s="46">
        <v>0</v>
      </c>
      <c r="U775" s="47">
        <v>0</v>
      </c>
      <c r="V775" s="47">
        <v>0</v>
      </c>
      <c r="W775" s="48">
        <v>0</v>
      </c>
      <c r="X775" s="57">
        <f t="shared" si="32"/>
        <v>0</v>
      </c>
      <c r="Y775" s="119"/>
    </row>
    <row r="776" spans="1:25" ht="30">
      <c r="A776" s="44" t="s">
        <v>482</v>
      </c>
      <c r="B776" s="19" t="s">
        <v>459</v>
      </c>
      <c r="C776" s="49">
        <v>2032</v>
      </c>
      <c r="D776" s="46">
        <v>0</v>
      </c>
      <c r="E776" s="47">
        <v>0</v>
      </c>
      <c r="F776" s="47">
        <v>0</v>
      </c>
      <c r="G776" s="48">
        <v>0</v>
      </c>
      <c r="H776" s="57">
        <f t="shared" si="33"/>
        <v>0</v>
      </c>
      <c r="I776" s="119"/>
      <c r="J776" s="119"/>
      <c r="K776" s="119"/>
      <c r="L776" s="119"/>
      <c r="M776" s="119"/>
      <c r="N776" s="119"/>
      <c r="O776" s="119"/>
      <c r="P776" s="119"/>
      <c r="Q776" s="44" t="s">
        <v>482</v>
      </c>
      <c r="R776" s="19" t="s">
        <v>459</v>
      </c>
      <c r="S776" s="49">
        <v>2032</v>
      </c>
      <c r="T776" s="46">
        <v>0</v>
      </c>
      <c r="U776" s="47">
        <v>0</v>
      </c>
      <c r="V776" s="47">
        <v>0</v>
      </c>
      <c r="W776" s="48">
        <v>0</v>
      </c>
      <c r="X776" s="57">
        <f t="shared" si="32"/>
        <v>0</v>
      </c>
      <c r="Y776" s="119"/>
    </row>
    <row r="777" spans="1:25" ht="30">
      <c r="A777" s="44" t="s">
        <v>482</v>
      </c>
      <c r="B777" s="19" t="s">
        <v>459</v>
      </c>
      <c r="C777" s="49">
        <v>2033</v>
      </c>
      <c r="D777" s="46">
        <v>0</v>
      </c>
      <c r="E777" s="47">
        <v>0</v>
      </c>
      <c r="F777" s="47">
        <v>0</v>
      </c>
      <c r="G777" s="48">
        <v>0</v>
      </c>
      <c r="H777" s="57">
        <f t="shared" si="33"/>
        <v>0</v>
      </c>
      <c r="I777" s="119"/>
      <c r="J777" s="119"/>
      <c r="K777" s="119"/>
      <c r="L777" s="119"/>
      <c r="M777" s="119"/>
      <c r="N777" s="119"/>
      <c r="O777" s="119"/>
      <c r="P777" s="119"/>
      <c r="Q777" s="44" t="s">
        <v>482</v>
      </c>
      <c r="R777" s="19" t="s">
        <v>459</v>
      </c>
      <c r="S777" s="49">
        <v>2033</v>
      </c>
      <c r="T777" s="46">
        <v>0</v>
      </c>
      <c r="U777" s="47">
        <v>0</v>
      </c>
      <c r="V777" s="47">
        <v>0</v>
      </c>
      <c r="W777" s="48">
        <v>0</v>
      </c>
      <c r="X777" s="57">
        <f t="shared" si="32"/>
        <v>0</v>
      </c>
      <c r="Y777" s="119"/>
    </row>
    <row r="778" spans="1:25" ht="30">
      <c r="A778" s="44" t="s">
        <v>482</v>
      </c>
      <c r="B778" s="19" t="s">
        <v>459</v>
      </c>
      <c r="C778" s="49">
        <v>2034</v>
      </c>
      <c r="D778" s="46">
        <v>139.87209260239041</v>
      </c>
      <c r="E778" s="47">
        <v>0</v>
      </c>
      <c r="F778" s="47">
        <v>0</v>
      </c>
      <c r="G778" s="48">
        <v>0</v>
      </c>
      <c r="H778" s="57">
        <f t="shared" si="33"/>
        <v>81.55915377918636</v>
      </c>
      <c r="I778" s="119"/>
      <c r="J778" s="119"/>
      <c r="K778" s="119"/>
      <c r="L778" s="119"/>
      <c r="M778" s="119"/>
      <c r="N778" s="119"/>
      <c r="O778" s="119"/>
      <c r="P778" s="119"/>
      <c r="Q778" s="44" t="s">
        <v>482</v>
      </c>
      <c r="R778" s="19" t="s">
        <v>459</v>
      </c>
      <c r="S778" s="49">
        <v>2034</v>
      </c>
      <c r="T778" s="46">
        <v>139.87209260239041</v>
      </c>
      <c r="U778" s="47">
        <v>0</v>
      </c>
      <c r="V778" s="47">
        <v>0</v>
      </c>
      <c r="W778" s="48">
        <v>0</v>
      </c>
      <c r="X778" s="57">
        <f t="shared" si="32"/>
        <v>139.87209260239041</v>
      </c>
      <c r="Y778" s="119"/>
    </row>
    <row r="779" spans="1:25" ht="30">
      <c r="A779" s="44" t="s">
        <v>482</v>
      </c>
      <c r="B779" s="19" t="s">
        <v>459</v>
      </c>
      <c r="C779" s="49">
        <v>2035</v>
      </c>
      <c r="D779" s="46">
        <v>184.94440314541424</v>
      </c>
      <c r="E779" s="47">
        <v>0</v>
      </c>
      <c r="F779" s="47">
        <v>0</v>
      </c>
      <c r="G779" s="48">
        <v>0</v>
      </c>
      <c r="H779" s="57">
        <f t="shared" si="33"/>
        <v>100.80928550911891</v>
      </c>
      <c r="I779" s="119"/>
      <c r="J779" s="119"/>
      <c r="K779" s="119"/>
      <c r="L779" s="119"/>
      <c r="M779" s="119"/>
      <c r="N779" s="119"/>
      <c r="O779" s="119"/>
      <c r="P779" s="119"/>
      <c r="Q779" s="44" t="s">
        <v>482</v>
      </c>
      <c r="R779" s="19" t="s">
        <v>459</v>
      </c>
      <c r="S779" s="49">
        <v>2035</v>
      </c>
      <c r="T779" s="46">
        <v>327.61393759985242</v>
      </c>
      <c r="U779" s="47">
        <v>0</v>
      </c>
      <c r="V779" s="47">
        <v>0</v>
      </c>
      <c r="W779" s="48">
        <v>0</v>
      </c>
      <c r="X779" s="57">
        <f t="shared" si="32"/>
        <v>327.61393759985242</v>
      </c>
      <c r="Y779" s="119">
        <f>NPV($Y$10,X770:X779)/((1-(1+$Y$10)^-10)/$Y$10)</f>
        <v>34.582400829660784</v>
      </c>
    </row>
    <row r="780" spans="1:25">
      <c r="A780" s="44"/>
      <c r="B780" s="19" t="s">
        <v>401</v>
      </c>
      <c r="C780" s="49"/>
      <c r="D780" s="42" t="s">
        <v>401</v>
      </c>
      <c r="E780" s="19" t="s">
        <v>401</v>
      </c>
      <c r="F780" s="19" t="s">
        <v>401</v>
      </c>
      <c r="G780" s="43" t="s">
        <v>401</v>
      </c>
      <c r="H780" s="57">
        <f t="shared" si="33"/>
        <v>0</v>
      </c>
      <c r="I780" s="119"/>
      <c r="J780" s="119"/>
      <c r="K780" s="119"/>
      <c r="L780" s="119"/>
      <c r="M780" s="119"/>
      <c r="N780" s="119"/>
      <c r="O780" s="119"/>
      <c r="P780" s="119"/>
      <c r="Q780" s="44"/>
      <c r="R780" s="19" t="s">
        <v>401</v>
      </c>
      <c r="S780" s="49"/>
      <c r="T780" s="42"/>
      <c r="U780" s="19"/>
      <c r="V780" s="19"/>
      <c r="W780" s="43"/>
      <c r="X780" s="57">
        <f t="shared" ref="X780:X843" si="34">SUM(T780:W780)</f>
        <v>0</v>
      </c>
      <c r="Y780" s="119"/>
    </row>
    <row r="781" spans="1:25" ht="30">
      <c r="A781" s="44" t="s">
        <v>482</v>
      </c>
      <c r="B781" s="19" t="s">
        <v>460</v>
      </c>
      <c r="C781" s="49">
        <v>2026</v>
      </c>
      <c r="D781" s="46">
        <v>0</v>
      </c>
      <c r="E781" s="47">
        <v>0</v>
      </c>
      <c r="F781" s="47">
        <v>0</v>
      </c>
      <c r="G781" s="48">
        <v>0</v>
      </c>
      <c r="H781" s="57">
        <f t="shared" ref="H781:H844" si="35">SUM(D781:G781)/((1+$L$7)^(C781-C$11))</f>
        <v>0</v>
      </c>
      <c r="I781" s="119"/>
      <c r="J781" s="119"/>
      <c r="K781" s="119"/>
      <c r="L781" s="119"/>
      <c r="M781" s="119"/>
      <c r="N781" s="119"/>
      <c r="O781" s="119"/>
      <c r="P781" s="119"/>
      <c r="Q781" s="44" t="s">
        <v>482</v>
      </c>
      <c r="R781" s="19" t="s">
        <v>460</v>
      </c>
      <c r="S781" s="49">
        <v>2026</v>
      </c>
      <c r="T781" s="46">
        <v>0</v>
      </c>
      <c r="U781" s="47">
        <v>0</v>
      </c>
      <c r="V781" s="47">
        <v>0</v>
      </c>
      <c r="W781" s="48">
        <v>0</v>
      </c>
      <c r="X781" s="57">
        <f t="shared" si="34"/>
        <v>0</v>
      </c>
      <c r="Y781" s="119"/>
    </row>
    <row r="782" spans="1:25" ht="30">
      <c r="A782" s="44" t="s">
        <v>482</v>
      </c>
      <c r="B782" s="19" t="s">
        <v>460</v>
      </c>
      <c r="C782" s="49">
        <v>2027</v>
      </c>
      <c r="D782" s="46">
        <v>0</v>
      </c>
      <c r="E782" s="47">
        <v>0</v>
      </c>
      <c r="F782" s="47">
        <v>0</v>
      </c>
      <c r="G782" s="48">
        <v>0</v>
      </c>
      <c r="H782" s="57">
        <f t="shared" si="35"/>
        <v>0</v>
      </c>
      <c r="I782" s="119"/>
      <c r="J782" s="119"/>
      <c r="K782" s="119"/>
      <c r="L782" s="119"/>
      <c r="M782" s="119"/>
      <c r="N782" s="119"/>
      <c r="O782" s="119"/>
      <c r="P782" s="119"/>
      <c r="Q782" s="44" t="s">
        <v>482</v>
      </c>
      <c r="R782" s="19" t="s">
        <v>460</v>
      </c>
      <c r="S782" s="49">
        <v>2027</v>
      </c>
      <c r="T782" s="46">
        <v>0</v>
      </c>
      <c r="U782" s="47">
        <v>0</v>
      </c>
      <c r="V782" s="47">
        <v>0</v>
      </c>
      <c r="W782" s="48">
        <v>0</v>
      </c>
      <c r="X782" s="57">
        <f t="shared" si="34"/>
        <v>0</v>
      </c>
      <c r="Y782" s="119"/>
    </row>
    <row r="783" spans="1:25" ht="30">
      <c r="A783" s="44" t="s">
        <v>482</v>
      </c>
      <c r="B783" s="19" t="s">
        <v>460</v>
      </c>
      <c r="C783" s="49">
        <v>2028</v>
      </c>
      <c r="D783" s="46">
        <v>0</v>
      </c>
      <c r="E783" s="47">
        <v>0</v>
      </c>
      <c r="F783" s="47">
        <v>0</v>
      </c>
      <c r="G783" s="48">
        <v>0</v>
      </c>
      <c r="H783" s="57">
        <f t="shared" si="35"/>
        <v>0</v>
      </c>
      <c r="I783" s="119"/>
      <c r="J783" s="119"/>
      <c r="K783" s="119"/>
      <c r="L783" s="119"/>
      <c r="M783" s="119"/>
      <c r="N783" s="119"/>
      <c r="O783" s="119"/>
      <c r="P783" s="119"/>
      <c r="Q783" s="44" t="s">
        <v>482</v>
      </c>
      <c r="R783" s="19" t="s">
        <v>460</v>
      </c>
      <c r="S783" s="49">
        <v>2028</v>
      </c>
      <c r="T783" s="46">
        <v>0</v>
      </c>
      <c r="U783" s="47">
        <v>0</v>
      </c>
      <c r="V783" s="47">
        <v>0</v>
      </c>
      <c r="W783" s="48">
        <v>0</v>
      </c>
      <c r="X783" s="57">
        <f t="shared" si="34"/>
        <v>0</v>
      </c>
      <c r="Y783" s="119"/>
    </row>
    <row r="784" spans="1:25" ht="30">
      <c r="A784" s="44" t="s">
        <v>482</v>
      </c>
      <c r="B784" s="19" t="s">
        <v>460</v>
      </c>
      <c r="C784" s="49">
        <v>2029</v>
      </c>
      <c r="D784" s="46">
        <v>0</v>
      </c>
      <c r="E784" s="47">
        <v>0</v>
      </c>
      <c r="F784" s="47">
        <v>0</v>
      </c>
      <c r="G784" s="48">
        <v>0</v>
      </c>
      <c r="H784" s="57">
        <f t="shared" si="35"/>
        <v>0</v>
      </c>
      <c r="I784" s="119"/>
      <c r="J784" s="119"/>
      <c r="K784" s="119"/>
      <c r="L784" s="119"/>
      <c r="M784" s="119"/>
      <c r="N784" s="119"/>
      <c r="O784" s="119"/>
      <c r="P784" s="119"/>
      <c r="Q784" s="44" t="s">
        <v>482</v>
      </c>
      <c r="R784" s="19" t="s">
        <v>460</v>
      </c>
      <c r="S784" s="49">
        <v>2029</v>
      </c>
      <c r="T784" s="46">
        <v>0</v>
      </c>
      <c r="U784" s="47">
        <v>0</v>
      </c>
      <c r="V784" s="47">
        <v>0</v>
      </c>
      <c r="W784" s="48">
        <v>0</v>
      </c>
      <c r="X784" s="57">
        <f t="shared" si="34"/>
        <v>0</v>
      </c>
      <c r="Y784" s="119"/>
    </row>
    <row r="785" spans="1:25" ht="30">
      <c r="A785" s="44" t="s">
        <v>482</v>
      </c>
      <c r="B785" s="19" t="s">
        <v>460</v>
      </c>
      <c r="C785" s="49">
        <v>2030</v>
      </c>
      <c r="D785" s="46">
        <v>0</v>
      </c>
      <c r="E785" s="47">
        <v>0</v>
      </c>
      <c r="F785" s="47">
        <v>0</v>
      </c>
      <c r="G785" s="48">
        <v>0</v>
      </c>
      <c r="H785" s="57">
        <f t="shared" si="35"/>
        <v>0</v>
      </c>
      <c r="I785" s="119"/>
      <c r="J785" s="119"/>
      <c r="K785" s="119"/>
      <c r="L785" s="119"/>
      <c r="M785" s="119"/>
      <c r="N785" s="119"/>
      <c r="O785" s="119"/>
      <c r="P785" s="119"/>
      <c r="Q785" s="44" t="s">
        <v>482</v>
      </c>
      <c r="R785" s="19" t="s">
        <v>460</v>
      </c>
      <c r="S785" s="49">
        <v>2030</v>
      </c>
      <c r="T785" s="46">
        <v>0</v>
      </c>
      <c r="U785" s="47">
        <v>0</v>
      </c>
      <c r="V785" s="47">
        <v>0</v>
      </c>
      <c r="W785" s="48">
        <v>0</v>
      </c>
      <c r="X785" s="57">
        <f t="shared" si="34"/>
        <v>0</v>
      </c>
      <c r="Y785" s="119"/>
    </row>
    <row r="786" spans="1:25" ht="30">
      <c r="A786" s="44" t="s">
        <v>482</v>
      </c>
      <c r="B786" s="19" t="s">
        <v>460</v>
      </c>
      <c r="C786" s="49">
        <v>2031</v>
      </c>
      <c r="D786" s="46">
        <v>0</v>
      </c>
      <c r="E786" s="47">
        <v>0</v>
      </c>
      <c r="F786" s="47">
        <v>0</v>
      </c>
      <c r="G786" s="48">
        <v>0</v>
      </c>
      <c r="H786" s="57">
        <f t="shared" si="35"/>
        <v>0</v>
      </c>
      <c r="I786" s="119"/>
      <c r="J786" s="119"/>
      <c r="K786" s="119"/>
      <c r="L786" s="119"/>
      <c r="M786" s="119"/>
      <c r="N786" s="119"/>
      <c r="O786" s="119"/>
      <c r="P786" s="119"/>
      <c r="Q786" s="44" t="s">
        <v>482</v>
      </c>
      <c r="R786" s="19" t="s">
        <v>460</v>
      </c>
      <c r="S786" s="49">
        <v>2031</v>
      </c>
      <c r="T786" s="46">
        <v>0</v>
      </c>
      <c r="U786" s="47">
        <v>0</v>
      </c>
      <c r="V786" s="47">
        <v>0</v>
      </c>
      <c r="W786" s="48">
        <v>0</v>
      </c>
      <c r="X786" s="57">
        <f t="shared" si="34"/>
        <v>0</v>
      </c>
      <c r="Y786" s="119"/>
    </row>
    <row r="787" spans="1:25" ht="30">
      <c r="A787" s="44" t="s">
        <v>482</v>
      </c>
      <c r="B787" s="19" t="s">
        <v>460</v>
      </c>
      <c r="C787" s="49">
        <v>2032</v>
      </c>
      <c r="D787" s="46">
        <v>0</v>
      </c>
      <c r="E787" s="47">
        <v>0</v>
      </c>
      <c r="F787" s="47">
        <v>0</v>
      </c>
      <c r="G787" s="48">
        <v>0</v>
      </c>
      <c r="H787" s="57">
        <f t="shared" si="35"/>
        <v>0</v>
      </c>
      <c r="I787" s="119"/>
      <c r="J787" s="119"/>
      <c r="K787" s="119"/>
      <c r="L787" s="119"/>
      <c r="M787" s="119"/>
      <c r="N787" s="119"/>
      <c r="O787" s="119"/>
      <c r="P787" s="119"/>
      <c r="Q787" s="44" t="s">
        <v>482</v>
      </c>
      <c r="R787" s="19" t="s">
        <v>460</v>
      </c>
      <c r="S787" s="49">
        <v>2032</v>
      </c>
      <c r="T787" s="46">
        <v>0</v>
      </c>
      <c r="U787" s="47">
        <v>0</v>
      </c>
      <c r="V787" s="47">
        <v>0</v>
      </c>
      <c r="W787" s="48">
        <v>0</v>
      </c>
      <c r="X787" s="57">
        <f t="shared" si="34"/>
        <v>0</v>
      </c>
      <c r="Y787" s="119"/>
    </row>
    <row r="788" spans="1:25" ht="30">
      <c r="A788" s="44" t="s">
        <v>482</v>
      </c>
      <c r="B788" s="19" t="s">
        <v>460</v>
      </c>
      <c r="C788" s="49">
        <v>2033</v>
      </c>
      <c r="D788" s="46">
        <v>0</v>
      </c>
      <c r="E788" s="47">
        <v>0</v>
      </c>
      <c r="F788" s="47">
        <v>0</v>
      </c>
      <c r="G788" s="48">
        <v>0</v>
      </c>
      <c r="H788" s="57">
        <f t="shared" si="35"/>
        <v>0</v>
      </c>
      <c r="I788" s="119"/>
      <c r="J788" s="119"/>
      <c r="K788" s="119"/>
      <c r="L788" s="119"/>
      <c r="M788" s="119"/>
      <c r="N788" s="119"/>
      <c r="O788" s="119"/>
      <c r="P788" s="119"/>
      <c r="Q788" s="44" t="s">
        <v>482</v>
      </c>
      <c r="R788" s="19" t="s">
        <v>460</v>
      </c>
      <c r="S788" s="49">
        <v>2033</v>
      </c>
      <c r="T788" s="46">
        <v>0</v>
      </c>
      <c r="U788" s="47">
        <v>0</v>
      </c>
      <c r="V788" s="47">
        <v>0</v>
      </c>
      <c r="W788" s="48">
        <v>0</v>
      </c>
      <c r="X788" s="57">
        <f t="shared" si="34"/>
        <v>0</v>
      </c>
      <c r="Y788" s="119"/>
    </row>
    <row r="789" spans="1:25" ht="30">
      <c r="A789" s="44" t="s">
        <v>482</v>
      </c>
      <c r="B789" s="19" t="s">
        <v>460</v>
      </c>
      <c r="C789" s="49">
        <v>2034</v>
      </c>
      <c r="D789" s="46">
        <v>0</v>
      </c>
      <c r="E789" s="47">
        <v>122.62264980290435</v>
      </c>
      <c r="F789" s="47">
        <v>0</v>
      </c>
      <c r="G789" s="48">
        <v>0</v>
      </c>
      <c r="H789" s="57">
        <f t="shared" si="35"/>
        <v>71.501036168207534</v>
      </c>
      <c r="I789" s="119"/>
      <c r="J789" s="119"/>
      <c r="K789" s="119"/>
      <c r="L789" s="119"/>
      <c r="M789" s="119"/>
      <c r="N789" s="119"/>
      <c r="O789" s="119"/>
      <c r="P789" s="119"/>
      <c r="Q789" s="44" t="s">
        <v>482</v>
      </c>
      <c r="R789" s="19" t="s">
        <v>460</v>
      </c>
      <c r="S789" s="49">
        <v>2034</v>
      </c>
      <c r="T789" s="46">
        <v>0</v>
      </c>
      <c r="U789" s="47">
        <v>122.62264980290435</v>
      </c>
      <c r="V789" s="47">
        <v>0</v>
      </c>
      <c r="W789" s="48">
        <v>0</v>
      </c>
      <c r="X789" s="57">
        <f t="shared" si="34"/>
        <v>122.62264980290435</v>
      </c>
      <c r="Y789" s="119"/>
    </row>
    <row r="790" spans="1:25" ht="30">
      <c r="A790" s="44" t="s">
        <v>482</v>
      </c>
      <c r="B790" s="19" t="s">
        <v>460</v>
      </c>
      <c r="C790" s="49">
        <v>2035</v>
      </c>
      <c r="D790" s="46">
        <v>0</v>
      </c>
      <c r="E790" s="47">
        <v>162.13650884865461</v>
      </c>
      <c r="F790" s="47">
        <v>0</v>
      </c>
      <c r="G790" s="48">
        <v>0</v>
      </c>
      <c r="H790" s="57">
        <f t="shared" si="35"/>
        <v>88.37718435374606</v>
      </c>
      <c r="I790" s="119"/>
      <c r="J790" s="119"/>
      <c r="K790" s="119"/>
      <c r="L790" s="119"/>
      <c r="M790" s="119"/>
      <c r="N790" s="119"/>
      <c r="O790" s="119"/>
      <c r="P790" s="119"/>
      <c r="Q790" s="44" t="s">
        <v>482</v>
      </c>
      <c r="R790" s="19" t="s">
        <v>460</v>
      </c>
      <c r="S790" s="49">
        <v>2035</v>
      </c>
      <c r="T790" s="46">
        <v>0</v>
      </c>
      <c r="U790" s="47">
        <v>287.21161164761702</v>
      </c>
      <c r="V790" s="47">
        <v>0</v>
      </c>
      <c r="W790" s="48">
        <v>0</v>
      </c>
      <c r="X790" s="57">
        <f t="shared" si="34"/>
        <v>287.21161164761702</v>
      </c>
      <c r="Y790" s="119">
        <f>NPV($Y$10,X781:X790)/((1-(1+$Y$10)^-10)/$Y$10)</f>
        <v>30.317596222240926</v>
      </c>
    </row>
    <row r="791" spans="1:25">
      <c r="A791" s="44"/>
      <c r="B791" s="19" t="s">
        <v>401</v>
      </c>
      <c r="C791" s="49"/>
      <c r="D791" s="46" t="s">
        <v>401</v>
      </c>
      <c r="E791" s="47" t="s">
        <v>401</v>
      </c>
      <c r="F791" s="47" t="s">
        <v>401</v>
      </c>
      <c r="G791" s="48" t="s">
        <v>401</v>
      </c>
      <c r="H791" s="57">
        <f t="shared" si="35"/>
        <v>0</v>
      </c>
      <c r="I791" s="119"/>
      <c r="J791" s="119"/>
      <c r="K791" s="119"/>
      <c r="L791" s="119"/>
      <c r="M791" s="119"/>
      <c r="N791" s="119"/>
      <c r="O791" s="119"/>
      <c r="P791" s="119"/>
      <c r="Q791" s="44"/>
      <c r="R791" s="19" t="s">
        <v>401</v>
      </c>
      <c r="S791" s="49"/>
      <c r="T791" s="46"/>
      <c r="U791" s="47"/>
      <c r="V791" s="47"/>
      <c r="W791" s="48"/>
      <c r="X791" s="57">
        <f t="shared" si="34"/>
        <v>0</v>
      </c>
      <c r="Y791" s="119"/>
    </row>
    <row r="792" spans="1:25">
      <c r="A792" s="44" t="s">
        <v>483</v>
      </c>
      <c r="B792" s="19" t="s">
        <v>461</v>
      </c>
      <c r="C792" s="49">
        <v>2026</v>
      </c>
      <c r="D792" s="46">
        <v>0</v>
      </c>
      <c r="E792" s="47">
        <v>0</v>
      </c>
      <c r="F792" s="47">
        <v>0</v>
      </c>
      <c r="G792" s="48">
        <v>0</v>
      </c>
      <c r="H792" s="57">
        <f t="shared" si="35"/>
        <v>0</v>
      </c>
      <c r="I792" s="119"/>
      <c r="J792" s="119"/>
      <c r="K792" s="119"/>
      <c r="L792" s="119"/>
      <c r="M792" s="119"/>
      <c r="N792" s="119"/>
      <c r="O792" s="119"/>
      <c r="P792" s="119"/>
      <c r="Q792" s="44" t="s">
        <v>483</v>
      </c>
      <c r="R792" s="19" t="s">
        <v>461</v>
      </c>
      <c r="S792" s="49">
        <v>2026</v>
      </c>
      <c r="T792" s="46">
        <v>0</v>
      </c>
      <c r="U792" s="47">
        <v>0</v>
      </c>
      <c r="V792" s="47">
        <v>0</v>
      </c>
      <c r="W792" s="48">
        <v>0</v>
      </c>
      <c r="X792" s="57">
        <f t="shared" si="34"/>
        <v>0</v>
      </c>
      <c r="Y792" s="119"/>
    </row>
    <row r="793" spans="1:25">
      <c r="A793" s="44" t="s">
        <v>483</v>
      </c>
      <c r="B793" s="19" t="s">
        <v>461</v>
      </c>
      <c r="C793" s="49">
        <v>2027</v>
      </c>
      <c r="D793" s="46">
        <v>0</v>
      </c>
      <c r="E793" s="47">
        <v>0</v>
      </c>
      <c r="F793" s="47">
        <v>0</v>
      </c>
      <c r="G793" s="48">
        <v>0</v>
      </c>
      <c r="H793" s="57">
        <f t="shared" si="35"/>
        <v>0</v>
      </c>
      <c r="I793" s="119"/>
      <c r="J793" s="119"/>
      <c r="K793" s="119"/>
      <c r="L793" s="119"/>
      <c r="M793" s="119"/>
      <c r="N793" s="119"/>
      <c r="O793" s="119"/>
      <c r="P793" s="119"/>
      <c r="Q793" s="44" t="s">
        <v>483</v>
      </c>
      <c r="R793" s="19" t="s">
        <v>461</v>
      </c>
      <c r="S793" s="49">
        <v>2027</v>
      </c>
      <c r="T793" s="46">
        <v>0</v>
      </c>
      <c r="U793" s="47">
        <v>0</v>
      </c>
      <c r="V793" s="47">
        <v>0</v>
      </c>
      <c r="W793" s="48">
        <v>0</v>
      </c>
      <c r="X793" s="57">
        <f t="shared" si="34"/>
        <v>0</v>
      </c>
      <c r="Y793" s="119"/>
    </row>
    <row r="794" spans="1:25">
      <c r="A794" s="44" t="s">
        <v>483</v>
      </c>
      <c r="B794" s="19" t="s">
        <v>461</v>
      </c>
      <c r="C794" s="49">
        <v>2028</v>
      </c>
      <c r="D794" s="46">
        <v>0</v>
      </c>
      <c r="E794" s="47">
        <v>0</v>
      </c>
      <c r="F794" s="47">
        <v>0</v>
      </c>
      <c r="G794" s="48">
        <v>0</v>
      </c>
      <c r="H794" s="57">
        <f t="shared" si="35"/>
        <v>0</v>
      </c>
      <c r="I794" s="119"/>
      <c r="J794" s="119"/>
      <c r="K794" s="119"/>
      <c r="L794" s="119"/>
      <c r="M794" s="119"/>
      <c r="N794" s="119"/>
      <c r="O794" s="119"/>
      <c r="P794" s="119"/>
      <c r="Q794" s="44" t="s">
        <v>483</v>
      </c>
      <c r="R794" s="19" t="s">
        <v>461</v>
      </c>
      <c r="S794" s="49">
        <v>2028</v>
      </c>
      <c r="T794" s="46">
        <v>0</v>
      </c>
      <c r="U794" s="47">
        <v>0</v>
      </c>
      <c r="V794" s="47">
        <v>0</v>
      </c>
      <c r="W794" s="48">
        <v>0</v>
      </c>
      <c r="X794" s="57">
        <f t="shared" si="34"/>
        <v>0</v>
      </c>
      <c r="Y794" s="119"/>
    </row>
    <row r="795" spans="1:25">
      <c r="A795" s="44" t="s">
        <v>483</v>
      </c>
      <c r="B795" s="19" t="s">
        <v>461</v>
      </c>
      <c r="C795" s="49">
        <v>2029</v>
      </c>
      <c r="D795" s="46">
        <v>0</v>
      </c>
      <c r="E795" s="47">
        <v>0</v>
      </c>
      <c r="F795" s="47">
        <v>0</v>
      </c>
      <c r="G795" s="48">
        <v>0</v>
      </c>
      <c r="H795" s="57">
        <f t="shared" si="35"/>
        <v>0</v>
      </c>
      <c r="I795" s="119"/>
      <c r="J795" s="119"/>
      <c r="K795" s="119"/>
      <c r="L795" s="119"/>
      <c r="M795" s="119"/>
      <c r="N795" s="119"/>
      <c r="O795" s="119"/>
      <c r="P795" s="119"/>
      <c r="Q795" s="44" t="s">
        <v>483</v>
      </c>
      <c r="R795" s="19" t="s">
        <v>461</v>
      </c>
      <c r="S795" s="49">
        <v>2029</v>
      </c>
      <c r="T795" s="46">
        <v>0</v>
      </c>
      <c r="U795" s="47">
        <v>0</v>
      </c>
      <c r="V795" s="47">
        <v>0</v>
      </c>
      <c r="W795" s="48">
        <v>0</v>
      </c>
      <c r="X795" s="57">
        <f t="shared" si="34"/>
        <v>0</v>
      </c>
      <c r="Y795" s="119"/>
    </row>
    <row r="796" spans="1:25">
      <c r="A796" s="44" t="s">
        <v>483</v>
      </c>
      <c r="B796" s="19" t="s">
        <v>461</v>
      </c>
      <c r="C796" s="49">
        <v>2030</v>
      </c>
      <c r="D796" s="46">
        <v>0</v>
      </c>
      <c r="E796" s="47">
        <v>0</v>
      </c>
      <c r="F796" s="47">
        <v>0</v>
      </c>
      <c r="G796" s="48">
        <v>77.074414703283921</v>
      </c>
      <c r="H796" s="57">
        <f t="shared" si="35"/>
        <v>58.854687054692015</v>
      </c>
      <c r="I796" s="119"/>
      <c r="J796" s="119"/>
      <c r="K796" s="119"/>
      <c r="L796" s="119"/>
      <c r="M796" s="119"/>
      <c r="N796" s="119"/>
      <c r="O796" s="119"/>
      <c r="P796" s="119"/>
      <c r="Q796" s="44" t="s">
        <v>483</v>
      </c>
      <c r="R796" s="19" t="s">
        <v>461</v>
      </c>
      <c r="S796" s="49">
        <v>2030</v>
      </c>
      <c r="T796" s="46">
        <v>0</v>
      </c>
      <c r="U796" s="47">
        <v>0</v>
      </c>
      <c r="V796" s="47">
        <v>0</v>
      </c>
      <c r="W796" s="48">
        <v>77.074414703283921</v>
      </c>
      <c r="X796" s="57">
        <f t="shared" si="34"/>
        <v>77.074414703283921</v>
      </c>
      <c r="Y796" s="119"/>
    </row>
    <row r="797" spans="1:25">
      <c r="A797" s="44" t="s">
        <v>483</v>
      </c>
      <c r="B797" s="19" t="s">
        <v>461</v>
      </c>
      <c r="C797" s="49">
        <v>2031</v>
      </c>
      <c r="D797" s="46">
        <v>0</v>
      </c>
      <c r="E797" s="47">
        <v>0</v>
      </c>
      <c r="F797" s="47">
        <v>0</v>
      </c>
      <c r="G797" s="48">
        <v>0</v>
      </c>
      <c r="H797" s="57">
        <f t="shared" si="35"/>
        <v>0</v>
      </c>
      <c r="I797" s="119"/>
      <c r="J797" s="119"/>
      <c r="K797" s="119"/>
      <c r="L797" s="119"/>
      <c r="M797" s="119"/>
      <c r="N797" s="119"/>
      <c r="O797" s="119"/>
      <c r="P797" s="119"/>
      <c r="Q797" s="44" t="s">
        <v>483</v>
      </c>
      <c r="R797" s="19" t="s">
        <v>461</v>
      </c>
      <c r="S797" s="49">
        <v>2031</v>
      </c>
      <c r="T797" s="46">
        <v>0</v>
      </c>
      <c r="U797" s="47">
        <v>0</v>
      </c>
      <c r="V797" s="47">
        <v>0</v>
      </c>
      <c r="W797" s="48">
        <v>78.615902997349608</v>
      </c>
      <c r="X797" s="57">
        <f t="shared" si="34"/>
        <v>78.615902997349608</v>
      </c>
      <c r="Y797" s="119"/>
    </row>
    <row r="798" spans="1:25">
      <c r="A798" s="44" t="s">
        <v>483</v>
      </c>
      <c r="B798" s="19" t="s">
        <v>461</v>
      </c>
      <c r="C798" s="49">
        <v>2032</v>
      </c>
      <c r="D798" s="46">
        <v>0</v>
      </c>
      <c r="E798" s="47">
        <v>0</v>
      </c>
      <c r="F798" s="47">
        <v>0</v>
      </c>
      <c r="G798" s="48">
        <v>0</v>
      </c>
      <c r="H798" s="57">
        <f t="shared" si="35"/>
        <v>0</v>
      </c>
      <c r="I798" s="119"/>
      <c r="J798" s="119"/>
      <c r="K798" s="119"/>
      <c r="L798" s="119"/>
      <c r="M798" s="119"/>
      <c r="N798" s="119"/>
      <c r="O798" s="119"/>
      <c r="P798" s="119"/>
      <c r="Q798" s="44" t="s">
        <v>483</v>
      </c>
      <c r="R798" s="19" t="s">
        <v>461</v>
      </c>
      <c r="S798" s="49">
        <v>2032</v>
      </c>
      <c r="T798" s="46">
        <v>0</v>
      </c>
      <c r="U798" s="47">
        <v>0</v>
      </c>
      <c r="V798" s="47">
        <v>0</v>
      </c>
      <c r="W798" s="48">
        <v>80.188221057296602</v>
      </c>
      <c r="X798" s="57">
        <f t="shared" si="34"/>
        <v>80.188221057296602</v>
      </c>
      <c r="Y798" s="119"/>
    </row>
    <row r="799" spans="1:25">
      <c r="A799" s="44" t="s">
        <v>483</v>
      </c>
      <c r="B799" s="19" t="s">
        <v>461</v>
      </c>
      <c r="C799" s="49">
        <v>2033</v>
      </c>
      <c r="D799" s="46">
        <v>0</v>
      </c>
      <c r="E799" s="47">
        <v>0</v>
      </c>
      <c r="F799" s="47">
        <v>0</v>
      </c>
      <c r="G799" s="48">
        <v>0</v>
      </c>
      <c r="H799" s="57">
        <f t="shared" si="35"/>
        <v>0</v>
      </c>
      <c r="I799" s="119"/>
      <c r="J799" s="119"/>
      <c r="K799" s="119"/>
      <c r="L799" s="119"/>
      <c r="M799" s="119"/>
      <c r="N799" s="119"/>
      <c r="O799" s="119"/>
      <c r="P799" s="119"/>
      <c r="Q799" s="44" t="s">
        <v>483</v>
      </c>
      <c r="R799" s="19" t="s">
        <v>461</v>
      </c>
      <c r="S799" s="49">
        <v>2033</v>
      </c>
      <c r="T799" s="46">
        <v>0</v>
      </c>
      <c r="U799" s="47">
        <v>0</v>
      </c>
      <c r="V799" s="47">
        <v>0</v>
      </c>
      <c r="W799" s="48">
        <v>81.791985478442541</v>
      </c>
      <c r="X799" s="57">
        <f t="shared" si="34"/>
        <v>81.791985478442541</v>
      </c>
      <c r="Y799" s="119"/>
    </row>
    <row r="800" spans="1:25">
      <c r="A800" s="44" t="s">
        <v>483</v>
      </c>
      <c r="B800" s="19" t="s">
        <v>461</v>
      </c>
      <c r="C800" s="49">
        <v>2034</v>
      </c>
      <c r="D800" s="46">
        <v>0</v>
      </c>
      <c r="E800" s="47">
        <v>0</v>
      </c>
      <c r="F800" s="47">
        <v>0</v>
      </c>
      <c r="G800" s="48">
        <v>0</v>
      </c>
      <c r="H800" s="57">
        <f t="shared" si="35"/>
        <v>0</v>
      </c>
      <c r="I800" s="119"/>
      <c r="J800" s="119"/>
      <c r="K800" s="119"/>
      <c r="L800" s="119"/>
      <c r="M800" s="119"/>
      <c r="N800" s="119"/>
      <c r="O800" s="119"/>
      <c r="P800" s="119"/>
      <c r="Q800" s="44" t="s">
        <v>483</v>
      </c>
      <c r="R800" s="19" t="s">
        <v>461</v>
      </c>
      <c r="S800" s="49">
        <v>2034</v>
      </c>
      <c r="T800" s="46">
        <v>0</v>
      </c>
      <c r="U800" s="47">
        <v>0</v>
      </c>
      <c r="V800" s="47">
        <v>0</v>
      </c>
      <c r="W800" s="48">
        <v>83.427825188011397</v>
      </c>
      <c r="X800" s="57">
        <f t="shared" si="34"/>
        <v>83.427825188011397</v>
      </c>
      <c r="Y800" s="119"/>
    </row>
    <row r="801" spans="1:25">
      <c r="A801" s="44" t="s">
        <v>483</v>
      </c>
      <c r="B801" s="19" t="s">
        <v>461</v>
      </c>
      <c r="C801" s="49">
        <v>2035</v>
      </c>
      <c r="D801" s="46">
        <v>0</v>
      </c>
      <c r="E801" s="47">
        <v>0</v>
      </c>
      <c r="F801" s="47">
        <v>0</v>
      </c>
      <c r="G801" s="48">
        <v>0</v>
      </c>
      <c r="H801" s="57">
        <f t="shared" si="35"/>
        <v>0</v>
      </c>
      <c r="I801" s="119"/>
      <c r="J801" s="119"/>
      <c r="K801" s="119"/>
      <c r="L801" s="119"/>
      <c r="M801" s="119"/>
      <c r="N801" s="119"/>
      <c r="O801" s="119"/>
      <c r="P801" s="119"/>
      <c r="Q801" s="44" t="s">
        <v>483</v>
      </c>
      <c r="R801" s="19" t="s">
        <v>461</v>
      </c>
      <c r="S801" s="49">
        <v>2035</v>
      </c>
      <c r="T801" s="46">
        <v>0</v>
      </c>
      <c r="U801" s="47">
        <v>0</v>
      </c>
      <c r="V801" s="47">
        <v>0</v>
      </c>
      <c r="W801" s="48">
        <v>85.096381691771626</v>
      </c>
      <c r="X801" s="57">
        <f t="shared" si="34"/>
        <v>85.096381691771626</v>
      </c>
      <c r="Y801" s="119">
        <f>NPV($Y$10,X792:X801)/((1-(1+$Y$10)^-10)/$Y$10)</f>
        <v>41.813776390323611</v>
      </c>
    </row>
    <row r="802" spans="1:25">
      <c r="A802" s="44"/>
      <c r="B802" s="19" t="s">
        <v>401</v>
      </c>
      <c r="C802" s="49"/>
      <c r="D802" s="46" t="s">
        <v>401</v>
      </c>
      <c r="E802" s="47" t="s">
        <v>401</v>
      </c>
      <c r="F802" s="47" t="s">
        <v>401</v>
      </c>
      <c r="G802" s="48" t="s">
        <v>401</v>
      </c>
      <c r="H802" s="57">
        <f t="shared" si="35"/>
        <v>0</v>
      </c>
      <c r="I802" s="119"/>
      <c r="J802" s="119"/>
      <c r="K802" s="119"/>
      <c r="L802" s="119"/>
      <c r="M802" s="119"/>
      <c r="N802" s="119"/>
      <c r="O802" s="119"/>
      <c r="P802" s="119"/>
      <c r="Q802" s="44"/>
      <c r="R802" s="19" t="s">
        <v>401</v>
      </c>
      <c r="S802" s="49"/>
      <c r="T802" s="46"/>
      <c r="U802" s="47"/>
      <c r="V802" s="47"/>
      <c r="W802" s="48"/>
      <c r="X802" s="57">
        <f t="shared" si="34"/>
        <v>0</v>
      </c>
      <c r="Y802" s="119"/>
    </row>
    <row r="803" spans="1:25">
      <c r="A803" s="44" t="s">
        <v>483</v>
      </c>
      <c r="B803" s="19" t="s">
        <v>462</v>
      </c>
      <c r="C803" s="49">
        <v>2026</v>
      </c>
      <c r="D803" s="46">
        <v>0</v>
      </c>
      <c r="E803" s="47">
        <v>0</v>
      </c>
      <c r="F803" s="47">
        <v>0</v>
      </c>
      <c r="G803" s="48">
        <v>0</v>
      </c>
      <c r="H803" s="57">
        <f t="shared" si="35"/>
        <v>0</v>
      </c>
      <c r="I803" s="119"/>
      <c r="J803" s="119"/>
      <c r="K803" s="119"/>
      <c r="L803" s="119"/>
      <c r="M803" s="119"/>
      <c r="N803" s="119"/>
      <c r="O803" s="119"/>
      <c r="P803" s="119"/>
      <c r="Q803" s="44" t="s">
        <v>483</v>
      </c>
      <c r="R803" s="19" t="s">
        <v>462</v>
      </c>
      <c r="S803" s="49">
        <v>2026</v>
      </c>
      <c r="T803" s="46">
        <v>0</v>
      </c>
      <c r="U803" s="47">
        <v>0</v>
      </c>
      <c r="V803" s="47">
        <v>0</v>
      </c>
      <c r="W803" s="48">
        <v>0</v>
      </c>
      <c r="X803" s="57">
        <f t="shared" si="34"/>
        <v>0</v>
      </c>
      <c r="Y803" s="119"/>
    </row>
    <row r="804" spans="1:25">
      <c r="A804" s="44" t="s">
        <v>483</v>
      </c>
      <c r="B804" s="19" t="s">
        <v>462</v>
      </c>
      <c r="C804" s="49">
        <v>2027</v>
      </c>
      <c r="D804" s="46">
        <v>0</v>
      </c>
      <c r="E804" s="47">
        <v>0</v>
      </c>
      <c r="F804" s="47">
        <v>0</v>
      </c>
      <c r="G804" s="48">
        <v>0</v>
      </c>
      <c r="H804" s="57">
        <f t="shared" si="35"/>
        <v>0</v>
      </c>
      <c r="I804" s="119"/>
      <c r="J804" s="119"/>
      <c r="K804" s="119"/>
      <c r="L804" s="119"/>
      <c r="M804" s="119"/>
      <c r="N804" s="119"/>
      <c r="O804" s="119"/>
      <c r="P804" s="119"/>
      <c r="Q804" s="44" t="s">
        <v>483</v>
      </c>
      <c r="R804" s="19" t="s">
        <v>462</v>
      </c>
      <c r="S804" s="49">
        <v>2027</v>
      </c>
      <c r="T804" s="46">
        <v>0</v>
      </c>
      <c r="U804" s="47">
        <v>0</v>
      </c>
      <c r="V804" s="47">
        <v>0</v>
      </c>
      <c r="W804" s="48">
        <v>0</v>
      </c>
      <c r="X804" s="57">
        <f t="shared" si="34"/>
        <v>0</v>
      </c>
      <c r="Y804" s="119"/>
    </row>
    <row r="805" spans="1:25">
      <c r="A805" s="44" t="s">
        <v>483</v>
      </c>
      <c r="B805" s="19" t="s">
        <v>462</v>
      </c>
      <c r="C805" s="49">
        <v>2028</v>
      </c>
      <c r="D805" s="46">
        <v>0</v>
      </c>
      <c r="E805" s="47">
        <v>0</v>
      </c>
      <c r="F805" s="47">
        <v>0</v>
      </c>
      <c r="G805" s="48">
        <v>0</v>
      </c>
      <c r="H805" s="57">
        <f t="shared" si="35"/>
        <v>0</v>
      </c>
      <c r="I805" s="119"/>
      <c r="J805" s="119"/>
      <c r="K805" s="119"/>
      <c r="L805" s="119"/>
      <c r="M805" s="119"/>
      <c r="N805" s="119"/>
      <c r="O805" s="119"/>
      <c r="P805" s="119"/>
      <c r="Q805" s="44" t="s">
        <v>483</v>
      </c>
      <c r="R805" s="19" t="s">
        <v>462</v>
      </c>
      <c r="S805" s="49">
        <v>2028</v>
      </c>
      <c r="T805" s="46">
        <v>0</v>
      </c>
      <c r="U805" s="47">
        <v>0</v>
      </c>
      <c r="V805" s="47">
        <v>0</v>
      </c>
      <c r="W805" s="48">
        <v>0</v>
      </c>
      <c r="X805" s="57">
        <f t="shared" si="34"/>
        <v>0</v>
      </c>
      <c r="Y805" s="119"/>
    </row>
    <row r="806" spans="1:25">
      <c r="A806" s="44" t="s">
        <v>483</v>
      </c>
      <c r="B806" s="19" t="s">
        <v>462</v>
      </c>
      <c r="C806" s="49">
        <v>2029</v>
      </c>
      <c r="D806" s="46">
        <v>0</v>
      </c>
      <c r="E806" s="47">
        <v>0</v>
      </c>
      <c r="F806" s="47">
        <v>0</v>
      </c>
      <c r="G806" s="48">
        <v>0</v>
      </c>
      <c r="H806" s="57">
        <f t="shared" si="35"/>
        <v>0</v>
      </c>
      <c r="I806" s="119"/>
      <c r="J806" s="119"/>
      <c r="K806" s="119"/>
      <c r="L806" s="119"/>
      <c r="M806" s="119"/>
      <c r="N806" s="119"/>
      <c r="O806" s="119"/>
      <c r="P806" s="119"/>
      <c r="Q806" s="44" t="s">
        <v>483</v>
      </c>
      <c r="R806" s="19" t="s">
        <v>462</v>
      </c>
      <c r="S806" s="49">
        <v>2029</v>
      </c>
      <c r="T806" s="46">
        <v>0</v>
      </c>
      <c r="U806" s="47">
        <v>0</v>
      </c>
      <c r="V806" s="47">
        <v>0</v>
      </c>
      <c r="W806" s="48">
        <v>0</v>
      </c>
      <c r="X806" s="57">
        <f t="shared" si="34"/>
        <v>0</v>
      </c>
      <c r="Y806" s="119"/>
    </row>
    <row r="807" spans="1:25">
      <c r="A807" s="44" t="s">
        <v>483</v>
      </c>
      <c r="B807" s="19" t="s">
        <v>462</v>
      </c>
      <c r="C807" s="49">
        <v>2030</v>
      </c>
      <c r="D807" s="46">
        <v>0</v>
      </c>
      <c r="E807" s="47">
        <v>0</v>
      </c>
      <c r="F807" s="47">
        <v>0</v>
      </c>
      <c r="G807" s="48">
        <v>0</v>
      </c>
      <c r="H807" s="57">
        <f t="shared" si="35"/>
        <v>0</v>
      </c>
      <c r="I807" s="119"/>
      <c r="J807" s="119"/>
      <c r="K807" s="119"/>
      <c r="L807" s="119"/>
      <c r="M807" s="119"/>
      <c r="N807" s="119"/>
      <c r="O807" s="119"/>
      <c r="P807" s="119"/>
      <c r="Q807" s="44" t="s">
        <v>483</v>
      </c>
      <c r="R807" s="19" t="s">
        <v>462</v>
      </c>
      <c r="S807" s="49">
        <v>2030</v>
      </c>
      <c r="T807" s="46">
        <v>0</v>
      </c>
      <c r="U807" s="47">
        <v>0</v>
      </c>
      <c r="V807" s="47">
        <v>0</v>
      </c>
      <c r="W807" s="48">
        <v>0</v>
      </c>
      <c r="X807" s="57">
        <f t="shared" si="34"/>
        <v>0</v>
      </c>
      <c r="Y807" s="119"/>
    </row>
    <row r="808" spans="1:25">
      <c r="A808" s="44" t="s">
        <v>483</v>
      </c>
      <c r="B808" s="19" t="s">
        <v>462</v>
      </c>
      <c r="C808" s="49">
        <v>2031</v>
      </c>
      <c r="D808" s="46">
        <v>0</v>
      </c>
      <c r="E808" s="47">
        <v>0</v>
      </c>
      <c r="F808" s="47">
        <v>0</v>
      </c>
      <c r="G808" s="48">
        <v>0</v>
      </c>
      <c r="H808" s="57">
        <f t="shared" si="35"/>
        <v>0</v>
      </c>
      <c r="I808" s="119"/>
      <c r="J808" s="119"/>
      <c r="K808" s="119"/>
      <c r="L808" s="119"/>
      <c r="M808" s="119"/>
      <c r="N808" s="119"/>
      <c r="O808" s="119"/>
      <c r="P808" s="119"/>
      <c r="Q808" s="44" t="s">
        <v>483</v>
      </c>
      <c r="R808" s="19" t="s">
        <v>462</v>
      </c>
      <c r="S808" s="49">
        <v>2031</v>
      </c>
      <c r="T808" s="46">
        <v>0</v>
      </c>
      <c r="U808" s="47">
        <v>0</v>
      </c>
      <c r="V808" s="47">
        <v>0</v>
      </c>
      <c r="W808" s="48">
        <v>0</v>
      </c>
      <c r="X808" s="57">
        <f t="shared" si="34"/>
        <v>0</v>
      </c>
      <c r="Y808" s="119"/>
    </row>
    <row r="809" spans="1:25">
      <c r="A809" s="44" t="s">
        <v>483</v>
      </c>
      <c r="B809" s="19" t="s">
        <v>462</v>
      </c>
      <c r="C809" s="49">
        <v>2032</v>
      </c>
      <c r="D809" s="46">
        <v>0</v>
      </c>
      <c r="E809" s="47">
        <v>0</v>
      </c>
      <c r="F809" s="47">
        <v>0</v>
      </c>
      <c r="G809" s="48">
        <v>0</v>
      </c>
      <c r="H809" s="57">
        <f t="shared" si="35"/>
        <v>0</v>
      </c>
      <c r="I809" s="119"/>
      <c r="J809" s="119"/>
      <c r="K809" s="119"/>
      <c r="L809" s="119"/>
      <c r="M809" s="119"/>
      <c r="N809" s="119"/>
      <c r="O809" s="119"/>
      <c r="P809" s="119"/>
      <c r="Q809" s="44" t="s">
        <v>483</v>
      </c>
      <c r="R809" s="19" t="s">
        <v>462</v>
      </c>
      <c r="S809" s="49">
        <v>2032</v>
      </c>
      <c r="T809" s="46">
        <v>0</v>
      </c>
      <c r="U809" s="47">
        <v>0</v>
      </c>
      <c r="V809" s="47">
        <v>0</v>
      </c>
      <c r="W809" s="48">
        <v>0</v>
      </c>
      <c r="X809" s="57">
        <f t="shared" si="34"/>
        <v>0</v>
      </c>
      <c r="Y809" s="119"/>
    </row>
    <row r="810" spans="1:25">
      <c r="A810" s="44" t="s">
        <v>483</v>
      </c>
      <c r="B810" s="19" t="s">
        <v>462</v>
      </c>
      <c r="C810" s="49">
        <v>2033</v>
      </c>
      <c r="D810" s="46">
        <v>0</v>
      </c>
      <c r="E810" s="47">
        <v>0</v>
      </c>
      <c r="F810" s="47">
        <v>0</v>
      </c>
      <c r="G810" s="48">
        <v>0</v>
      </c>
      <c r="H810" s="57">
        <f t="shared" si="35"/>
        <v>0</v>
      </c>
      <c r="I810" s="119"/>
      <c r="J810" s="119"/>
      <c r="K810" s="119"/>
      <c r="L810" s="119"/>
      <c r="M810" s="119"/>
      <c r="N810" s="119"/>
      <c r="O810" s="119"/>
      <c r="P810" s="119"/>
      <c r="Q810" s="44" t="s">
        <v>483</v>
      </c>
      <c r="R810" s="19" t="s">
        <v>462</v>
      </c>
      <c r="S810" s="49">
        <v>2033</v>
      </c>
      <c r="T810" s="46">
        <v>0</v>
      </c>
      <c r="U810" s="47">
        <v>0</v>
      </c>
      <c r="V810" s="47">
        <v>0</v>
      </c>
      <c r="W810" s="48">
        <v>0</v>
      </c>
      <c r="X810" s="57">
        <f t="shared" si="34"/>
        <v>0</v>
      </c>
      <c r="Y810" s="119"/>
    </row>
    <row r="811" spans="1:25">
      <c r="A811" s="44" t="s">
        <v>483</v>
      </c>
      <c r="B811" s="19" t="s">
        <v>462</v>
      </c>
      <c r="C811" s="49">
        <v>2034</v>
      </c>
      <c r="D811" s="46">
        <v>0</v>
      </c>
      <c r="E811" s="47">
        <v>61.311324901452174</v>
      </c>
      <c r="F811" s="47">
        <v>0</v>
      </c>
      <c r="G811" s="48">
        <v>0</v>
      </c>
      <c r="H811" s="57">
        <f t="shared" si="35"/>
        <v>35.750518084103767</v>
      </c>
      <c r="I811" s="119"/>
      <c r="J811" s="119"/>
      <c r="K811" s="119"/>
      <c r="L811" s="119"/>
      <c r="M811" s="119"/>
      <c r="N811" s="119"/>
      <c r="O811" s="119"/>
      <c r="P811" s="119"/>
      <c r="Q811" s="44" t="s">
        <v>483</v>
      </c>
      <c r="R811" s="19" t="s">
        <v>462</v>
      </c>
      <c r="S811" s="49">
        <v>2034</v>
      </c>
      <c r="T811" s="46">
        <v>0</v>
      </c>
      <c r="U811" s="47">
        <v>61.311324901452174</v>
      </c>
      <c r="V811" s="47">
        <v>0</v>
      </c>
      <c r="W811" s="48">
        <v>0</v>
      </c>
      <c r="X811" s="57">
        <f t="shared" si="34"/>
        <v>61.311324901452174</v>
      </c>
      <c r="Y811" s="119"/>
    </row>
    <row r="812" spans="1:25">
      <c r="A812" s="44" t="s">
        <v>483</v>
      </c>
      <c r="B812" s="19" t="s">
        <v>462</v>
      </c>
      <c r="C812" s="49">
        <v>2035</v>
      </c>
      <c r="D812" s="46">
        <v>0</v>
      </c>
      <c r="E812" s="47">
        <v>81.068254424327307</v>
      </c>
      <c r="F812" s="47">
        <v>0</v>
      </c>
      <c r="G812" s="48">
        <v>0</v>
      </c>
      <c r="H812" s="57">
        <f t="shared" si="35"/>
        <v>44.18859217687303</v>
      </c>
      <c r="I812" s="119"/>
      <c r="J812" s="119"/>
      <c r="K812" s="119"/>
      <c r="L812" s="119"/>
      <c r="M812" s="119"/>
      <c r="N812" s="119"/>
      <c r="O812" s="119"/>
      <c r="P812" s="119"/>
      <c r="Q812" s="44" t="s">
        <v>483</v>
      </c>
      <c r="R812" s="19" t="s">
        <v>462</v>
      </c>
      <c r="S812" s="49">
        <v>2035</v>
      </c>
      <c r="T812" s="46">
        <v>0</v>
      </c>
      <c r="U812" s="47">
        <v>143.60580582380851</v>
      </c>
      <c r="V812" s="47">
        <v>0</v>
      </c>
      <c r="W812" s="48">
        <v>0</v>
      </c>
      <c r="X812" s="57">
        <f t="shared" si="34"/>
        <v>143.60580582380851</v>
      </c>
      <c r="Y812" s="119">
        <f>NPV($Y$10,X803:X812)/((1-(1+$Y$10)^-10)/$Y$10)</f>
        <v>15.158798111120463</v>
      </c>
    </row>
    <row r="813" spans="1:25">
      <c r="A813" s="44"/>
      <c r="B813" s="19" t="s">
        <v>401</v>
      </c>
      <c r="C813" s="49"/>
      <c r="D813" s="42" t="s">
        <v>401</v>
      </c>
      <c r="E813" s="19" t="s">
        <v>401</v>
      </c>
      <c r="F813" s="19" t="s">
        <v>401</v>
      </c>
      <c r="G813" s="43" t="s">
        <v>401</v>
      </c>
      <c r="H813" s="57">
        <f t="shared" si="35"/>
        <v>0</v>
      </c>
      <c r="I813" s="119"/>
      <c r="J813" s="119"/>
      <c r="K813" s="119"/>
      <c r="L813" s="119"/>
      <c r="M813" s="119"/>
      <c r="N813" s="119"/>
      <c r="O813" s="119"/>
      <c r="P813" s="119"/>
      <c r="Q813" s="44"/>
      <c r="R813" s="19" t="s">
        <v>401</v>
      </c>
      <c r="S813" s="49"/>
      <c r="T813" s="42"/>
      <c r="U813" s="19"/>
      <c r="V813" s="19"/>
      <c r="W813" s="43"/>
      <c r="X813" s="57">
        <f t="shared" si="34"/>
        <v>0</v>
      </c>
      <c r="Y813" s="119"/>
    </row>
    <row r="814" spans="1:25">
      <c r="A814" s="44" t="s">
        <v>483</v>
      </c>
      <c r="B814" s="19" t="s">
        <v>463</v>
      </c>
      <c r="C814" s="49">
        <v>2026</v>
      </c>
      <c r="D814" s="46">
        <v>0</v>
      </c>
      <c r="E814" s="47">
        <v>0</v>
      </c>
      <c r="F814" s="47">
        <v>0</v>
      </c>
      <c r="G814" s="48">
        <v>0</v>
      </c>
      <c r="H814" s="57">
        <f t="shared" si="35"/>
        <v>0</v>
      </c>
      <c r="I814" s="119"/>
      <c r="J814" s="119"/>
      <c r="K814" s="119"/>
      <c r="L814" s="119"/>
      <c r="M814" s="119"/>
      <c r="N814" s="119"/>
      <c r="O814" s="119"/>
      <c r="P814" s="119"/>
      <c r="Q814" s="44" t="s">
        <v>483</v>
      </c>
      <c r="R814" s="19" t="s">
        <v>463</v>
      </c>
      <c r="S814" s="49">
        <v>2026</v>
      </c>
      <c r="T814" s="46">
        <v>0</v>
      </c>
      <c r="U814" s="47">
        <v>0</v>
      </c>
      <c r="V814" s="47">
        <v>0</v>
      </c>
      <c r="W814" s="48">
        <v>0</v>
      </c>
      <c r="X814" s="57">
        <f t="shared" si="34"/>
        <v>0</v>
      </c>
      <c r="Y814" s="119"/>
    </row>
    <row r="815" spans="1:25">
      <c r="A815" s="44" t="s">
        <v>483</v>
      </c>
      <c r="B815" s="19" t="s">
        <v>463</v>
      </c>
      <c r="C815" s="49">
        <v>2027</v>
      </c>
      <c r="D815" s="46">
        <v>0</v>
      </c>
      <c r="E815" s="47">
        <v>0</v>
      </c>
      <c r="F815" s="47">
        <v>0</v>
      </c>
      <c r="G815" s="48">
        <v>0</v>
      </c>
      <c r="H815" s="57">
        <f t="shared" si="35"/>
        <v>0</v>
      </c>
      <c r="I815" s="119"/>
      <c r="J815" s="119"/>
      <c r="K815" s="119"/>
      <c r="L815" s="119"/>
      <c r="M815" s="119"/>
      <c r="N815" s="119"/>
      <c r="O815" s="119"/>
      <c r="P815" s="119"/>
      <c r="Q815" s="44" t="s">
        <v>483</v>
      </c>
      <c r="R815" s="19" t="s">
        <v>463</v>
      </c>
      <c r="S815" s="49">
        <v>2027</v>
      </c>
      <c r="T815" s="46">
        <v>0</v>
      </c>
      <c r="U815" s="47">
        <v>0</v>
      </c>
      <c r="V815" s="47">
        <v>0</v>
      </c>
      <c r="W815" s="48">
        <v>0</v>
      </c>
      <c r="X815" s="57">
        <f t="shared" si="34"/>
        <v>0</v>
      </c>
      <c r="Y815" s="119"/>
    </row>
    <row r="816" spans="1:25">
      <c r="A816" s="44" t="s">
        <v>483</v>
      </c>
      <c r="B816" s="19" t="s">
        <v>463</v>
      </c>
      <c r="C816" s="49">
        <v>2028</v>
      </c>
      <c r="D816" s="46">
        <v>0</v>
      </c>
      <c r="E816" s="47">
        <v>0</v>
      </c>
      <c r="F816" s="47">
        <v>0</v>
      </c>
      <c r="G816" s="48">
        <v>0</v>
      </c>
      <c r="H816" s="57">
        <f t="shared" si="35"/>
        <v>0</v>
      </c>
      <c r="I816" s="119"/>
      <c r="J816" s="119"/>
      <c r="K816" s="119"/>
      <c r="L816" s="119"/>
      <c r="M816" s="119"/>
      <c r="N816" s="119"/>
      <c r="O816" s="119"/>
      <c r="P816" s="119"/>
      <c r="Q816" s="44" t="s">
        <v>483</v>
      </c>
      <c r="R816" s="19" t="s">
        <v>463</v>
      </c>
      <c r="S816" s="49">
        <v>2028</v>
      </c>
      <c r="T816" s="46">
        <v>0</v>
      </c>
      <c r="U816" s="47">
        <v>0</v>
      </c>
      <c r="V816" s="47">
        <v>0</v>
      </c>
      <c r="W816" s="48">
        <v>0</v>
      </c>
      <c r="X816" s="57">
        <f t="shared" si="34"/>
        <v>0</v>
      </c>
      <c r="Y816" s="119"/>
    </row>
    <row r="817" spans="1:25">
      <c r="A817" s="44" t="s">
        <v>483</v>
      </c>
      <c r="B817" s="19" t="s">
        <v>463</v>
      </c>
      <c r="C817" s="49">
        <v>2029</v>
      </c>
      <c r="D817" s="46">
        <v>0</v>
      </c>
      <c r="E817" s="47">
        <v>0</v>
      </c>
      <c r="F817" s="47">
        <v>0</v>
      </c>
      <c r="G817" s="48">
        <v>0</v>
      </c>
      <c r="H817" s="57">
        <f t="shared" si="35"/>
        <v>0</v>
      </c>
      <c r="I817" s="119"/>
      <c r="J817" s="119"/>
      <c r="K817" s="119"/>
      <c r="L817" s="119"/>
      <c r="M817" s="119"/>
      <c r="N817" s="119"/>
      <c r="O817" s="119"/>
      <c r="P817" s="119"/>
      <c r="Q817" s="44" t="s">
        <v>483</v>
      </c>
      <c r="R817" s="19" t="s">
        <v>463</v>
      </c>
      <c r="S817" s="49">
        <v>2029</v>
      </c>
      <c r="T817" s="46">
        <v>0</v>
      </c>
      <c r="U817" s="47">
        <v>0</v>
      </c>
      <c r="V817" s="47">
        <v>0</v>
      </c>
      <c r="W817" s="48">
        <v>0</v>
      </c>
      <c r="X817" s="57">
        <f t="shared" si="34"/>
        <v>0</v>
      </c>
      <c r="Y817" s="119"/>
    </row>
    <row r="818" spans="1:25">
      <c r="A818" s="44" t="s">
        <v>483</v>
      </c>
      <c r="B818" s="19" t="s">
        <v>463</v>
      </c>
      <c r="C818" s="49">
        <v>2030</v>
      </c>
      <c r="D818" s="46">
        <v>0</v>
      </c>
      <c r="E818" s="47">
        <v>0</v>
      </c>
      <c r="F818" s="47">
        <v>0</v>
      </c>
      <c r="G818" s="48">
        <v>0</v>
      </c>
      <c r="H818" s="57">
        <f t="shared" si="35"/>
        <v>0</v>
      </c>
      <c r="I818" s="119"/>
      <c r="J818" s="119"/>
      <c r="K818" s="119"/>
      <c r="L818" s="119"/>
      <c r="M818" s="119"/>
      <c r="N818" s="119"/>
      <c r="O818" s="119"/>
      <c r="P818" s="119"/>
      <c r="Q818" s="44" t="s">
        <v>483</v>
      </c>
      <c r="R818" s="19" t="s">
        <v>463</v>
      </c>
      <c r="S818" s="49">
        <v>2030</v>
      </c>
      <c r="T818" s="46">
        <v>0</v>
      </c>
      <c r="U818" s="47">
        <v>0</v>
      </c>
      <c r="V818" s="47">
        <v>0</v>
      </c>
      <c r="W818" s="48">
        <v>0</v>
      </c>
      <c r="X818" s="57">
        <f t="shared" si="34"/>
        <v>0</v>
      </c>
      <c r="Y818" s="119"/>
    </row>
    <row r="819" spans="1:25">
      <c r="A819" s="44" t="s">
        <v>483</v>
      </c>
      <c r="B819" s="19" t="s">
        <v>463</v>
      </c>
      <c r="C819" s="49">
        <v>2031</v>
      </c>
      <c r="D819" s="46">
        <v>0</v>
      </c>
      <c r="E819" s="47">
        <v>0</v>
      </c>
      <c r="F819" s="47">
        <v>0</v>
      </c>
      <c r="G819" s="48">
        <v>0</v>
      </c>
      <c r="H819" s="57">
        <f t="shared" si="35"/>
        <v>0</v>
      </c>
      <c r="I819" s="119"/>
      <c r="J819" s="119"/>
      <c r="K819" s="119"/>
      <c r="L819" s="119"/>
      <c r="M819" s="119"/>
      <c r="N819" s="119"/>
      <c r="O819" s="119"/>
      <c r="P819" s="119"/>
      <c r="Q819" s="44" t="s">
        <v>483</v>
      </c>
      <c r="R819" s="19" t="s">
        <v>463</v>
      </c>
      <c r="S819" s="49">
        <v>2031</v>
      </c>
      <c r="T819" s="46">
        <v>0</v>
      </c>
      <c r="U819" s="47">
        <v>0</v>
      </c>
      <c r="V819" s="47">
        <v>0</v>
      </c>
      <c r="W819" s="48">
        <v>0</v>
      </c>
      <c r="X819" s="57">
        <f t="shared" si="34"/>
        <v>0</v>
      </c>
      <c r="Y819" s="119"/>
    </row>
    <row r="820" spans="1:25">
      <c r="A820" s="44" t="s">
        <v>483</v>
      </c>
      <c r="B820" s="19" t="s">
        <v>463</v>
      </c>
      <c r="C820" s="49">
        <v>2032</v>
      </c>
      <c r="D820" s="46">
        <v>0</v>
      </c>
      <c r="E820" s="47">
        <v>0</v>
      </c>
      <c r="F820" s="47">
        <v>0</v>
      </c>
      <c r="G820" s="48">
        <v>0</v>
      </c>
      <c r="H820" s="57">
        <f t="shared" si="35"/>
        <v>0</v>
      </c>
      <c r="I820" s="119"/>
      <c r="J820" s="119"/>
      <c r="K820" s="119"/>
      <c r="L820" s="119"/>
      <c r="M820" s="119"/>
      <c r="N820" s="119"/>
      <c r="O820" s="119"/>
      <c r="P820" s="119"/>
      <c r="Q820" s="44" t="s">
        <v>483</v>
      </c>
      <c r="R820" s="19" t="s">
        <v>463</v>
      </c>
      <c r="S820" s="49">
        <v>2032</v>
      </c>
      <c r="T820" s="46">
        <v>0</v>
      </c>
      <c r="U820" s="47">
        <v>0</v>
      </c>
      <c r="V820" s="47">
        <v>0</v>
      </c>
      <c r="W820" s="48">
        <v>0</v>
      </c>
      <c r="X820" s="57">
        <f t="shared" si="34"/>
        <v>0</v>
      </c>
      <c r="Y820" s="119"/>
    </row>
    <row r="821" spans="1:25">
      <c r="A821" s="44" t="s">
        <v>483</v>
      </c>
      <c r="B821" s="19" t="s">
        <v>463</v>
      </c>
      <c r="C821" s="49">
        <v>2033</v>
      </c>
      <c r="D821" s="46">
        <v>0</v>
      </c>
      <c r="E821" s="47">
        <v>0</v>
      </c>
      <c r="F821" s="47">
        <v>0</v>
      </c>
      <c r="G821" s="48">
        <v>0</v>
      </c>
      <c r="H821" s="57">
        <f t="shared" si="35"/>
        <v>0</v>
      </c>
      <c r="I821" s="119"/>
      <c r="J821" s="119"/>
      <c r="K821" s="119"/>
      <c r="L821" s="119"/>
      <c r="M821" s="119"/>
      <c r="N821" s="119"/>
      <c r="O821" s="119"/>
      <c r="P821" s="119"/>
      <c r="Q821" s="44" t="s">
        <v>483</v>
      </c>
      <c r="R821" s="19" t="s">
        <v>463</v>
      </c>
      <c r="S821" s="49">
        <v>2033</v>
      </c>
      <c r="T821" s="46">
        <v>0</v>
      </c>
      <c r="U821" s="47">
        <v>0</v>
      </c>
      <c r="V821" s="47">
        <v>0</v>
      </c>
      <c r="W821" s="48">
        <v>0</v>
      </c>
      <c r="X821" s="57">
        <f t="shared" si="34"/>
        <v>0</v>
      </c>
      <c r="Y821" s="119"/>
    </row>
    <row r="822" spans="1:25">
      <c r="A822" s="44" t="s">
        <v>483</v>
      </c>
      <c r="B822" s="19" t="s">
        <v>463</v>
      </c>
      <c r="C822" s="49">
        <v>2034</v>
      </c>
      <c r="D822" s="46">
        <v>0</v>
      </c>
      <c r="E822" s="47">
        <v>0</v>
      </c>
      <c r="F822" s="47">
        <v>44.856939318550864</v>
      </c>
      <c r="G822" s="48">
        <v>0</v>
      </c>
      <c r="H822" s="57">
        <f t="shared" si="35"/>
        <v>26.155996838806121</v>
      </c>
      <c r="I822" s="119"/>
      <c r="J822" s="119"/>
      <c r="K822" s="119"/>
      <c r="L822" s="119"/>
      <c r="M822" s="119"/>
      <c r="N822" s="119"/>
      <c r="O822" s="119"/>
      <c r="P822" s="119"/>
      <c r="Q822" s="44" t="s">
        <v>483</v>
      </c>
      <c r="R822" s="19" t="s">
        <v>463</v>
      </c>
      <c r="S822" s="49">
        <v>2034</v>
      </c>
      <c r="T822" s="46">
        <v>0</v>
      </c>
      <c r="U822" s="47">
        <v>0</v>
      </c>
      <c r="V822" s="47">
        <v>44.856939318550864</v>
      </c>
      <c r="W822" s="48">
        <v>0</v>
      </c>
      <c r="X822" s="57">
        <f t="shared" si="34"/>
        <v>44.856939318550864</v>
      </c>
      <c r="Y822" s="119"/>
    </row>
    <row r="823" spans="1:25">
      <c r="A823" s="44" t="s">
        <v>483</v>
      </c>
      <c r="B823" s="19" t="s">
        <v>463</v>
      </c>
      <c r="C823" s="49">
        <v>2035</v>
      </c>
      <c r="D823" s="46">
        <v>0</v>
      </c>
      <c r="E823" s="47">
        <v>0</v>
      </c>
      <c r="F823" s="47">
        <v>59.311616169083301</v>
      </c>
      <c r="G823" s="48">
        <v>0</v>
      </c>
      <c r="H823" s="57">
        <f t="shared" si="35"/>
        <v>32.329508472312199</v>
      </c>
      <c r="I823" s="119"/>
      <c r="J823" s="119"/>
      <c r="K823" s="119"/>
      <c r="L823" s="119"/>
      <c r="M823" s="119"/>
      <c r="N823" s="119"/>
      <c r="O823" s="119"/>
      <c r="P823" s="119"/>
      <c r="Q823" s="44" t="s">
        <v>483</v>
      </c>
      <c r="R823" s="19" t="s">
        <v>463</v>
      </c>
      <c r="S823" s="49">
        <v>2035</v>
      </c>
      <c r="T823" s="46">
        <v>0</v>
      </c>
      <c r="U823" s="47">
        <v>0</v>
      </c>
      <c r="V823" s="47">
        <v>105.06569427400518</v>
      </c>
      <c r="W823" s="48">
        <v>0</v>
      </c>
      <c r="X823" s="57">
        <f t="shared" si="34"/>
        <v>105.06569427400518</v>
      </c>
      <c r="Y823" s="119">
        <f>NPV($Y$10,X814:X823)/((1-(1+$Y$10)^-10)/$Y$10)</f>
        <v>11.090565863739613</v>
      </c>
    </row>
    <row r="824" spans="1:25">
      <c r="A824" s="44"/>
      <c r="B824" s="19" t="s">
        <v>401</v>
      </c>
      <c r="C824" s="49"/>
      <c r="D824" s="46" t="s">
        <v>401</v>
      </c>
      <c r="E824" s="47" t="s">
        <v>401</v>
      </c>
      <c r="F824" s="47" t="s">
        <v>401</v>
      </c>
      <c r="G824" s="48" t="s">
        <v>401</v>
      </c>
      <c r="H824" s="57">
        <f t="shared" si="35"/>
        <v>0</v>
      </c>
      <c r="I824" s="119"/>
      <c r="J824" s="119"/>
      <c r="K824" s="119"/>
      <c r="L824" s="119"/>
      <c r="M824" s="119"/>
      <c r="N824" s="119"/>
      <c r="O824" s="119"/>
      <c r="P824" s="119"/>
      <c r="Q824" s="44"/>
      <c r="R824" s="19" t="s">
        <v>401</v>
      </c>
      <c r="S824" s="49"/>
      <c r="T824" s="46"/>
      <c r="U824" s="47"/>
      <c r="V824" s="47"/>
      <c r="W824" s="48"/>
      <c r="X824" s="57">
        <f t="shared" si="34"/>
        <v>0</v>
      </c>
      <c r="Y824" s="119"/>
    </row>
    <row r="825" spans="1:25" ht="30">
      <c r="A825" s="44" t="s">
        <v>484</v>
      </c>
      <c r="B825" s="19" t="s">
        <v>464</v>
      </c>
      <c r="C825" s="49">
        <v>2026</v>
      </c>
      <c r="D825" s="46">
        <v>0</v>
      </c>
      <c r="E825" s="47">
        <v>0</v>
      </c>
      <c r="F825" s="47">
        <v>0</v>
      </c>
      <c r="G825" s="48">
        <v>0</v>
      </c>
      <c r="H825" s="57">
        <f t="shared" si="35"/>
        <v>0</v>
      </c>
      <c r="I825" s="119"/>
      <c r="J825" s="119"/>
      <c r="K825" s="119"/>
      <c r="L825" s="119"/>
      <c r="M825" s="119"/>
      <c r="N825" s="119"/>
      <c r="O825" s="119"/>
      <c r="P825" s="119"/>
      <c r="Q825" s="44" t="s">
        <v>484</v>
      </c>
      <c r="R825" s="19" t="s">
        <v>464</v>
      </c>
      <c r="S825" s="49">
        <v>2026</v>
      </c>
      <c r="T825" s="46">
        <v>0</v>
      </c>
      <c r="U825" s="47">
        <v>0</v>
      </c>
      <c r="V825" s="47">
        <v>0</v>
      </c>
      <c r="W825" s="48">
        <v>0</v>
      </c>
      <c r="X825" s="57">
        <f t="shared" si="34"/>
        <v>0</v>
      </c>
      <c r="Y825" s="119"/>
    </row>
    <row r="826" spans="1:25" ht="30">
      <c r="A826" s="44" t="s">
        <v>484</v>
      </c>
      <c r="B826" s="19" t="s">
        <v>464</v>
      </c>
      <c r="C826" s="49">
        <v>2027</v>
      </c>
      <c r="D826" s="46">
        <v>3.432303956800479</v>
      </c>
      <c r="E826" s="47">
        <v>0</v>
      </c>
      <c r="F826" s="47">
        <v>0</v>
      </c>
      <c r="G826" s="48">
        <v>0</v>
      </c>
      <c r="H826" s="57">
        <f t="shared" si="35"/>
        <v>3.2085103592432613</v>
      </c>
      <c r="I826" s="119"/>
      <c r="J826" s="119"/>
      <c r="K826" s="119"/>
      <c r="L826" s="119"/>
      <c r="M826" s="119"/>
      <c r="N826" s="119"/>
      <c r="O826" s="119"/>
      <c r="P826" s="119"/>
      <c r="Q826" s="44" t="s">
        <v>484</v>
      </c>
      <c r="R826" s="19" t="s">
        <v>464</v>
      </c>
      <c r="S826" s="49">
        <v>2027</v>
      </c>
      <c r="T826" s="46">
        <v>3.432303956800479</v>
      </c>
      <c r="U826" s="47">
        <v>0</v>
      </c>
      <c r="V826" s="47">
        <v>0</v>
      </c>
      <c r="W826" s="48">
        <v>0</v>
      </c>
      <c r="X826" s="57">
        <f t="shared" si="34"/>
        <v>3.432303956800479</v>
      </c>
      <c r="Y826" s="119"/>
    </row>
    <row r="827" spans="1:25" ht="30">
      <c r="A827" s="44" t="s">
        <v>484</v>
      </c>
      <c r="B827" s="19" t="s">
        <v>464</v>
      </c>
      <c r="C827" s="49">
        <v>2028</v>
      </c>
      <c r="D827" s="46">
        <v>27.037242192013458</v>
      </c>
      <c r="E827" s="47">
        <v>0</v>
      </c>
      <c r="F827" s="47">
        <v>0</v>
      </c>
      <c r="G827" s="48">
        <v>0</v>
      </c>
      <c r="H827" s="57">
        <f t="shared" si="35"/>
        <v>23.626413526595638</v>
      </c>
      <c r="I827" s="119"/>
      <c r="J827" s="119"/>
      <c r="K827" s="119"/>
      <c r="L827" s="119"/>
      <c r="M827" s="119"/>
      <c r="N827" s="119"/>
      <c r="O827" s="119"/>
      <c r="P827" s="119"/>
      <c r="Q827" s="44" t="s">
        <v>484</v>
      </c>
      <c r="R827" s="19" t="s">
        <v>464</v>
      </c>
      <c r="S827" s="49">
        <v>2028</v>
      </c>
      <c r="T827" s="46">
        <v>30.538192227949946</v>
      </c>
      <c r="U827" s="47">
        <v>0</v>
      </c>
      <c r="V827" s="47">
        <v>0</v>
      </c>
      <c r="W827" s="48">
        <v>0</v>
      </c>
      <c r="X827" s="57">
        <f t="shared" si="34"/>
        <v>30.538192227949946</v>
      </c>
      <c r="Y827" s="119"/>
    </row>
    <row r="828" spans="1:25" ht="30">
      <c r="A828" s="44" t="s">
        <v>484</v>
      </c>
      <c r="B828" s="19" t="s">
        <v>464</v>
      </c>
      <c r="C828" s="49">
        <v>2029</v>
      </c>
      <c r="D828" s="46">
        <v>55.310711931566757</v>
      </c>
      <c r="E828" s="47">
        <v>0</v>
      </c>
      <c r="F828" s="47">
        <v>0</v>
      </c>
      <c r="G828" s="48">
        <v>0</v>
      </c>
      <c r="H828" s="57">
        <f t="shared" si="35"/>
        <v>45.181678721215803</v>
      </c>
      <c r="I828" s="119"/>
      <c r="J828" s="119"/>
      <c r="K828" s="119"/>
      <c r="L828" s="119"/>
      <c r="M828" s="119"/>
      <c r="N828" s="119"/>
      <c r="O828" s="119"/>
      <c r="P828" s="119"/>
      <c r="Q828" s="44" t="s">
        <v>484</v>
      </c>
      <c r="R828" s="19" t="s">
        <v>464</v>
      </c>
      <c r="S828" s="49">
        <v>2029</v>
      </c>
      <c r="T828" s="46">
        <v>86.459668004075695</v>
      </c>
      <c r="U828" s="47">
        <v>0</v>
      </c>
      <c r="V828" s="47">
        <v>0</v>
      </c>
      <c r="W828" s="48">
        <v>0</v>
      </c>
      <c r="X828" s="57">
        <f t="shared" si="34"/>
        <v>86.459668004075695</v>
      </c>
      <c r="Y828" s="119"/>
    </row>
    <row r="829" spans="1:25" ht="30">
      <c r="A829" s="44" t="s">
        <v>484</v>
      </c>
      <c r="B829" s="19" t="s">
        <v>464</v>
      </c>
      <c r="C829" s="49">
        <v>2030</v>
      </c>
      <c r="D829" s="46">
        <v>0</v>
      </c>
      <c r="E829" s="47">
        <v>0</v>
      </c>
      <c r="F829" s="47">
        <v>0</v>
      </c>
      <c r="G829" s="48">
        <v>0</v>
      </c>
      <c r="H829" s="57">
        <f t="shared" si="35"/>
        <v>0</v>
      </c>
      <c r="I829" s="119"/>
      <c r="J829" s="119"/>
      <c r="K829" s="119"/>
      <c r="L829" s="119"/>
      <c r="M829" s="119"/>
      <c r="N829" s="119"/>
      <c r="O829" s="119"/>
      <c r="P829" s="119"/>
      <c r="Q829" s="44" t="s">
        <v>484</v>
      </c>
      <c r="R829" s="19" t="s">
        <v>464</v>
      </c>
      <c r="S829" s="49">
        <v>2030</v>
      </c>
      <c r="T829" s="46">
        <v>88.188861364157205</v>
      </c>
      <c r="U829" s="47">
        <v>0</v>
      </c>
      <c r="V829" s="47">
        <v>0</v>
      </c>
      <c r="W829" s="48">
        <v>0</v>
      </c>
      <c r="X829" s="57">
        <f t="shared" si="34"/>
        <v>88.188861364157205</v>
      </c>
      <c r="Y829" s="119"/>
    </row>
    <row r="830" spans="1:25" ht="30">
      <c r="A830" s="44" t="s">
        <v>484</v>
      </c>
      <c r="B830" s="19" t="s">
        <v>464</v>
      </c>
      <c r="C830" s="49">
        <v>2031</v>
      </c>
      <c r="D830" s="46">
        <v>0</v>
      </c>
      <c r="E830" s="47">
        <v>0</v>
      </c>
      <c r="F830" s="47">
        <v>0</v>
      </c>
      <c r="G830" s="48">
        <v>0</v>
      </c>
      <c r="H830" s="57">
        <f t="shared" si="35"/>
        <v>0</v>
      </c>
      <c r="I830" s="119"/>
      <c r="J830" s="119"/>
      <c r="K830" s="119"/>
      <c r="L830" s="119"/>
      <c r="M830" s="119"/>
      <c r="N830" s="119"/>
      <c r="O830" s="119"/>
      <c r="P830" s="119"/>
      <c r="Q830" s="44" t="s">
        <v>484</v>
      </c>
      <c r="R830" s="19" t="s">
        <v>464</v>
      </c>
      <c r="S830" s="49">
        <v>2031</v>
      </c>
      <c r="T830" s="46">
        <v>89.952638591440348</v>
      </c>
      <c r="U830" s="47">
        <v>0</v>
      </c>
      <c r="V830" s="47">
        <v>0</v>
      </c>
      <c r="W830" s="48">
        <v>0</v>
      </c>
      <c r="X830" s="57">
        <f t="shared" si="34"/>
        <v>89.952638591440348</v>
      </c>
      <c r="Y830" s="119"/>
    </row>
    <row r="831" spans="1:25" ht="30">
      <c r="A831" s="44" t="s">
        <v>484</v>
      </c>
      <c r="B831" s="19" t="s">
        <v>464</v>
      </c>
      <c r="C831" s="49">
        <v>2032</v>
      </c>
      <c r="D831" s="46">
        <v>0</v>
      </c>
      <c r="E831" s="47">
        <v>0</v>
      </c>
      <c r="F831" s="47">
        <v>0</v>
      </c>
      <c r="G831" s="48">
        <v>0</v>
      </c>
      <c r="H831" s="57">
        <f t="shared" si="35"/>
        <v>0</v>
      </c>
      <c r="I831" s="119"/>
      <c r="J831" s="119"/>
      <c r="K831" s="119"/>
      <c r="L831" s="119"/>
      <c r="M831" s="119"/>
      <c r="N831" s="119"/>
      <c r="O831" s="119"/>
      <c r="P831" s="119"/>
      <c r="Q831" s="44" t="s">
        <v>484</v>
      </c>
      <c r="R831" s="19" t="s">
        <v>464</v>
      </c>
      <c r="S831" s="49">
        <v>2032</v>
      </c>
      <c r="T831" s="46">
        <v>91.75169136326916</v>
      </c>
      <c r="U831" s="47">
        <v>0</v>
      </c>
      <c r="V831" s="47">
        <v>0</v>
      </c>
      <c r="W831" s="48">
        <v>0</v>
      </c>
      <c r="X831" s="57">
        <f t="shared" si="34"/>
        <v>91.75169136326916</v>
      </c>
      <c r="Y831" s="119"/>
    </row>
    <row r="832" spans="1:25" ht="30">
      <c r="A832" s="44" t="s">
        <v>484</v>
      </c>
      <c r="B832" s="19" t="s">
        <v>464</v>
      </c>
      <c r="C832" s="49">
        <v>2033</v>
      </c>
      <c r="D832" s="46">
        <v>0</v>
      </c>
      <c r="E832" s="47">
        <v>0</v>
      </c>
      <c r="F832" s="47">
        <v>0</v>
      </c>
      <c r="G832" s="48">
        <v>0</v>
      </c>
      <c r="H832" s="57">
        <f t="shared" si="35"/>
        <v>0</v>
      </c>
      <c r="I832" s="119"/>
      <c r="J832" s="119"/>
      <c r="K832" s="119"/>
      <c r="L832" s="119"/>
      <c r="M832" s="119"/>
      <c r="N832" s="119"/>
      <c r="O832" s="119"/>
      <c r="P832" s="119"/>
      <c r="Q832" s="44" t="s">
        <v>484</v>
      </c>
      <c r="R832" s="19" t="s">
        <v>464</v>
      </c>
      <c r="S832" s="49">
        <v>2033</v>
      </c>
      <c r="T832" s="46">
        <v>93.586725190534551</v>
      </c>
      <c r="U832" s="47">
        <v>0</v>
      </c>
      <c r="V832" s="47">
        <v>0</v>
      </c>
      <c r="W832" s="48">
        <v>0</v>
      </c>
      <c r="X832" s="57">
        <f t="shared" si="34"/>
        <v>93.586725190534551</v>
      </c>
      <c r="Y832" s="119"/>
    </row>
    <row r="833" spans="1:25" ht="30">
      <c r="A833" s="44" t="s">
        <v>484</v>
      </c>
      <c r="B833" s="19" t="s">
        <v>464</v>
      </c>
      <c r="C833" s="49">
        <v>2034</v>
      </c>
      <c r="D833" s="46">
        <v>0</v>
      </c>
      <c r="E833" s="47">
        <v>0</v>
      </c>
      <c r="F833" s="47">
        <v>0</v>
      </c>
      <c r="G833" s="48">
        <v>0</v>
      </c>
      <c r="H833" s="57">
        <f t="shared" si="35"/>
        <v>0</v>
      </c>
      <c r="I833" s="119"/>
      <c r="J833" s="119"/>
      <c r="K833" s="119"/>
      <c r="L833" s="119"/>
      <c r="M833" s="119"/>
      <c r="N833" s="119"/>
      <c r="O833" s="119"/>
      <c r="P833" s="119"/>
      <c r="Q833" s="44" t="s">
        <v>484</v>
      </c>
      <c r="R833" s="19" t="s">
        <v>464</v>
      </c>
      <c r="S833" s="49">
        <v>2034</v>
      </c>
      <c r="T833" s="46">
        <v>95.458459694345237</v>
      </c>
      <c r="U833" s="47">
        <v>0</v>
      </c>
      <c r="V833" s="47">
        <v>0</v>
      </c>
      <c r="W833" s="48">
        <v>0</v>
      </c>
      <c r="X833" s="57">
        <f t="shared" si="34"/>
        <v>95.458459694345237</v>
      </c>
      <c r="Y833" s="119"/>
    </row>
    <row r="834" spans="1:25" ht="30">
      <c r="A834" s="44" t="s">
        <v>484</v>
      </c>
      <c r="B834" s="19" t="s">
        <v>464</v>
      </c>
      <c r="C834" s="49">
        <v>2035</v>
      </c>
      <c r="D834" s="46">
        <v>0</v>
      </c>
      <c r="E834" s="47">
        <v>0</v>
      </c>
      <c r="F834" s="47">
        <v>0</v>
      </c>
      <c r="G834" s="48">
        <v>0</v>
      </c>
      <c r="H834" s="57">
        <f t="shared" si="35"/>
        <v>0</v>
      </c>
      <c r="I834" s="119"/>
      <c r="J834" s="119"/>
      <c r="K834" s="119"/>
      <c r="L834" s="119"/>
      <c r="M834" s="119"/>
      <c r="N834" s="119"/>
      <c r="O834" s="119"/>
      <c r="P834" s="119"/>
      <c r="Q834" s="44" t="s">
        <v>484</v>
      </c>
      <c r="R834" s="19" t="s">
        <v>464</v>
      </c>
      <c r="S834" s="49">
        <v>2035</v>
      </c>
      <c r="T834" s="46">
        <v>97.367628888232147</v>
      </c>
      <c r="U834" s="47">
        <v>0</v>
      </c>
      <c r="V834" s="47">
        <v>0</v>
      </c>
      <c r="W834" s="48">
        <v>0</v>
      </c>
      <c r="X834" s="57">
        <f t="shared" si="34"/>
        <v>97.367628888232147</v>
      </c>
      <c r="Y834" s="119">
        <f>NPV($Y$10,X825:X834)/((1-(1+$Y$10)^-10)/$Y$10)</f>
        <v>61.206739026086616</v>
      </c>
    </row>
    <row r="835" spans="1:25">
      <c r="A835" s="44"/>
      <c r="B835" s="19" t="s">
        <v>401</v>
      </c>
      <c r="C835" s="49"/>
      <c r="D835" s="42" t="s">
        <v>401</v>
      </c>
      <c r="E835" s="19" t="s">
        <v>401</v>
      </c>
      <c r="F835" s="19" t="s">
        <v>401</v>
      </c>
      <c r="G835" s="43" t="s">
        <v>401</v>
      </c>
      <c r="H835" s="57">
        <f t="shared" si="35"/>
        <v>0</v>
      </c>
      <c r="I835" s="119"/>
      <c r="J835" s="119"/>
      <c r="K835" s="119"/>
      <c r="L835" s="119"/>
      <c r="M835" s="119"/>
      <c r="N835" s="119"/>
      <c r="O835" s="119"/>
      <c r="P835" s="119"/>
      <c r="Q835" s="44"/>
      <c r="R835" s="19" t="s">
        <v>401</v>
      </c>
      <c r="S835" s="49"/>
      <c r="T835" s="42"/>
      <c r="U835" s="19"/>
      <c r="V835" s="19"/>
      <c r="W835" s="43"/>
      <c r="X835" s="57">
        <f t="shared" si="34"/>
        <v>0</v>
      </c>
      <c r="Y835" s="119"/>
    </row>
    <row r="836" spans="1:25" ht="30">
      <c r="A836" s="44" t="s">
        <v>484</v>
      </c>
      <c r="B836" s="19" t="s">
        <v>465</v>
      </c>
      <c r="C836" s="49">
        <v>2026</v>
      </c>
      <c r="D836" s="46">
        <v>0</v>
      </c>
      <c r="E836" s="47">
        <v>0</v>
      </c>
      <c r="F836" s="47">
        <v>0</v>
      </c>
      <c r="G836" s="48">
        <v>0</v>
      </c>
      <c r="H836" s="57">
        <f t="shared" si="35"/>
        <v>0</v>
      </c>
      <c r="I836" s="119"/>
      <c r="J836" s="119"/>
      <c r="K836" s="119"/>
      <c r="L836" s="119"/>
      <c r="M836" s="119"/>
      <c r="N836" s="119"/>
      <c r="O836" s="119"/>
      <c r="P836" s="119"/>
      <c r="Q836" s="44" t="s">
        <v>484</v>
      </c>
      <c r="R836" s="19" t="s">
        <v>465</v>
      </c>
      <c r="S836" s="49">
        <v>2026</v>
      </c>
      <c r="T836" s="46">
        <v>0</v>
      </c>
      <c r="U836" s="47">
        <v>0</v>
      </c>
      <c r="V836" s="47">
        <v>0</v>
      </c>
      <c r="W836" s="48">
        <v>0</v>
      </c>
      <c r="X836" s="57">
        <f t="shared" si="34"/>
        <v>0</v>
      </c>
      <c r="Y836" s="119"/>
    </row>
    <row r="837" spans="1:25" ht="30">
      <c r="A837" s="44" t="s">
        <v>484</v>
      </c>
      <c r="B837" s="19" t="s">
        <v>465</v>
      </c>
      <c r="C837" s="49">
        <v>2027</v>
      </c>
      <c r="D837" s="46">
        <v>0</v>
      </c>
      <c r="E837" s="47">
        <v>0</v>
      </c>
      <c r="F837" s="47">
        <v>0</v>
      </c>
      <c r="G837" s="48">
        <v>0</v>
      </c>
      <c r="H837" s="57">
        <f t="shared" si="35"/>
        <v>0</v>
      </c>
      <c r="I837" s="119"/>
      <c r="J837" s="119"/>
      <c r="K837" s="119"/>
      <c r="L837" s="119"/>
      <c r="M837" s="119"/>
      <c r="N837" s="119"/>
      <c r="O837" s="119"/>
      <c r="P837" s="119"/>
      <c r="Q837" s="44" t="s">
        <v>484</v>
      </c>
      <c r="R837" s="19" t="s">
        <v>465</v>
      </c>
      <c r="S837" s="49">
        <v>2027</v>
      </c>
      <c r="T837" s="46">
        <v>0</v>
      </c>
      <c r="U837" s="47">
        <v>0</v>
      </c>
      <c r="V837" s="47">
        <v>0</v>
      </c>
      <c r="W837" s="48">
        <v>0</v>
      </c>
      <c r="X837" s="57">
        <f t="shared" si="34"/>
        <v>0</v>
      </c>
      <c r="Y837" s="119"/>
    </row>
    <row r="838" spans="1:25" ht="30">
      <c r="A838" s="44" t="s">
        <v>484</v>
      </c>
      <c r="B838" s="19" t="s">
        <v>465</v>
      </c>
      <c r="C838" s="49">
        <v>2028</v>
      </c>
      <c r="D838" s="46">
        <v>0</v>
      </c>
      <c r="E838" s="47">
        <v>0</v>
      </c>
      <c r="F838" s="47">
        <v>0</v>
      </c>
      <c r="G838" s="48">
        <v>0</v>
      </c>
      <c r="H838" s="57">
        <f t="shared" si="35"/>
        <v>0</v>
      </c>
      <c r="I838" s="119"/>
      <c r="J838" s="119"/>
      <c r="K838" s="119"/>
      <c r="L838" s="119"/>
      <c r="M838" s="119"/>
      <c r="N838" s="119"/>
      <c r="O838" s="119"/>
      <c r="P838" s="119"/>
      <c r="Q838" s="44" t="s">
        <v>484</v>
      </c>
      <c r="R838" s="19" t="s">
        <v>465</v>
      </c>
      <c r="S838" s="49">
        <v>2028</v>
      </c>
      <c r="T838" s="46">
        <v>0</v>
      </c>
      <c r="U838" s="47">
        <v>0</v>
      </c>
      <c r="V838" s="47">
        <v>0</v>
      </c>
      <c r="W838" s="48">
        <v>0</v>
      </c>
      <c r="X838" s="57">
        <f t="shared" si="34"/>
        <v>0</v>
      </c>
      <c r="Y838" s="119"/>
    </row>
    <row r="839" spans="1:25" ht="30">
      <c r="A839" s="44" t="s">
        <v>484</v>
      </c>
      <c r="B839" s="19" t="s">
        <v>465</v>
      </c>
      <c r="C839" s="49">
        <v>2029</v>
      </c>
      <c r="D839" s="46">
        <v>0</v>
      </c>
      <c r="E839" s="47">
        <v>0</v>
      </c>
      <c r="F839" s="47">
        <v>0</v>
      </c>
      <c r="G839" s="48">
        <v>0</v>
      </c>
      <c r="H839" s="57">
        <f t="shared" si="35"/>
        <v>0</v>
      </c>
      <c r="I839" s="119"/>
      <c r="J839" s="119"/>
      <c r="K839" s="119"/>
      <c r="L839" s="119"/>
      <c r="M839" s="119"/>
      <c r="N839" s="119"/>
      <c r="O839" s="119"/>
      <c r="P839" s="119"/>
      <c r="Q839" s="44" t="s">
        <v>484</v>
      </c>
      <c r="R839" s="19" t="s">
        <v>465</v>
      </c>
      <c r="S839" s="49">
        <v>2029</v>
      </c>
      <c r="T839" s="46">
        <v>0</v>
      </c>
      <c r="U839" s="47">
        <v>0</v>
      </c>
      <c r="V839" s="47">
        <v>0</v>
      </c>
      <c r="W839" s="48">
        <v>0</v>
      </c>
      <c r="X839" s="57">
        <f t="shared" si="34"/>
        <v>0</v>
      </c>
      <c r="Y839" s="119"/>
    </row>
    <row r="840" spans="1:25" ht="30">
      <c r="A840" s="44" t="s">
        <v>484</v>
      </c>
      <c r="B840" s="19" t="s">
        <v>465</v>
      </c>
      <c r="C840" s="49">
        <v>2030</v>
      </c>
      <c r="D840" s="46">
        <v>0</v>
      </c>
      <c r="E840" s="47">
        <v>0</v>
      </c>
      <c r="F840" s="47">
        <v>0</v>
      </c>
      <c r="G840" s="48">
        <v>0</v>
      </c>
      <c r="H840" s="57">
        <f t="shared" si="35"/>
        <v>0</v>
      </c>
      <c r="I840" s="119"/>
      <c r="J840" s="119"/>
      <c r="K840" s="119"/>
      <c r="L840" s="119"/>
      <c r="M840" s="119"/>
      <c r="N840" s="119"/>
      <c r="O840" s="119"/>
      <c r="P840" s="119"/>
      <c r="Q840" s="44" t="s">
        <v>484</v>
      </c>
      <c r="R840" s="19" t="s">
        <v>465</v>
      </c>
      <c r="S840" s="49">
        <v>2030</v>
      </c>
      <c r="T840" s="46">
        <v>0</v>
      </c>
      <c r="U840" s="47">
        <v>0</v>
      </c>
      <c r="V840" s="47">
        <v>0</v>
      </c>
      <c r="W840" s="48">
        <v>0</v>
      </c>
      <c r="X840" s="57">
        <f t="shared" si="34"/>
        <v>0</v>
      </c>
      <c r="Y840" s="119"/>
    </row>
    <row r="841" spans="1:25" ht="30">
      <c r="A841" s="44" t="s">
        <v>484</v>
      </c>
      <c r="B841" s="19" t="s">
        <v>465</v>
      </c>
      <c r="C841" s="49">
        <v>2031</v>
      </c>
      <c r="D841" s="46">
        <v>0</v>
      </c>
      <c r="E841" s="47">
        <v>0</v>
      </c>
      <c r="F841" s="47">
        <v>195.47983790078095</v>
      </c>
      <c r="G841" s="48">
        <v>0</v>
      </c>
      <c r="H841" s="57">
        <f t="shared" si="35"/>
        <v>139.53735756716483</v>
      </c>
      <c r="I841" s="119"/>
      <c r="J841" s="119"/>
      <c r="K841" s="119"/>
      <c r="L841" s="119"/>
      <c r="M841" s="119"/>
      <c r="N841" s="119"/>
      <c r="O841" s="119"/>
      <c r="P841" s="119"/>
      <c r="Q841" s="44" t="s">
        <v>484</v>
      </c>
      <c r="R841" s="19" t="s">
        <v>465</v>
      </c>
      <c r="S841" s="49">
        <v>2031</v>
      </c>
      <c r="T841" s="46">
        <v>0</v>
      </c>
      <c r="U841" s="47">
        <v>0</v>
      </c>
      <c r="V841" s="47">
        <v>195.47983790078095</v>
      </c>
      <c r="W841" s="48">
        <v>0</v>
      </c>
      <c r="X841" s="57">
        <f t="shared" si="34"/>
        <v>195.47983790078095</v>
      </c>
      <c r="Y841" s="119"/>
    </row>
    <row r="842" spans="1:25" ht="30">
      <c r="A842" s="44" t="s">
        <v>484</v>
      </c>
      <c r="B842" s="19" t="s">
        <v>465</v>
      </c>
      <c r="C842" s="49">
        <v>2032</v>
      </c>
      <c r="D842" s="46">
        <v>0</v>
      </c>
      <c r="E842" s="47">
        <v>0</v>
      </c>
      <c r="F842" s="47">
        <v>251.1219583208466</v>
      </c>
      <c r="G842" s="48">
        <v>0</v>
      </c>
      <c r="H842" s="57">
        <f t="shared" si="35"/>
        <v>167.56793530712844</v>
      </c>
      <c r="I842" s="119"/>
      <c r="J842" s="119"/>
      <c r="K842" s="119"/>
      <c r="L842" s="119"/>
      <c r="M842" s="119"/>
      <c r="N842" s="119"/>
      <c r="O842" s="119"/>
      <c r="P842" s="119"/>
      <c r="Q842" s="44" t="s">
        <v>484</v>
      </c>
      <c r="R842" s="19" t="s">
        <v>465</v>
      </c>
      <c r="S842" s="49">
        <v>2032</v>
      </c>
      <c r="T842" s="46">
        <v>0</v>
      </c>
      <c r="U842" s="47">
        <v>0</v>
      </c>
      <c r="V842" s="47">
        <v>450.51139297964318</v>
      </c>
      <c r="W842" s="48">
        <v>0</v>
      </c>
      <c r="X842" s="57">
        <f t="shared" si="34"/>
        <v>450.51139297964318</v>
      </c>
      <c r="Y842" s="119"/>
    </row>
    <row r="843" spans="1:25" ht="30">
      <c r="A843" s="44" t="s">
        <v>484</v>
      </c>
      <c r="B843" s="19" t="s">
        <v>465</v>
      </c>
      <c r="C843" s="49">
        <v>2033</v>
      </c>
      <c r="D843" s="46">
        <v>0</v>
      </c>
      <c r="E843" s="47">
        <v>0</v>
      </c>
      <c r="F843" s="47">
        <v>0</v>
      </c>
      <c r="G843" s="48">
        <v>0</v>
      </c>
      <c r="H843" s="57">
        <f t="shared" si="35"/>
        <v>0</v>
      </c>
      <c r="I843" s="119"/>
      <c r="J843" s="119"/>
      <c r="K843" s="119"/>
      <c r="L843" s="119"/>
      <c r="M843" s="119"/>
      <c r="N843" s="119"/>
      <c r="O843" s="119"/>
      <c r="P843" s="119"/>
      <c r="Q843" s="44" t="s">
        <v>484</v>
      </c>
      <c r="R843" s="19" t="s">
        <v>465</v>
      </c>
      <c r="S843" s="49">
        <v>2033</v>
      </c>
      <c r="T843" s="46">
        <v>0</v>
      </c>
      <c r="U843" s="47">
        <v>0</v>
      </c>
      <c r="V843" s="47">
        <v>459.52162083923605</v>
      </c>
      <c r="W843" s="48">
        <v>0</v>
      </c>
      <c r="X843" s="57">
        <f t="shared" si="34"/>
        <v>459.52162083923605</v>
      </c>
      <c r="Y843" s="119"/>
    </row>
    <row r="844" spans="1:25" ht="30">
      <c r="A844" s="44" t="s">
        <v>484</v>
      </c>
      <c r="B844" s="19" t="s">
        <v>465</v>
      </c>
      <c r="C844" s="49">
        <v>2034</v>
      </c>
      <c r="D844" s="46">
        <v>0</v>
      </c>
      <c r="E844" s="47">
        <v>0</v>
      </c>
      <c r="F844" s="47">
        <v>0</v>
      </c>
      <c r="G844" s="48">
        <v>0</v>
      </c>
      <c r="H844" s="57">
        <f t="shared" si="35"/>
        <v>0</v>
      </c>
      <c r="I844" s="119"/>
      <c r="J844" s="119"/>
      <c r="K844" s="119"/>
      <c r="L844" s="119"/>
      <c r="M844" s="119"/>
      <c r="N844" s="119"/>
      <c r="O844" s="119"/>
      <c r="P844" s="119"/>
      <c r="Q844" s="44" t="s">
        <v>484</v>
      </c>
      <c r="R844" s="19" t="s">
        <v>465</v>
      </c>
      <c r="S844" s="49">
        <v>2034</v>
      </c>
      <c r="T844" s="46">
        <v>0</v>
      </c>
      <c r="U844" s="47">
        <v>0</v>
      </c>
      <c r="V844" s="47">
        <v>468.71205325602079</v>
      </c>
      <c r="W844" s="48">
        <v>0</v>
      </c>
      <c r="X844" s="57">
        <f t="shared" ref="X844:X900" si="36">SUM(T844:W844)</f>
        <v>468.71205325602079</v>
      </c>
      <c r="Y844" s="119"/>
    </row>
    <row r="845" spans="1:25" ht="30">
      <c r="A845" s="44" t="s">
        <v>484</v>
      </c>
      <c r="B845" s="19" t="s">
        <v>465</v>
      </c>
      <c r="C845" s="49">
        <v>2035</v>
      </c>
      <c r="D845" s="46">
        <v>0</v>
      </c>
      <c r="E845" s="47">
        <v>0</v>
      </c>
      <c r="F845" s="47">
        <v>0</v>
      </c>
      <c r="G845" s="48">
        <v>0</v>
      </c>
      <c r="H845" s="57">
        <f t="shared" ref="H845:H900" si="37">SUM(D845:G845)/((1+$L$7)^(C845-C$11))</f>
        <v>0</v>
      </c>
      <c r="I845" s="119"/>
      <c r="J845" s="119"/>
      <c r="K845" s="119"/>
      <c r="L845" s="119"/>
      <c r="M845" s="119"/>
      <c r="N845" s="119"/>
      <c r="O845" s="119"/>
      <c r="P845" s="119"/>
      <c r="Q845" s="44" t="s">
        <v>484</v>
      </c>
      <c r="R845" s="19" t="s">
        <v>465</v>
      </c>
      <c r="S845" s="49">
        <v>2035</v>
      </c>
      <c r="T845" s="46">
        <v>0</v>
      </c>
      <c r="U845" s="47">
        <v>0</v>
      </c>
      <c r="V845" s="47">
        <v>478.08629432114122</v>
      </c>
      <c r="W845" s="48">
        <v>0</v>
      </c>
      <c r="X845" s="57">
        <f t="shared" si="36"/>
        <v>478.08629432114122</v>
      </c>
      <c r="Y845" s="119">
        <f>NPV($Y$10,X836:X845)/((1-(1+$Y$10)^-10)/$Y$10)</f>
        <v>167.59646817188568</v>
      </c>
    </row>
    <row r="846" spans="1:25">
      <c r="A846" s="44"/>
      <c r="B846" s="19" t="s">
        <v>401</v>
      </c>
      <c r="C846" s="49"/>
      <c r="D846" s="46" t="s">
        <v>401</v>
      </c>
      <c r="E846" s="47" t="s">
        <v>401</v>
      </c>
      <c r="F846" s="47" t="s">
        <v>401</v>
      </c>
      <c r="G846" s="48" t="s">
        <v>401</v>
      </c>
      <c r="H846" s="57">
        <f t="shared" si="37"/>
        <v>0</v>
      </c>
      <c r="I846" s="119"/>
      <c r="J846" s="119"/>
      <c r="K846" s="119"/>
      <c r="L846" s="119"/>
      <c r="M846" s="119"/>
      <c r="N846" s="119"/>
      <c r="O846" s="119"/>
      <c r="P846" s="119"/>
      <c r="Q846" s="44"/>
      <c r="R846" s="19" t="s">
        <v>401</v>
      </c>
      <c r="S846" s="49"/>
      <c r="T846" s="46"/>
      <c r="U846" s="47"/>
      <c r="V846" s="47"/>
      <c r="W846" s="48"/>
      <c r="X846" s="57">
        <f t="shared" si="36"/>
        <v>0</v>
      </c>
      <c r="Y846" s="119"/>
    </row>
    <row r="847" spans="1:25" ht="30">
      <c r="A847" s="44" t="s">
        <v>484</v>
      </c>
      <c r="B847" s="19" t="s">
        <v>473</v>
      </c>
      <c r="C847" s="49">
        <v>2026</v>
      </c>
      <c r="D847" s="46">
        <v>0</v>
      </c>
      <c r="E847" s="47">
        <v>0</v>
      </c>
      <c r="F847" s="47">
        <v>0</v>
      </c>
      <c r="G847" s="48">
        <v>0</v>
      </c>
      <c r="H847" s="57">
        <f t="shared" si="37"/>
        <v>0</v>
      </c>
      <c r="I847" s="119"/>
      <c r="J847" s="119"/>
      <c r="K847" s="119"/>
      <c r="L847" s="119"/>
      <c r="M847" s="119"/>
      <c r="N847" s="119"/>
      <c r="O847" s="119"/>
      <c r="P847" s="119"/>
      <c r="Q847" s="44" t="s">
        <v>484</v>
      </c>
      <c r="R847" s="19" t="s">
        <v>472</v>
      </c>
      <c r="S847" s="49">
        <v>2026</v>
      </c>
      <c r="T847" s="46">
        <v>0</v>
      </c>
      <c r="U847" s="47">
        <v>0</v>
      </c>
      <c r="V847" s="47">
        <v>0</v>
      </c>
      <c r="W847" s="48">
        <v>0</v>
      </c>
      <c r="X847" s="57">
        <f t="shared" si="36"/>
        <v>0</v>
      </c>
      <c r="Y847" s="119"/>
    </row>
    <row r="848" spans="1:25" ht="30">
      <c r="A848" s="44" t="s">
        <v>484</v>
      </c>
      <c r="B848" s="19" t="s">
        <v>473</v>
      </c>
      <c r="C848" s="49">
        <v>2027</v>
      </c>
      <c r="D848" s="46">
        <v>0</v>
      </c>
      <c r="E848" s="47">
        <v>0</v>
      </c>
      <c r="F848" s="47">
        <v>0</v>
      </c>
      <c r="G848" s="48">
        <v>0</v>
      </c>
      <c r="H848" s="57">
        <f t="shared" si="37"/>
        <v>0</v>
      </c>
      <c r="I848" s="119"/>
      <c r="J848" s="119"/>
      <c r="K848" s="119"/>
      <c r="L848" s="119"/>
      <c r="M848" s="119"/>
      <c r="N848" s="119"/>
      <c r="O848" s="119"/>
      <c r="P848" s="119"/>
      <c r="Q848" s="44" t="s">
        <v>484</v>
      </c>
      <c r="R848" s="19" t="s">
        <v>472</v>
      </c>
      <c r="S848" s="49">
        <v>2027</v>
      </c>
      <c r="T848" s="46">
        <v>0</v>
      </c>
      <c r="U848" s="47">
        <v>0</v>
      </c>
      <c r="V848" s="47">
        <v>0</v>
      </c>
      <c r="W848" s="48">
        <v>0</v>
      </c>
      <c r="X848" s="57">
        <f t="shared" si="36"/>
        <v>0</v>
      </c>
      <c r="Y848" s="119"/>
    </row>
    <row r="849" spans="1:25" ht="30">
      <c r="A849" s="44" t="s">
        <v>484</v>
      </c>
      <c r="B849" s="19" t="s">
        <v>473</v>
      </c>
      <c r="C849" s="49">
        <v>2028</v>
      </c>
      <c r="D849" s="46">
        <v>0</v>
      </c>
      <c r="E849" s="47">
        <v>0</v>
      </c>
      <c r="F849" s="47">
        <v>0</v>
      </c>
      <c r="G849" s="48">
        <v>0</v>
      </c>
      <c r="H849" s="57">
        <f t="shared" si="37"/>
        <v>0</v>
      </c>
      <c r="I849" s="119"/>
      <c r="J849" s="119"/>
      <c r="K849" s="119"/>
      <c r="L849" s="119"/>
      <c r="M849" s="119"/>
      <c r="N849" s="119"/>
      <c r="O849" s="119"/>
      <c r="P849" s="119"/>
      <c r="Q849" s="44" t="s">
        <v>484</v>
      </c>
      <c r="R849" s="19" t="s">
        <v>472</v>
      </c>
      <c r="S849" s="49">
        <v>2028</v>
      </c>
      <c r="T849" s="46">
        <v>0</v>
      </c>
      <c r="U849" s="47">
        <v>0</v>
      </c>
      <c r="V849" s="47">
        <v>0</v>
      </c>
      <c r="W849" s="48">
        <v>0</v>
      </c>
      <c r="X849" s="57">
        <f t="shared" si="36"/>
        <v>0</v>
      </c>
      <c r="Y849" s="119"/>
    </row>
    <row r="850" spans="1:25" ht="30">
      <c r="A850" s="44" t="s">
        <v>484</v>
      </c>
      <c r="B850" s="19" t="s">
        <v>473</v>
      </c>
      <c r="C850" s="49">
        <v>2029</v>
      </c>
      <c r="D850" s="46">
        <v>0</v>
      </c>
      <c r="E850" s="47">
        <v>0</v>
      </c>
      <c r="F850" s="47">
        <v>0</v>
      </c>
      <c r="G850" s="48">
        <v>0</v>
      </c>
      <c r="H850" s="57">
        <f t="shared" si="37"/>
        <v>0</v>
      </c>
      <c r="I850" s="119"/>
      <c r="J850" s="119"/>
      <c r="K850" s="119"/>
      <c r="L850" s="119"/>
      <c r="M850" s="119"/>
      <c r="N850" s="119"/>
      <c r="O850" s="119"/>
      <c r="P850" s="119"/>
      <c r="Q850" s="44" t="s">
        <v>484</v>
      </c>
      <c r="R850" s="19" t="s">
        <v>472</v>
      </c>
      <c r="S850" s="49">
        <v>2029</v>
      </c>
      <c r="T850" s="46">
        <v>0</v>
      </c>
      <c r="U850" s="47">
        <v>0</v>
      </c>
      <c r="V850" s="47">
        <v>0</v>
      </c>
      <c r="W850" s="48">
        <v>0</v>
      </c>
      <c r="X850" s="57">
        <f t="shared" si="36"/>
        <v>0</v>
      </c>
      <c r="Y850" s="119"/>
    </row>
    <row r="851" spans="1:25" ht="30">
      <c r="A851" s="44" t="s">
        <v>484</v>
      </c>
      <c r="B851" s="19" t="s">
        <v>473</v>
      </c>
      <c r="C851" s="49">
        <v>2030</v>
      </c>
      <c r="D851" s="46">
        <v>0</v>
      </c>
      <c r="E851" s="47">
        <v>0</v>
      </c>
      <c r="F851" s="47">
        <v>0</v>
      </c>
      <c r="G851" s="48">
        <v>0</v>
      </c>
      <c r="H851" s="57">
        <f t="shared" si="37"/>
        <v>0</v>
      </c>
      <c r="I851" s="119"/>
      <c r="J851" s="119"/>
      <c r="K851" s="119"/>
      <c r="L851" s="119"/>
      <c r="M851" s="119"/>
      <c r="N851" s="119"/>
      <c r="O851" s="119"/>
      <c r="P851" s="119"/>
      <c r="Q851" s="44" t="s">
        <v>484</v>
      </c>
      <c r="R851" s="19" t="s">
        <v>472</v>
      </c>
      <c r="S851" s="49">
        <v>2030</v>
      </c>
      <c r="T851" s="46">
        <v>0</v>
      </c>
      <c r="U851" s="47">
        <v>0</v>
      </c>
      <c r="V851" s="47">
        <v>0</v>
      </c>
      <c r="W851" s="48">
        <v>0</v>
      </c>
      <c r="X851" s="57">
        <f t="shared" si="36"/>
        <v>0</v>
      </c>
      <c r="Y851" s="119"/>
    </row>
    <row r="852" spans="1:25" ht="30">
      <c r="A852" s="44" t="s">
        <v>484</v>
      </c>
      <c r="B852" s="19" t="s">
        <v>473</v>
      </c>
      <c r="C852" s="49">
        <v>2031</v>
      </c>
      <c r="D852" s="46">
        <v>0</v>
      </c>
      <c r="E852" s="47">
        <v>0</v>
      </c>
      <c r="F852" s="47">
        <v>0</v>
      </c>
      <c r="G852" s="48">
        <v>0</v>
      </c>
      <c r="H852" s="57">
        <f t="shared" si="37"/>
        <v>0</v>
      </c>
      <c r="I852" s="119"/>
      <c r="J852" s="119"/>
      <c r="K852" s="119"/>
      <c r="L852" s="119"/>
      <c r="M852" s="119"/>
      <c r="N852" s="119"/>
      <c r="O852" s="119"/>
      <c r="P852" s="119"/>
      <c r="Q852" s="44" t="s">
        <v>484</v>
      </c>
      <c r="R852" s="19" t="s">
        <v>472</v>
      </c>
      <c r="S852" s="49">
        <v>2031</v>
      </c>
      <c r="T852" s="46">
        <v>0</v>
      </c>
      <c r="U852" s="47">
        <v>0</v>
      </c>
      <c r="V852" s="47">
        <v>0</v>
      </c>
      <c r="W852" s="48">
        <v>0</v>
      </c>
      <c r="X852" s="57">
        <f t="shared" si="36"/>
        <v>0</v>
      </c>
      <c r="Y852" s="119"/>
    </row>
    <row r="853" spans="1:25" ht="30">
      <c r="A853" s="44" t="s">
        <v>484</v>
      </c>
      <c r="B853" s="19" t="s">
        <v>473</v>
      </c>
      <c r="C853" s="49">
        <v>2032</v>
      </c>
      <c r="D853" s="46">
        <v>0</v>
      </c>
      <c r="E853" s="47">
        <v>0</v>
      </c>
      <c r="F853" s="47">
        <v>0</v>
      </c>
      <c r="G853" s="48">
        <v>2.5988174276085476</v>
      </c>
      <c r="H853" s="57">
        <f t="shared" si="37"/>
        <v>1.7341313897694159</v>
      </c>
      <c r="I853" s="119"/>
      <c r="J853" s="119"/>
      <c r="K853" s="119"/>
      <c r="L853" s="119"/>
      <c r="M853" s="119"/>
      <c r="N853" s="119"/>
      <c r="O853" s="119"/>
      <c r="P853" s="119"/>
      <c r="Q853" s="44" t="s">
        <v>484</v>
      </c>
      <c r="R853" s="19" t="s">
        <v>472</v>
      </c>
      <c r="S853" s="49">
        <v>2032</v>
      </c>
      <c r="T853" s="46">
        <v>0</v>
      </c>
      <c r="U853" s="47">
        <v>0</v>
      </c>
      <c r="V853" s="47">
        <v>0</v>
      </c>
      <c r="W853" s="48">
        <v>2.5988174276085476</v>
      </c>
      <c r="X853" s="57">
        <f t="shared" si="36"/>
        <v>2.5988174276085476</v>
      </c>
      <c r="Y853" s="119"/>
    </row>
    <row r="854" spans="1:25" ht="30">
      <c r="A854" s="44" t="s">
        <v>484</v>
      </c>
      <c r="B854" s="19" t="s">
        <v>473</v>
      </c>
      <c r="C854" s="49">
        <v>2033</v>
      </c>
      <c r="D854" s="46">
        <v>0</v>
      </c>
      <c r="E854" s="47">
        <v>0</v>
      </c>
      <c r="F854" s="47">
        <v>0</v>
      </c>
      <c r="G854" s="48">
        <v>60.734223594497486</v>
      </c>
      <c r="H854" s="57">
        <f t="shared" si="37"/>
        <v>37.884138693927838</v>
      </c>
      <c r="I854" s="119"/>
      <c r="J854" s="119"/>
      <c r="K854" s="119"/>
      <c r="L854" s="119"/>
      <c r="M854" s="119"/>
      <c r="N854" s="119"/>
      <c r="O854" s="119"/>
      <c r="P854" s="119"/>
      <c r="Q854" s="44" t="s">
        <v>484</v>
      </c>
      <c r="R854" s="19" t="s">
        <v>472</v>
      </c>
      <c r="S854" s="49">
        <v>2033</v>
      </c>
      <c r="T854" s="46">
        <v>0</v>
      </c>
      <c r="U854" s="47">
        <v>0</v>
      </c>
      <c r="V854" s="47">
        <v>0</v>
      </c>
      <c r="W854" s="48">
        <v>63.385017370658204</v>
      </c>
      <c r="X854" s="57">
        <f t="shared" si="36"/>
        <v>63.385017370658204</v>
      </c>
      <c r="Y854" s="119"/>
    </row>
    <row r="855" spans="1:25" ht="30">
      <c r="A855" s="44" t="s">
        <v>484</v>
      </c>
      <c r="B855" s="19" t="s">
        <v>473</v>
      </c>
      <c r="C855" s="49">
        <v>2034</v>
      </c>
      <c r="D855" s="46">
        <v>0</v>
      </c>
      <c r="E855" s="47">
        <v>0</v>
      </c>
      <c r="F855" s="47">
        <v>0</v>
      </c>
      <c r="G855" s="48">
        <v>0</v>
      </c>
      <c r="H855" s="57">
        <f t="shared" si="37"/>
        <v>0</v>
      </c>
      <c r="I855" s="119"/>
      <c r="J855" s="119"/>
      <c r="K855" s="119"/>
      <c r="L855" s="119"/>
      <c r="M855" s="119"/>
      <c r="N855" s="119"/>
      <c r="O855" s="119"/>
      <c r="P855" s="119"/>
      <c r="Q855" s="44" t="s">
        <v>484</v>
      </c>
      <c r="R855" s="19" t="s">
        <v>472</v>
      </c>
      <c r="S855" s="49">
        <v>2034</v>
      </c>
      <c r="T855" s="46">
        <v>0</v>
      </c>
      <c r="U855" s="47">
        <v>0</v>
      </c>
      <c r="V855" s="47">
        <v>0</v>
      </c>
      <c r="W855" s="48">
        <v>64.652717718071372</v>
      </c>
      <c r="X855" s="57">
        <f t="shared" si="36"/>
        <v>64.652717718071372</v>
      </c>
      <c r="Y855" s="119"/>
    </row>
    <row r="856" spans="1:25" ht="30">
      <c r="A856" s="44" t="s">
        <v>484</v>
      </c>
      <c r="B856" s="19" t="s">
        <v>473</v>
      </c>
      <c r="C856" s="49">
        <v>2035</v>
      </c>
      <c r="D856" s="46">
        <v>0</v>
      </c>
      <c r="E856" s="47">
        <v>0</v>
      </c>
      <c r="F856" s="47">
        <v>0</v>
      </c>
      <c r="G856" s="48">
        <v>0</v>
      </c>
      <c r="H856" s="57">
        <f t="shared" si="37"/>
        <v>0</v>
      </c>
      <c r="I856" s="119"/>
      <c r="J856" s="119"/>
      <c r="K856" s="119"/>
      <c r="L856" s="119"/>
      <c r="M856" s="119"/>
      <c r="N856" s="119"/>
      <c r="O856" s="119"/>
      <c r="P856" s="119"/>
      <c r="Q856" s="44" t="s">
        <v>484</v>
      </c>
      <c r="R856" s="19" t="s">
        <v>472</v>
      </c>
      <c r="S856" s="49">
        <v>2035</v>
      </c>
      <c r="T856" s="46">
        <v>0</v>
      </c>
      <c r="U856" s="47">
        <v>0</v>
      </c>
      <c r="V856" s="47">
        <v>0</v>
      </c>
      <c r="W856" s="48">
        <v>65.945772072432803</v>
      </c>
      <c r="X856" s="57">
        <f t="shared" si="36"/>
        <v>65.945772072432803</v>
      </c>
      <c r="Y856" s="119">
        <f>NPV($Y$10,X847:X856)/((1-(1+$Y$10)^-10)/$Y$10)</f>
        <v>15.277018085344922</v>
      </c>
    </row>
    <row r="857" spans="1:25">
      <c r="A857" s="44"/>
      <c r="B857" s="19" t="s">
        <v>401</v>
      </c>
      <c r="C857" s="49"/>
      <c r="D857" s="42" t="s">
        <v>401</v>
      </c>
      <c r="E857" s="19" t="s">
        <v>401</v>
      </c>
      <c r="F857" s="19" t="s">
        <v>401</v>
      </c>
      <c r="G857" s="43" t="s">
        <v>401</v>
      </c>
      <c r="H857" s="57">
        <f t="shared" si="37"/>
        <v>0</v>
      </c>
      <c r="I857" s="119"/>
      <c r="J857" s="119"/>
      <c r="K857" s="119"/>
      <c r="L857" s="119"/>
      <c r="M857" s="119"/>
      <c r="N857" s="119"/>
      <c r="O857" s="119"/>
      <c r="P857" s="119"/>
      <c r="Q857" s="44"/>
      <c r="R857" s="19" t="s">
        <v>401</v>
      </c>
      <c r="S857" s="49"/>
      <c r="T857" s="42"/>
      <c r="U857" s="19"/>
      <c r="V857" s="19"/>
      <c r="W857" s="43"/>
      <c r="X857" s="57">
        <f t="shared" si="36"/>
        <v>0</v>
      </c>
      <c r="Y857" s="119"/>
    </row>
    <row r="858" spans="1:25" ht="30">
      <c r="A858" s="44" t="s">
        <v>484</v>
      </c>
      <c r="B858" s="19" t="s">
        <v>472</v>
      </c>
      <c r="C858" s="49">
        <v>2026</v>
      </c>
      <c r="D858" s="46">
        <v>0</v>
      </c>
      <c r="E858" s="47">
        <v>0</v>
      </c>
      <c r="F858" s="47">
        <v>0</v>
      </c>
      <c r="G858" s="48">
        <v>0</v>
      </c>
      <c r="H858" s="57">
        <f t="shared" si="37"/>
        <v>0</v>
      </c>
      <c r="I858" s="119"/>
      <c r="J858" s="119"/>
      <c r="K858" s="119"/>
      <c r="L858" s="119"/>
      <c r="M858" s="119"/>
      <c r="N858" s="119"/>
      <c r="O858" s="119"/>
      <c r="P858" s="119"/>
      <c r="Q858" s="44" t="s">
        <v>484</v>
      </c>
      <c r="R858" s="19" t="s">
        <v>472</v>
      </c>
      <c r="S858" s="49">
        <v>2026</v>
      </c>
      <c r="T858" s="46">
        <v>0</v>
      </c>
      <c r="U858" s="47">
        <v>0</v>
      </c>
      <c r="V858" s="47">
        <v>0</v>
      </c>
      <c r="W858" s="48">
        <v>0</v>
      </c>
      <c r="X858" s="57">
        <f t="shared" si="36"/>
        <v>0</v>
      </c>
      <c r="Y858" s="119"/>
    </row>
    <row r="859" spans="1:25" ht="30">
      <c r="A859" s="44" t="s">
        <v>484</v>
      </c>
      <c r="B859" s="19" t="s">
        <v>472</v>
      </c>
      <c r="C859" s="49">
        <v>2027</v>
      </c>
      <c r="D859" s="46">
        <v>0</v>
      </c>
      <c r="E859" s="47">
        <v>0</v>
      </c>
      <c r="F859" s="47">
        <v>0</v>
      </c>
      <c r="G859" s="48">
        <v>0</v>
      </c>
      <c r="H859" s="57">
        <f t="shared" si="37"/>
        <v>0</v>
      </c>
      <c r="I859" s="119"/>
      <c r="J859" s="119"/>
      <c r="K859" s="119"/>
      <c r="L859" s="119"/>
      <c r="M859" s="119"/>
      <c r="N859" s="119"/>
      <c r="O859" s="119"/>
      <c r="P859" s="119"/>
      <c r="Q859" s="44" t="s">
        <v>484</v>
      </c>
      <c r="R859" s="19" t="s">
        <v>472</v>
      </c>
      <c r="S859" s="49">
        <v>2027</v>
      </c>
      <c r="T859" s="46">
        <v>0</v>
      </c>
      <c r="U859" s="47">
        <v>0</v>
      </c>
      <c r="V859" s="47">
        <v>0</v>
      </c>
      <c r="W859" s="48">
        <v>0</v>
      </c>
      <c r="X859" s="57">
        <f t="shared" si="36"/>
        <v>0</v>
      </c>
      <c r="Y859" s="119"/>
    </row>
    <row r="860" spans="1:25" ht="30">
      <c r="A860" s="44" t="s">
        <v>484</v>
      </c>
      <c r="B860" s="19" t="s">
        <v>472</v>
      </c>
      <c r="C860" s="49">
        <v>2028</v>
      </c>
      <c r="D860" s="46">
        <v>0</v>
      </c>
      <c r="E860" s="47">
        <v>0</v>
      </c>
      <c r="F860" s="47">
        <v>0</v>
      </c>
      <c r="G860" s="48">
        <v>0</v>
      </c>
      <c r="H860" s="57">
        <f t="shared" si="37"/>
        <v>0</v>
      </c>
      <c r="I860" s="119"/>
      <c r="J860" s="119"/>
      <c r="K860" s="119"/>
      <c r="L860" s="119"/>
      <c r="M860" s="119"/>
      <c r="N860" s="119"/>
      <c r="O860" s="119"/>
      <c r="P860" s="119"/>
      <c r="Q860" s="44" t="s">
        <v>484</v>
      </c>
      <c r="R860" s="19" t="s">
        <v>472</v>
      </c>
      <c r="S860" s="49">
        <v>2028</v>
      </c>
      <c r="T860" s="46">
        <v>0</v>
      </c>
      <c r="U860" s="47">
        <v>0</v>
      </c>
      <c r="V860" s="47">
        <v>0</v>
      </c>
      <c r="W860" s="48">
        <v>0</v>
      </c>
      <c r="X860" s="57">
        <f t="shared" si="36"/>
        <v>0</v>
      </c>
      <c r="Y860" s="119"/>
    </row>
    <row r="861" spans="1:25" ht="30">
      <c r="A861" s="44" t="s">
        <v>484</v>
      </c>
      <c r="B861" s="19" t="s">
        <v>472</v>
      </c>
      <c r="C861" s="49">
        <v>2029</v>
      </c>
      <c r="D861" s="46">
        <v>0</v>
      </c>
      <c r="E861" s="47">
        <v>10.117375208559723</v>
      </c>
      <c r="F861" s="47">
        <v>0</v>
      </c>
      <c r="G861" s="48">
        <v>0</v>
      </c>
      <c r="H861" s="57">
        <f t="shared" si="37"/>
        <v>8.2645834814187786</v>
      </c>
      <c r="I861" s="119"/>
      <c r="J861" s="119"/>
      <c r="K861" s="119"/>
      <c r="L861" s="119"/>
      <c r="M861" s="119"/>
      <c r="N861" s="119"/>
      <c r="O861" s="119"/>
      <c r="P861" s="119"/>
      <c r="Q861" s="44" t="s">
        <v>484</v>
      </c>
      <c r="R861" s="19" t="s">
        <v>472</v>
      </c>
      <c r="S861" s="49">
        <v>2029</v>
      </c>
      <c r="T861" s="46">
        <v>0</v>
      </c>
      <c r="U861" s="47">
        <v>10.117375208559723</v>
      </c>
      <c r="V861" s="47">
        <v>0</v>
      </c>
      <c r="W861" s="48">
        <v>0</v>
      </c>
      <c r="X861" s="57">
        <f t="shared" si="36"/>
        <v>10.117375208559723</v>
      </c>
      <c r="Y861" s="119"/>
    </row>
    <row r="862" spans="1:25" ht="30">
      <c r="A862" s="44" t="s">
        <v>484</v>
      </c>
      <c r="B862" s="19" t="s">
        <v>472</v>
      </c>
      <c r="C862" s="49">
        <v>2030</v>
      </c>
      <c r="D862" s="46">
        <v>0</v>
      </c>
      <c r="E862" s="47">
        <v>32.888270359058808</v>
      </c>
      <c r="F862" s="47">
        <v>40.578768138594761</v>
      </c>
      <c r="G862" s="48">
        <v>0</v>
      </c>
      <c r="H862" s="57">
        <f t="shared" si="37"/>
        <v>56.100063506939385</v>
      </c>
      <c r="I862" s="119"/>
      <c r="J862" s="119"/>
      <c r="K862" s="119"/>
      <c r="L862" s="119"/>
      <c r="M862" s="119"/>
      <c r="N862" s="119"/>
      <c r="O862" s="119"/>
      <c r="P862" s="119"/>
      <c r="Q862" s="44" t="s">
        <v>484</v>
      </c>
      <c r="R862" s="19" t="s">
        <v>472</v>
      </c>
      <c r="S862" s="49">
        <v>2030</v>
      </c>
      <c r="T862" s="46">
        <v>0</v>
      </c>
      <c r="U862" s="47">
        <v>43.20799307178973</v>
      </c>
      <c r="V862" s="47">
        <v>40.578768138594761</v>
      </c>
      <c r="W862" s="48">
        <v>0</v>
      </c>
      <c r="X862" s="57">
        <f t="shared" si="36"/>
        <v>83.786761210384498</v>
      </c>
      <c r="Y862" s="119"/>
    </row>
    <row r="863" spans="1:25" ht="30">
      <c r="A863" s="44" t="s">
        <v>484</v>
      </c>
      <c r="B863" s="19" t="s">
        <v>472</v>
      </c>
      <c r="C863" s="49">
        <v>2031</v>
      </c>
      <c r="D863" s="46">
        <v>0</v>
      </c>
      <c r="E863" s="47">
        <v>68.204800737748158</v>
      </c>
      <c r="F863" s="47">
        <v>65.299828624119826</v>
      </c>
      <c r="G863" s="48">
        <v>0</v>
      </c>
      <c r="H863" s="57">
        <f t="shared" si="37"/>
        <v>95.298233332862623</v>
      </c>
      <c r="I863" s="119"/>
      <c r="J863" s="119"/>
      <c r="K863" s="119"/>
      <c r="L863" s="119"/>
      <c r="M863" s="119"/>
      <c r="N863" s="119"/>
      <c r="O863" s="119"/>
      <c r="P863" s="119"/>
      <c r="Q863" s="44" t="s">
        <v>484</v>
      </c>
      <c r="R863" s="19" t="s">
        <v>472</v>
      </c>
      <c r="S863" s="49">
        <v>2031</v>
      </c>
      <c r="T863" s="46">
        <v>0</v>
      </c>
      <c r="U863" s="47">
        <v>112.27695367097368</v>
      </c>
      <c r="V863" s="47">
        <v>106.69017212548648</v>
      </c>
      <c r="W863" s="48">
        <v>0</v>
      </c>
      <c r="X863" s="57">
        <f t="shared" si="36"/>
        <v>218.96712579646015</v>
      </c>
      <c r="Y863" s="119"/>
    </row>
    <row r="864" spans="1:25" ht="30">
      <c r="A864" s="44" t="s">
        <v>484</v>
      </c>
      <c r="B864" s="19" t="s">
        <v>472</v>
      </c>
      <c r="C864" s="49">
        <v>2032</v>
      </c>
      <c r="D864" s="46">
        <v>0</v>
      </c>
      <c r="E864" s="47">
        <v>87.618873189571119</v>
      </c>
      <c r="F864" s="47">
        <v>83.887018826094163</v>
      </c>
      <c r="G864" s="48">
        <v>0</v>
      </c>
      <c r="H864" s="57">
        <f t="shared" si="37"/>
        <v>114.44195645111225</v>
      </c>
      <c r="I864" s="119"/>
      <c r="J864" s="119"/>
      <c r="K864" s="119"/>
      <c r="L864" s="119"/>
      <c r="M864" s="119"/>
      <c r="N864" s="119"/>
      <c r="O864" s="119"/>
      <c r="P864" s="119"/>
      <c r="Q864" s="44" t="s">
        <v>484</v>
      </c>
      <c r="R864" s="19" t="s">
        <v>472</v>
      </c>
      <c r="S864" s="49">
        <v>2032</v>
      </c>
      <c r="T864" s="46">
        <v>0</v>
      </c>
      <c r="U864" s="47">
        <v>202.14136593396427</v>
      </c>
      <c r="V864" s="47">
        <v>192.71099439409039</v>
      </c>
      <c r="W864" s="48">
        <v>0</v>
      </c>
      <c r="X864" s="57">
        <f t="shared" si="36"/>
        <v>394.85236032805466</v>
      </c>
      <c r="Y864" s="119"/>
    </row>
    <row r="865" spans="1:25" ht="30">
      <c r="A865" s="44" t="s">
        <v>484</v>
      </c>
      <c r="B865" s="19" t="s">
        <v>472</v>
      </c>
      <c r="C865" s="49">
        <v>2033</v>
      </c>
      <c r="D865" s="46">
        <v>0</v>
      </c>
      <c r="E865" s="47">
        <v>17.761188124700336</v>
      </c>
      <c r="F865" s="47">
        <v>17.004705360304467</v>
      </c>
      <c r="G865" s="48">
        <v>0</v>
      </c>
      <c r="H865" s="57">
        <f t="shared" si="37"/>
        <v>21.685893926922134</v>
      </c>
      <c r="I865" s="119"/>
      <c r="J865" s="119"/>
      <c r="K865" s="119"/>
      <c r="L865" s="119"/>
      <c r="M865" s="119"/>
      <c r="N865" s="119"/>
      <c r="O865" s="119"/>
      <c r="P865" s="119"/>
      <c r="Q865" s="44" t="s">
        <v>484</v>
      </c>
      <c r="R865" s="19" t="s">
        <v>472</v>
      </c>
      <c r="S865" s="49">
        <v>2033</v>
      </c>
      <c r="T865" s="46">
        <v>0</v>
      </c>
      <c r="U865" s="47">
        <v>223.94538137734389</v>
      </c>
      <c r="V865" s="47">
        <v>213.56991964227666</v>
      </c>
      <c r="W865" s="48">
        <v>0</v>
      </c>
      <c r="X865" s="57">
        <f t="shared" si="36"/>
        <v>437.51530101962055</v>
      </c>
      <c r="Y865" s="119"/>
    </row>
    <row r="866" spans="1:25" ht="30">
      <c r="A866" s="44" t="s">
        <v>484</v>
      </c>
      <c r="B866" s="19" t="s">
        <v>472</v>
      </c>
      <c r="C866" s="49">
        <v>2034</v>
      </c>
      <c r="D866" s="46">
        <v>0</v>
      </c>
      <c r="E866" s="47">
        <v>0</v>
      </c>
      <c r="F866" s="47">
        <v>0</v>
      </c>
      <c r="G866" s="48">
        <v>0</v>
      </c>
      <c r="H866" s="57">
        <f t="shared" si="37"/>
        <v>0</v>
      </c>
      <c r="I866" s="119"/>
      <c r="J866" s="119"/>
      <c r="K866" s="119"/>
      <c r="L866" s="119"/>
      <c r="M866" s="119"/>
      <c r="N866" s="119"/>
      <c r="O866" s="119"/>
      <c r="P866" s="119"/>
      <c r="Q866" s="44" t="s">
        <v>484</v>
      </c>
      <c r="R866" s="19" t="s">
        <v>472</v>
      </c>
      <c r="S866" s="49">
        <v>2034</v>
      </c>
      <c r="T866" s="46">
        <v>0</v>
      </c>
      <c r="U866" s="47">
        <v>228.42428900489077</v>
      </c>
      <c r="V866" s="47">
        <v>217.84131803512219</v>
      </c>
      <c r="W866" s="48">
        <v>0</v>
      </c>
      <c r="X866" s="57">
        <f t="shared" si="36"/>
        <v>446.26560704001292</v>
      </c>
      <c r="Y866" s="119"/>
    </row>
    <row r="867" spans="1:25" ht="30">
      <c r="A867" s="44" t="s">
        <v>484</v>
      </c>
      <c r="B867" s="19" t="s">
        <v>472</v>
      </c>
      <c r="C867" s="49">
        <v>2035</v>
      </c>
      <c r="D867" s="46">
        <v>0</v>
      </c>
      <c r="E867" s="47">
        <v>0</v>
      </c>
      <c r="F867" s="47">
        <v>0</v>
      </c>
      <c r="G867" s="48">
        <v>0</v>
      </c>
      <c r="H867" s="57">
        <f t="shared" si="37"/>
        <v>0</v>
      </c>
      <c r="I867" s="119"/>
      <c r="J867" s="119"/>
      <c r="K867" s="119"/>
      <c r="L867" s="119"/>
      <c r="M867" s="119"/>
      <c r="N867" s="119"/>
      <c r="O867" s="119"/>
      <c r="P867" s="119"/>
      <c r="Q867" s="44" t="s">
        <v>484</v>
      </c>
      <c r="R867" s="19" t="s">
        <v>472</v>
      </c>
      <c r="S867" s="49">
        <v>2035</v>
      </c>
      <c r="T867" s="46">
        <v>0</v>
      </c>
      <c r="U867" s="47">
        <v>232.9927747849886</v>
      </c>
      <c r="V867" s="47">
        <v>222.19814439582464</v>
      </c>
      <c r="W867" s="48">
        <v>0</v>
      </c>
      <c r="X867" s="57">
        <f t="shared" si="36"/>
        <v>455.19091918081324</v>
      </c>
      <c r="Y867" s="119">
        <f>NPV($Y$10,X858:X867)/((1-(1+$Y$10)^-10)/$Y$10)</f>
        <v>169.26825186329324</v>
      </c>
    </row>
    <row r="868" spans="1:25">
      <c r="A868" s="44"/>
      <c r="B868" s="19" t="s">
        <v>401</v>
      </c>
      <c r="C868" s="49"/>
      <c r="D868" s="46" t="s">
        <v>401</v>
      </c>
      <c r="E868" s="47" t="s">
        <v>401</v>
      </c>
      <c r="F868" s="47" t="s">
        <v>401</v>
      </c>
      <c r="G868" s="48" t="s">
        <v>401</v>
      </c>
      <c r="H868" s="57">
        <f t="shared" si="37"/>
        <v>0</v>
      </c>
      <c r="I868" s="119"/>
      <c r="J868" s="119"/>
      <c r="K868" s="119"/>
      <c r="L868" s="119"/>
      <c r="M868" s="119"/>
      <c r="N868" s="119"/>
      <c r="O868" s="119"/>
      <c r="P868" s="119"/>
      <c r="Q868" s="44"/>
      <c r="R868" s="19" t="s">
        <v>401</v>
      </c>
      <c r="S868" s="49"/>
      <c r="T868" s="46"/>
      <c r="U868" s="47"/>
      <c r="V868" s="47"/>
      <c r="W868" s="48"/>
      <c r="X868" s="57">
        <f t="shared" si="36"/>
        <v>0</v>
      </c>
      <c r="Y868" s="119"/>
    </row>
    <row r="869" spans="1:25" ht="30">
      <c r="A869" s="44" t="s">
        <v>484</v>
      </c>
      <c r="B869" s="19" t="s">
        <v>466</v>
      </c>
      <c r="C869" s="49">
        <v>2026</v>
      </c>
      <c r="D869" s="46">
        <v>0</v>
      </c>
      <c r="E869" s="47">
        <v>0</v>
      </c>
      <c r="F869" s="47">
        <v>0</v>
      </c>
      <c r="G869" s="48">
        <v>0</v>
      </c>
      <c r="H869" s="57">
        <f t="shared" si="37"/>
        <v>0</v>
      </c>
      <c r="I869" s="119"/>
      <c r="J869" s="119"/>
      <c r="K869" s="119"/>
      <c r="L869" s="119"/>
      <c r="M869" s="119"/>
      <c r="N869" s="119"/>
      <c r="O869" s="119"/>
      <c r="P869" s="119"/>
      <c r="Q869" s="44" t="s">
        <v>484</v>
      </c>
      <c r="R869" s="19" t="s">
        <v>466</v>
      </c>
      <c r="S869" s="49">
        <v>2026</v>
      </c>
      <c r="T869" s="46">
        <v>0</v>
      </c>
      <c r="U869" s="47">
        <v>0</v>
      </c>
      <c r="V869" s="47">
        <v>0</v>
      </c>
      <c r="W869" s="48">
        <v>0</v>
      </c>
      <c r="X869" s="57">
        <f t="shared" si="36"/>
        <v>0</v>
      </c>
      <c r="Y869" s="119"/>
    </row>
    <row r="870" spans="1:25" ht="30">
      <c r="A870" s="44" t="s">
        <v>484</v>
      </c>
      <c r="B870" s="19" t="s">
        <v>466</v>
      </c>
      <c r="C870" s="49">
        <v>2027</v>
      </c>
      <c r="D870" s="46">
        <v>0</v>
      </c>
      <c r="E870" s="47">
        <v>0</v>
      </c>
      <c r="F870" s="47">
        <v>0</v>
      </c>
      <c r="G870" s="48">
        <v>0</v>
      </c>
      <c r="H870" s="57">
        <f t="shared" si="37"/>
        <v>0</v>
      </c>
      <c r="I870" s="119"/>
      <c r="J870" s="119"/>
      <c r="K870" s="119"/>
      <c r="L870" s="119"/>
      <c r="M870" s="119"/>
      <c r="N870" s="119"/>
      <c r="O870" s="119"/>
      <c r="P870" s="119"/>
      <c r="Q870" s="44" t="s">
        <v>484</v>
      </c>
      <c r="R870" s="19" t="s">
        <v>466</v>
      </c>
      <c r="S870" s="49">
        <v>2027</v>
      </c>
      <c r="T870" s="46">
        <v>0</v>
      </c>
      <c r="U870" s="47">
        <v>0</v>
      </c>
      <c r="V870" s="47">
        <v>0</v>
      </c>
      <c r="W870" s="48">
        <v>0</v>
      </c>
      <c r="X870" s="57">
        <f t="shared" si="36"/>
        <v>0</v>
      </c>
      <c r="Y870" s="119"/>
    </row>
    <row r="871" spans="1:25" ht="30">
      <c r="A871" s="44" t="s">
        <v>484</v>
      </c>
      <c r="B871" s="19" t="s">
        <v>466</v>
      </c>
      <c r="C871" s="49">
        <v>2028</v>
      </c>
      <c r="D871" s="46">
        <v>0</v>
      </c>
      <c r="E871" s="47">
        <v>0</v>
      </c>
      <c r="F871" s="47">
        <v>0</v>
      </c>
      <c r="G871" s="48">
        <v>0</v>
      </c>
      <c r="H871" s="57">
        <f t="shared" si="37"/>
        <v>0</v>
      </c>
      <c r="I871" s="119"/>
      <c r="J871" s="119"/>
      <c r="K871" s="119"/>
      <c r="L871" s="119"/>
      <c r="M871" s="119"/>
      <c r="N871" s="119"/>
      <c r="O871" s="119"/>
      <c r="P871" s="119"/>
      <c r="Q871" s="44" t="s">
        <v>484</v>
      </c>
      <c r="R871" s="19" t="s">
        <v>466</v>
      </c>
      <c r="S871" s="49">
        <v>2028</v>
      </c>
      <c r="T871" s="46">
        <v>0</v>
      </c>
      <c r="U871" s="47">
        <v>0</v>
      </c>
      <c r="V871" s="47">
        <v>0</v>
      </c>
      <c r="W871" s="48">
        <v>0</v>
      </c>
      <c r="X871" s="57">
        <f t="shared" si="36"/>
        <v>0</v>
      </c>
      <c r="Y871" s="119"/>
    </row>
    <row r="872" spans="1:25" ht="30">
      <c r="A872" s="44" t="s">
        <v>484</v>
      </c>
      <c r="B872" s="19" t="s">
        <v>466</v>
      </c>
      <c r="C872" s="49">
        <v>2029</v>
      </c>
      <c r="D872" s="46">
        <v>0</v>
      </c>
      <c r="E872" s="47">
        <v>0</v>
      </c>
      <c r="F872" s="47">
        <v>0</v>
      </c>
      <c r="G872" s="48">
        <v>0</v>
      </c>
      <c r="H872" s="57">
        <f t="shared" si="37"/>
        <v>0</v>
      </c>
      <c r="I872" s="119"/>
      <c r="J872" s="119"/>
      <c r="K872" s="119"/>
      <c r="L872" s="119"/>
      <c r="M872" s="119"/>
      <c r="N872" s="119"/>
      <c r="O872" s="119"/>
      <c r="P872" s="119"/>
      <c r="Q872" s="44" t="s">
        <v>484</v>
      </c>
      <c r="R872" s="19" t="s">
        <v>466</v>
      </c>
      <c r="S872" s="49">
        <v>2029</v>
      </c>
      <c r="T872" s="46">
        <v>0</v>
      </c>
      <c r="U872" s="47">
        <v>0</v>
      </c>
      <c r="V872" s="47">
        <v>0</v>
      </c>
      <c r="W872" s="48">
        <v>0</v>
      </c>
      <c r="X872" s="57">
        <f t="shared" si="36"/>
        <v>0</v>
      </c>
      <c r="Y872" s="119"/>
    </row>
    <row r="873" spans="1:25" ht="30">
      <c r="A873" s="44" t="s">
        <v>484</v>
      </c>
      <c r="B873" s="19" t="s">
        <v>466</v>
      </c>
      <c r="C873" s="49">
        <v>2030</v>
      </c>
      <c r="D873" s="46">
        <v>0</v>
      </c>
      <c r="E873" s="47">
        <v>0</v>
      </c>
      <c r="F873" s="47">
        <v>0</v>
      </c>
      <c r="G873" s="48">
        <v>0</v>
      </c>
      <c r="H873" s="57">
        <f t="shared" si="37"/>
        <v>0</v>
      </c>
      <c r="I873" s="119"/>
      <c r="J873" s="119"/>
      <c r="K873" s="119"/>
      <c r="L873" s="119"/>
      <c r="M873" s="119"/>
      <c r="N873" s="119"/>
      <c r="O873" s="119"/>
      <c r="P873" s="119"/>
      <c r="Q873" s="44" t="s">
        <v>484</v>
      </c>
      <c r="R873" s="19" t="s">
        <v>466</v>
      </c>
      <c r="S873" s="49">
        <v>2030</v>
      </c>
      <c r="T873" s="46">
        <v>0</v>
      </c>
      <c r="U873" s="47">
        <v>0</v>
      </c>
      <c r="V873" s="47">
        <v>0</v>
      </c>
      <c r="W873" s="48">
        <v>0</v>
      </c>
      <c r="X873" s="57">
        <f t="shared" si="36"/>
        <v>0</v>
      </c>
      <c r="Y873" s="119"/>
    </row>
    <row r="874" spans="1:25" ht="30">
      <c r="A874" s="44" t="s">
        <v>484</v>
      </c>
      <c r="B874" s="19" t="s">
        <v>466</v>
      </c>
      <c r="C874" s="49">
        <v>2031</v>
      </c>
      <c r="D874" s="46">
        <v>0</v>
      </c>
      <c r="E874" s="47">
        <v>0</v>
      </c>
      <c r="F874" s="47">
        <v>0</v>
      </c>
      <c r="G874" s="48">
        <v>0</v>
      </c>
      <c r="H874" s="57">
        <f t="shared" si="37"/>
        <v>0</v>
      </c>
      <c r="I874" s="119"/>
      <c r="J874" s="119"/>
      <c r="K874" s="119"/>
      <c r="L874" s="119"/>
      <c r="M874" s="119"/>
      <c r="N874" s="119"/>
      <c r="O874" s="119"/>
      <c r="P874" s="119"/>
      <c r="Q874" s="44" t="s">
        <v>484</v>
      </c>
      <c r="R874" s="19" t="s">
        <v>466</v>
      </c>
      <c r="S874" s="49">
        <v>2031</v>
      </c>
      <c r="T874" s="46">
        <v>0</v>
      </c>
      <c r="U874" s="47">
        <v>0</v>
      </c>
      <c r="V874" s="47">
        <v>0</v>
      </c>
      <c r="W874" s="48">
        <v>0</v>
      </c>
      <c r="X874" s="57">
        <f t="shared" si="36"/>
        <v>0</v>
      </c>
      <c r="Y874" s="119"/>
    </row>
    <row r="875" spans="1:25" ht="30">
      <c r="A875" s="44" t="s">
        <v>484</v>
      </c>
      <c r="B875" s="19" t="s">
        <v>466</v>
      </c>
      <c r="C875" s="49">
        <v>2032</v>
      </c>
      <c r="D875" s="46">
        <v>0</v>
      </c>
      <c r="E875" s="47">
        <v>0</v>
      </c>
      <c r="F875" s="47">
        <v>0</v>
      </c>
      <c r="G875" s="48">
        <v>0</v>
      </c>
      <c r="H875" s="57">
        <f t="shared" si="37"/>
        <v>0</v>
      </c>
      <c r="I875" s="119"/>
      <c r="J875" s="119"/>
      <c r="K875" s="119"/>
      <c r="L875" s="119"/>
      <c r="M875" s="119"/>
      <c r="N875" s="119"/>
      <c r="O875" s="119"/>
      <c r="P875" s="119"/>
      <c r="Q875" s="44" t="s">
        <v>484</v>
      </c>
      <c r="R875" s="19" t="s">
        <v>466</v>
      </c>
      <c r="S875" s="49">
        <v>2032</v>
      </c>
      <c r="T875" s="46">
        <v>0</v>
      </c>
      <c r="U875" s="47">
        <v>0</v>
      </c>
      <c r="V875" s="47">
        <v>0</v>
      </c>
      <c r="W875" s="48">
        <v>0</v>
      </c>
      <c r="X875" s="57">
        <f t="shared" si="36"/>
        <v>0</v>
      </c>
      <c r="Y875" s="119"/>
    </row>
    <row r="876" spans="1:25" ht="30">
      <c r="A876" s="44" t="s">
        <v>484</v>
      </c>
      <c r="B876" s="19" t="s">
        <v>466</v>
      </c>
      <c r="C876" s="49">
        <v>2033</v>
      </c>
      <c r="D876" s="46">
        <v>0</v>
      </c>
      <c r="E876" s="47">
        <v>0</v>
      </c>
      <c r="F876" s="47">
        <v>0</v>
      </c>
      <c r="G876" s="48">
        <v>0</v>
      </c>
      <c r="H876" s="57">
        <f t="shared" si="37"/>
        <v>0</v>
      </c>
      <c r="I876" s="119"/>
      <c r="J876" s="119"/>
      <c r="K876" s="119"/>
      <c r="L876" s="119"/>
      <c r="M876" s="119"/>
      <c r="N876" s="119"/>
      <c r="O876" s="119"/>
      <c r="P876" s="119"/>
      <c r="Q876" s="44" t="s">
        <v>484</v>
      </c>
      <c r="R876" s="19" t="s">
        <v>466</v>
      </c>
      <c r="S876" s="49">
        <v>2033</v>
      </c>
      <c r="T876" s="46">
        <v>0</v>
      </c>
      <c r="U876" s="47">
        <v>0</v>
      </c>
      <c r="V876" s="47">
        <v>0</v>
      </c>
      <c r="W876" s="48">
        <v>0</v>
      </c>
      <c r="X876" s="57">
        <f t="shared" si="36"/>
        <v>0</v>
      </c>
      <c r="Y876" s="119"/>
    </row>
    <row r="877" spans="1:25" ht="30">
      <c r="A877" s="44" t="s">
        <v>484</v>
      </c>
      <c r="B877" s="19" t="s">
        <v>466</v>
      </c>
      <c r="C877" s="49">
        <v>2034</v>
      </c>
      <c r="D877" s="46">
        <v>68.68718833153099</v>
      </c>
      <c r="E877" s="47">
        <v>0</v>
      </c>
      <c r="F877" s="47">
        <v>0</v>
      </c>
      <c r="G877" s="48">
        <v>0</v>
      </c>
      <c r="H877" s="57">
        <f t="shared" si="37"/>
        <v>40.051370159421865</v>
      </c>
      <c r="I877" s="119"/>
      <c r="J877" s="119"/>
      <c r="K877" s="119"/>
      <c r="L877" s="119"/>
      <c r="M877" s="119"/>
      <c r="N877" s="119"/>
      <c r="O877" s="119"/>
      <c r="P877" s="119"/>
      <c r="Q877" s="44" t="s">
        <v>484</v>
      </c>
      <c r="R877" s="19" t="s">
        <v>466</v>
      </c>
      <c r="S877" s="49">
        <v>2034</v>
      </c>
      <c r="T877" s="46">
        <v>68.68718833153099</v>
      </c>
      <c r="U877" s="47">
        <v>0</v>
      </c>
      <c r="V877" s="47">
        <v>0</v>
      </c>
      <c r="W877" s="48">
        <v>0</v>
      </c>
      <c r="X877" s="57">
        <f t="shared" si="36"/>
        <v>68.68718833153099</v>
      </c>
      <c r="Y877" s="119"/>
    </row>
    <row r="878" spans="1:25" ht="30">
      <c r="A878" s="44" t="s">
        <v>484</v>
      </c>
      <c r="B878" s="19" t="s">
        <v>466</v>
      </c>
      <c r="C878" s="49">
        <v>2035</v>
      </c>
      <c r="D878" s="46">
        <v>90.820912258908805</v>
      </c>
      <c r="E878" s="47">
        <v>0</v>
      </c>
      <c r="F878" s="47">
        <v>0</v>
      </c>
      <c r="G878" s="48">
        <v>0</v>
      </c>
      <c r="H878" s="57">
        <f t="shared" si="37"/>
        <v>49.504559848228048</v>
      </c>
      <c r="I878" s="119"/>
      <c r="J878" s="119"/>
      <c r="K878" s="119"/>
      <c r="L878" s="119"/>
      <c r="M878" s="119"/>
      <c r="N878" s="119"/>
      <c r="O878" s="119"/>
      <c r="P878" s="119"/>
      <c r="Q878" s="44" t="s">
        <v>484</v>
      </c>
      <c r="R878" s="19" t="s">
        <v>466</v>
      </c>
      <c r="S878" s="49">
        <v>2035</v>
      </c>
      <c r="T878" s="46">
        <v>160.88184435707041</v>
      </c>
      <c r="U878" s="47">
        <v>0</v>
      </c>
      <c r="V878" s="47">
        <v>0</v>
      </c>
      <c r="W878" s="48">
        <v>0</v>
      </c>
      <c r="X878" s="57">
        <f t="shared" si="36"/>
        <v>160.88184435707041</v>
      </c>
      <c r="Y878" s="119">
        <f>NPV($Y$10,X869:X878)/((1-(1+$Y$10)^-10)/$Y$10)</f>
        <v>16.982428978851278</v>
      </c>
    </row>
    <row r="879" spans="1:25">
      <c r="A879" s="44"/>
      <c r="B879" s="19" t="s">
        <v>401</v>
      </c>
      <c r="C879" s="49"/>
      <c r="D879" s="42" t="s">
        <v>401</v>
      </c>
      <c r="E879" s="19" t="s">
        <v>401</v>
      </c>
      <c r="F879" s="19" t="s">
        <v>401</v>
      </c>
      <c r="G879" s="43" t="s">
        <v>401</v>
      </c>
      <c r="H879" s="57">
        <f t="shared" si="37"/>
        <v>0</v>
      </c>
      <c r="I879" s="119"/>
      <c r="J879" s="119"/>
      <c r="K879" s="119"/>
      <c r="L879" s="119"/>
      <c r="M879" s="119"/>
      <c r="N879" s="119"/>
      <c r="O879" s="119"/>
      <c r="P879" s="119"/>
      <c r="Q879" s="44"/>
      <c r="R879" s="19" t="s">
        <v>401</v>
      </c>
      <c r="S879" s="49"/>
      <c r="T879" s="42"/>
      <c r="U879" s="19"/>
      <c r="V879" s="19"/>
      <c r="W879" s="43"/>
      <c r="X879" s="57">
        <f t="shared" si="36"/>
        <v>0</v>
      </c>
      <c r="Y879" s="119"/>
    </row>
    <row r="880" spans="1:25" ht="30">
      <c r="A880" s="44" t="s">
        <v>484</v>
      </c>
      <c r="B880" s="19" t="s">
        <v>467</v>
      </c>
      <c r="C880" s="49">
        <v>2026</v>
      </c>
      <c r="D880" s="46">
        <v>0</v>
      </c>
      <c r="E880" s="47">
        <v>0</v>
      </c>
      <c r="F880" s="47">
        <v>0</v>
      </c>
      <c r="G880" s="48">
        <v>0</v>
      </c>
      <c r="H880" s="57">
        <f t="shared" si="37"/>
        <v>0</v>
      </c>
      <c r="I880" s="119"/>
      <c r="J880" s="119"/>
      <c r="K880" s="119"/>
      <c r="L880" s="119"/>
      <c r="M880" s="119"/>
      <c r="N880" s="119"/>
      <c r="O880" s="119"/>
      <c r="P880" s="119"/>
      <c r="Q880" s="44" t="s">
        <v>484</v>
      </c>
      <c r="R880" s="19" t="s">
        <v>467</v>
      </c>
      <c r="S880" s="49">
        <v>2026</v>
      </c>
      <c r="T880" s="46">
        <v>0</v>
      </c>
      <c r="U880" s="47">
        <v>0</v>
      </c>
      <c r="V880" s="47">
        <v>0</v>
      </c>
      <c r="W880" s="48">
        <v>0</v>
      </c>
      <c r="X880" s="57">
        <f t="shared" si="36"/>
        <v>0</v>
      </c>
      <c r="Y880" s="119"/>
    </row>
    <row r="881" spans="1:25" ht="30">
      <c r="A881" s="44" t="s">
        <v>484</v>
      </c>
      <c r="B881" s="19" t="s">
        <v>467</v>
      </c>
      <c r="C881" s="49">
        <v>2027</v>
      </c>
      <c r="D881" s="46">
        <v>0</v>
      </c>
      <c r="E881" s="47">
        <v>0</v>
      </c>
      <c r="F881" s="47">
        <v>0</v>
      </c>
      <c r="G881" s="48">
        <v>0</v>
      </c>
      <c r="H881" s="57">
        <f t="shared" si="37"/>
        <v>0</v>
      </c>
      <c r="I881" s="119"/>
      <c r="J881" s="119"/>
      <c r="K881" s="119"/>
      <c r="L881" s="119"/>
      <c r="M881" s="119"/>
      <c r="N881" s="119"/>
      <c r="O881" s="119"/>
      <c r="P881" s="119"/>
      <c r="Q881" s="44" t="s">
        <v>484</v>
      </c>
      <c r="R881" s="19" t="s">
        <v>467</v>
      </c>
      <c r="S881" s="49">
        <v>2027</v>
      </c>
      <c r="T881" s="46">
        <v>0</v>
      </c>
      <c r="U881" s="47">
        <v>0</v>
      </c>
      <c r="V881" s="47">
        <v>0</v>
      </c>
      <c r="W881" s="48">
        <v>0</v>
      </c>
      <c r="X881" s="57">
        <f t="shared" si="36"/>
        <v>0</v>
      </c>
      <c r="Y881" s="119"/>
    </row>
    <row r="882" spans="1:25" ht="30">
      <c r="A882" s="44" t="s">
        <v>484</v>
      </c>
      <c r="B882" s="19" t="s">
        <v>467</v>
      </c>
      <c r="C882" s="49">
        <v>2028</v>
      </c>
      <c r="D882" s="46">
        <v>0</v>
      </c>
      <c r="E882" s="47">
        <v>0</v>
      </c>
      <c r="F882" s="47">
        <v>0</v>
      </c>
      <c r="G882" s="48">
        <v>0</v>
      </c>
      <c r="H882" s="57">
        <f t="shared" si="37"/>
        <v>0</v>
      </c>
      <c r="I882" s="119"/>
      <c r="J882" s="119"/>
      <c r="K882" s="119"/>
      <c r="L882" s="119"/>
      <c r="M882" s="119"/>
      <c r="N882" s="119"/>
      <c r="O882" s="119"/>
      <c r="P882" s="119"/>
      <c r="Q882" s="44" t="s">
        <v>484</v>
      </c>
      <c r="R882" s="19" t="s">
        <v>467</v>
      </c>
      <c r="S882" s="49">
        <v>2028</v>
      </c>
      <c r="T882" s="46">
        <v>0</v>
      </c>
      <c r="U882" s="47">
        <v>0</v>
      </c>
      <c r="V882" s="47">
        <v>0</v>
      </c>
      <c r="W882" s="48">
        <v>0</v>
      </c>
      <c r="X882" s="57">
        <f t="shared" si="36"/>
        <v>0</v>
      </c>
      <c r="Y882" s="119"/>
    </row>
    <row r="883" spans="1:25" ht="30">
      <c r="A883" s="44" t="s">
        <v>484</v>
      </c>
      <c r="B883" s="19" t="s">
        <v>467</v>
      </c>
      <c r="C883" s="49">
        <v>2029</v>
      </c>
      <c r="D883" s="46">
        <v>0</v>
      </c>
      <c r="E883" s="47">
        <v>0</v>
      </c>
      <c r="F883" s="47">
        <v>0</v>
      </c>
      <c r="G883" s="48">
        <v>0</v>
      </c>
      <c r="H883" s="57">
        <f t="shared" si="37"/>
        <v>0</v>
      </c>
      <c r="I883" s="119"/>
      <c r="J883" s="119"/>
      <c r="K883" s="119"/>
      <c r="L883" s="119"/>
      <c r="M883" s="119"/>
      <c r="N883" s="119"/>
      <c r="O883" s="119"/>
      <c r="P883" s="119"/>
      <c r="Q883" s="44" t="s">
        <v>484</v>
      </c>
      <c r="R883" s="19" t="s">
        <v>467</v>
      </c>
      <c r="S883" s="49">
        <v>2029</v>
      </c>
      <c r="T883" s="46">
        <v>0</v>
      </c>
      <c r="U883" s="47">
        <v>0</v>
      </c>
      <c r="V883" s="47">
        <v>0</v>
      </c>
      <c r="W883" s="48">
        <v>0</v>
      </c>
      <c r="X883" s="57">
        <f t="shared" si="36"/>
        <v>0</v>
      </c>
      <c r="Y883" s="119"/>
    </row>
    <row r="884" spans="1:25" ht="30">
      <c r="A884" s="44" t="s">
        <v>484</v>
      </c>
      <c r="B884" s="19" t="s">
        <v>467</v>
      </c>
      <c r="C884" s="49">
        <v>2030</v>
      </c>
      <c r="D884" s="46">
        <v>0</v>
      </c>
      <c r="E884" s="47">
        <v>0</v>
      </c>
      <c r="F884" s="47">
        <v>0</v>
      </c>
      <c r="G884" s="48">
        <v>0</v>
      </c>
      <c r="H884" s="57">
        <f t="shared" si="37"/>
        <v>0</v>
      </c>
      <c r="I884" s="119"/>
      <c r="J884" s="119"/>
      <c r="K884" s="119"/>
      <c r="L884" s="119"/>
      <c r="M884" s="119"/>
      <c r="N884" s="119"/>
      <c r="O884" s="119"/>
      <c r="P884" s="119"/>
      <c r="Q884" s="44" t="s">
        <v>484</v>
      </c>
      <c r="R884" s="19" t="s">
        <v>467</v>
      </c>
      <c r="S884" s="49">
        <v>2030</v>
      </c>
      <c r="T884" s="46">
        <v>0</v>
      </c>
      <c r="U884" s="47">
        <v>0</v>
      </c>
      <c r="V884" s="47">
        <v>0</v>
      </c>
      <c r="W884" s="48">
        <v>0</v>
      </c>
      <c r="X884" s="57">
        <f t="shared" si="36"/>
        <v>0</v>
      </c>
      <c r="Y884" s="119"/>
    </row>
    <row r="885" spans="1:25" ht="30">
      <c r="A885" s="44" t="s">
        <v>484</v>
      </c>
      <c r="B885" s="19" t="s">
        <v>467</v>
      </c>
      <c r="C885" s="49">
        <v>2031</v>
      </c>
      <c r="D885" s="46">
        <v>0</v>
      </c>
      <c r="E885" s="47">
        <v>0</v>
      </c>
      <c r="F885" s="47">
        <v>0</v>
      </c>
      <c r="G885" s="48">
        <v>0</v>
      </c>
      <c r="H885" s="57">
        <f t="shared" si="37"/>
        <v>0</v>
      </c>
      <c r="I885" s="119"/>
      <c r="J885" s="119"/>
      <c r="K885" s="119"/>
      <c r="L885" s="119"/>
      <c r="M885" s="119"/>
      <c r="N885" s="119"/>
      <c r="O885" s="119"/>
      <c r="P885" s="119"/>
      <c r="Q885" s="44" t="s">
        <v>484</v>
      </c>
      <c r="R885" s="19" t="s">
        <v>467</v>
      </c>
      <c r="S885" s="49">
        <v>2031</v>
      </c>
      <c r="T885" s="46">
        <v>0</v>
      </c>
      <c r="U885" s="47">
        <v>0</v>
      </c>
      <c r="V885" s="47">
        <v>0</v>
      </c>
      <c r="W885" s="48">
        <v>0</v>
      </c>
      <c r="X885" s="57">
        <f t="shared" si="36"/>
        <v>0</v>
      </c>
      <c r="Y885" s="119"/>
    </row>
    <row r="886" spans="1:25" ht="30">
      <c r="A886" s="44" t="s">
        <v>484</v>
      </c>
      <c r="B886" s="19" t="s">
        <v>467</v>
      </c>
      <c r="C886" s="49">
        <v>2032</v>
      </c>
      <c r="D886" s="46">
        <v>0</v>
      </c>
      <c r="E886" s="47">
        <v>0</v>
      </c>
      <c r="F886" s="47">
        <v>0</v>
      </c>
      <c r="G886" s="48">
        <v>0</v>
      </c>
      <c r="H886" s="57">
        <f t="shared" si="37"/>
        <v>0</v>
      </c>
      <c r="I886" s="119"/>
      <c r="J886" s="119"/>
      <c r="K886" s="119"/>
      <c r="L886" s="119"/>
      <c r="M886" s="119"/>
      <c r="N886" s="119"/>
      <c r="O886" s="119"/>
      <c r="P886" s="119"/>
      <c r="Q886" s="44" t="s">
        <v>484</v>
      </c>
      <c r="R886" s="19" t="s">
        <v>467</v>
      </c>
      <c r="S886" s="49">
        <v>2032</v>
      </c>
      <c r="T886" s="46">
        <v>0</v>
      </c>
      <c r="U886" s="47">
        <v>0</v>
      </c>
      <c r="V886" s="47">
        <v>0</v>
      </c>
      <c r="W886" s="48">
        <v>0</v>
      </c>
      <c r="X886" s="57">
        <f t="shared" si="36"/>
        <v>0</v>
      </c>
      <c r="Y886" s="119"/>
    </row>
    <row r="887" spans="1:25" ht="30">
      <c r="A887" s="44" t="s">
        <v>484</v>
      </c>
      <c r="B887" s="19" t="s">
        <v>467</v>
      </c>
      <c r="C887" s="49">
        <v>2033</v>
      </c>
      <c r="D887" s="46">
        <v>0</v>
      </c>
      <c r="E887" s="47">
        <v>0</v>
      </c>
      <c r="F887" s="47">
        <v>0</v>
      </c>
      <c r="G887" s="48">
        <v>0</v>
      </c>
      <c r="H887" s="57">
        <f t="shared" si="37"/>
        <v>0</v>
      </c>
      <c r="I887" s="119"/>
      <c r="J887" s="119"/>
      <c r="K887" s="119"/>
      <c r="L887" s="119"/>
      <c r="M887" s="119"/>
      <c r="N887" s="119"/>
      <c r="O887" s="119"/>
      <c r="P887" s="119"/>
      <c r="Q887" s="44" t="s">
        <v>484</v>
      </c>
      <c r="R887" s="19" t="s">
        <v>467</v>
      </c>
      <c r="S887" s="49">
        <v>2033</v>
      </c>
      <c r="T887" s="46">
        <v>0</v>
      </c>
      <c r="U887" s="47">
        <v>0</v>
      </c>
      <c r="V887" s="47">
        <v>0</v>
      </c>
      <c r="W887" s="48">
        <v>0</v>
      </c>
      <c r="X887" s="57">
        <f t="shared" si="36"/>
        <v>0</v>
      </c>
      <c r="Y887" s="119"/>
    </row>
    <row r="888" spans="1:25" ht="30">
      <c r="A888" s="44" t="s">
        <v>484</v>
      </c>
      <c r="B888" s="19" t="s">
        <v>467</v>
      </c>
      <c r="C888" s="49">
        <v>2034</v>
      </c>
      <c r="D888" s="46">
        <v>68.68718833153099</v>
      </c>
      <c r="E888" s="47">
        <v>0</v>
      </c>
      <c r="F888" s="47">
        <v>0</v>
      </c>
      <c r="G888" s="48">
        <v>0</v>
      </c>
      <c r="H888" s="57">
        <f t="shared" si="37"/>
        <v>40.051370159421865</v>
      </c>
      <c r="I888" s="119"/>
      <c r="J888" s="119"/>
      <c r="K888" s="119"/>
      <c r="L888" s="119"/>
      <c r="M888" s="119"/>
      <c r="N888" s="119"/>
      <c r="O888" s="119"/>
      <c r="P888" s="119"/>
      <c r="Q888" s="44" t="s">
        <v>484</v>
      </c>
      <c r="R888" s="19" t="s">
        <v>467</v>
      </c>
      <c r="S888" s="49">
        <v>2034</v>
      </c>
      <c r="T888" s="46">
        <v>68.68718833153099</v>
      </c>
      <c r="U888" s="47">
        <v>0</v>
      </c>
      <c r="V888" s="47">
        <v>0</v>
      </c>
      <c r="W888" s="48">
        <v>0</v>
      </c>
      <c r="X888" s="57">
        <f t="shared" si="36"/>
        <v>68.68718833153099</v>
      </c>
      <c r="Y888" s="119"/>
    </row>
    <row r="889" spans="1:25" ht="30">
      <c r="A889" s="44" t="s">
        <v>484</v>
      </c>
      <c r="B889" s="19" t="s">
        <v>467</v>
      </c>
      <c r="C889" s="49">
        <v>2035</v>
      </c>
      <c r="D889" s="46">
        <v>90.820912258908805</v>
      </c>
      <c r="E889" s="47">
        <v>0</v>
      </c>
      <c r="F889" s="47">
        <v>0</v>
      </c>
      <c r="G889" s="48">
        <v>0</v>
      </c>
      <c r="H889" s="57">
        <f t="shared" si="37"/>
        <v>49.504559848228048</v>
      </c>
      <c r="I889" s="119"/>
      <c r="J889" s="119"/>
      <c r="K889" s="119"/>
      <c r="L889" s="119"/>
      <c r="M889" s="119"/>
      <c r="N889" s="119"/>
      <c r="O889" s="119"/>
      <c r="P889" s="119"/>
      <c r="Q889" s="44" t="s">
        <v>484</v>
      </c>
      <c r="R889" s="19" t="s">
        <v>467</v>
      </c>
      <c r="S889" s="49">
        <v>2035</v>
      </c>
      <c r="T889" s="46">
        <v>160.88184435707041</v>
      </c>
      <c r="U889" s="47">
        <v>0</v>
      </c>
      <c r="V889" s="47">
        <v>0</v>
      </c>
      <c r="W889" s="48">
        <v>0</v>
      </c>
      <c r="X889" s="57">
        <f t="shared" si="36"/>
        <v>160.88184435707041</v>
      </c>
      <c r="Y889" s="119">
        <f>NPV($Y$10,X880:X889)/((1-(1+$Y$10)^-10)/$Y$10)</f>
        <v>16.982428978851278</v>
      </c>
    </row>
    <row r="890" spans="1:25">
      <c r="A890" s="44"/>
      <c r="B890" s="19" t="s">
        <v>401</v>
      </c>
      <c r="C890" s="49"/>
      <c r="D890" s="46" t="s">
        <v>401</v>
      </c>
      <c r="E890" s="47" t="s">
        <v>401</v>
      </c>
      <c r="F890" s="47" t="s">
        <v>401</v>
      </c>
      <c r="G890" s="48" t="s">
        <v>401</v>
      </c>
      <c r="H890" s="57">
        <f t="shared" si="37"/>
        <v>0</v>
      </c>
      <c r="I890" s="119"/>
      <c r="J890" s="119"/>
      <c r="K890" s="119"/>
      <c r="L890" s="119"/>
      <c r="M890" s="119"/>
      <c r="N890" s="119"/>
      <c r="O890" s="119"/>
      <c r="P890" s="119"/>
      <c r="Q890" s="44"/>
      <c r="R890" s="19" t="s">
        <v>401</v>
      </c>
      <c r="S890" s="49"/>
      <c r="T890" s="46"/>
      <c r="U890" s="47"/>
      <c r="V890" s="47"/>
      <c r="W890" s="48"/>
      <c r="X890" s="57">
        <f t="shared" si="36"/>
        <v>0</v>
      </c>
      <c r="Y890" s="119"/>
    </row>
    <row r="891" spans="1:25" ht="30">
      <c r="A891" s="44" t="s">
        <v>484</v>
      </c>
      <c r="B891" s="19" t="s">
        <v>468</v>
      </c>
      <c r="C891" s="49">
        <v>2026</v>
      </c>
      <c r="D891" s="46">
        <v>0</v>
      </c>
      <c r="E891" s="47">
        <v>0</v>
      </c>
      <c r="F891" s="47">
        <v>0</v>
      </c>
      <c r="G891" s="48">
        <v>0</v>
      </c>
      <c r="H891" s="57">
        <f t="shared" si="37"/>
        <v>0</v>
      </c>
      <c r="I891" s="119"/>
      <c r="J891" s="119"/>
      <c r="K891" s="119"/>
      <c r="L891" s="119"/>
      <c r="M891" s="119"/>
      <c r="N891" s="119"/>
      <c r="O891" s="119"/>
      <c r="P891" s="119"/>
      <c r="Q891" s="44" t="s">
        <v>484</v>
      </c>
      <c r="R891" s="19" t="s">
        <v>468</v>
      </c>
      <c r="S891" s="49">
        <v>2026</v>
      </c>
      <c r="T891" s="46">
        <v>0</v>
      </c>
      <c r="U891" s="47">
        <v>0</v>
      </c>
      <c r="V891" s="47">
        <v>0</v>
      </c>
      <c r="W891" s="48">
        <v>0</v>
      </c>
      <c r="X891" s="57">
        <f t="shared" si="36"/>
        <v>0</v>
      </c>
      <c r="Y891" s="119"/>
    </row>
    <row r="892" spans="1:25" ht="30">
      <c r="A892" s="44" t="s">
        <v>484</v>
      </c>
      <c r="B892" s="19" t="s">
        <v>468</v>
      </c>
      <c r="C892" s="49">
        <v>2027</v>
      </c>
      <c r="D892" s="46">
        <v>0</v>
      </c>
      <c r="E892" s="47">
        <v>0</v>
      </c>
      <c r="F892" s="47">
        <v>0</v>
      </c>
      <c r="G892" s="48">
        <v>0</v>
      </c>
      <c r="H892" s="57">
        <f t="shared" si="37"/>
        <v>0</v>
      </c>
      <c r="I892" s="119"/>
      <c r="J892" s="119"/>
      <c r="K892" s="119"/>
      <c r="L892" s="119"/>
      <c r="M892" s="119"/>
      <c r="N892" s="119"/>
      <c r="O892" s="119"/>
      <c r="P892" s="119"/>
      <c r="Q892" s="44" t="s">
        <v>484</v>
      </c>
      <c r="R892" s="19" t="s">
        <v>468</v>
      </c>
      <c r="S892" s="49">
        <v>2027</v>
      </c>
      <c r="T892" s="46">
        <v>0</v>
      </c>
      <c r="U892" s="47">
        <v>0</v>
      </c>
      <c r="V892" s="47">
        <v>0</v>
      </c>
      <c r="W892" s="48">
        <v>0</v>
      </c>
      <c r="X892" s="57">
        <f t="shared" si="36"/>
        <v>0</v>
      </c>
      <c r="Y892" s="119"/>
    </row>
    <row r="893" spans="1:25" ht="30">
      <c r="A893" s="44" t="s">
        <v>484</v>
      </c>
      <c r="B893" s="19" t="s">
        <v>468</v>
      </c>
      <c r="C893" s="49">
        <v>2028</v>
      </c>
      <c r="D893" s="46">
        <v>0</v>
      </c>
      <c r="E893" s="47">
        <v>0</v>
      </c>
      <c r="F893" s="47">
        <v>0</v>
      </c>
      <c r="G893" s="48">
        <v>0</v>
      </c>
      <c r="H893" s="57">
        <f t="shared" si="37"/>
        <v>0</v>
      </c>
      <c r="I893" s="119"/>
      <c r="J893" s="119"/>
      <c r="K893" s="119"/>
      <c r="L893" s="119"/>
      <c r="M893" s="119"/>
      <c r="N893" s="119"/>
      <c r="O893" s="119"/>
      <c r="P893" s="119"/>
      <c r="Q893" s="44" t="s">
        <v>484</v>
      </c>
      <c r="R893" s="19" t="s">
        <v>468</v>
      </c>
      <c r="S893" s="49">
        <v>2028</v>
      </c>
      <c r="T893" s="46">
        <v>0</v>
      </c>
      <c r="U893" s="47">
        <v>0</v>
      </c>
      <c r="V893" s="47">
        <v>0</v>
      </c>
      <c r="W893" s="48">
        <v>0</v>
      </c>
      <c r="X893" s="57">
        <f t="shared" si="36"/>
        <v>0</v>
      </c>
      <c r="Y893" s="119"/>
    </row>
    <row r="894" spans="1:25" ht="30">
      <c r="A894" s="44" t="s">
        <v>484</v>
      </c>
      <c r="B894" s="19" t="s">
        <v>468</v>
      </c>
      <c r="C894" s="49">
        <v>2029</v>
      </c>
      <c r="D894" s="46">
        <v>0</v>
      </c>
      <c r="E894" s="47">
        <v>0</v>
      </c>
      <c r="F894" s="47">
        <v>0</v>
      </c>
      <c r="G894" s="48">
        <v>0</v>
      </c>
      <c r="H894" s="57">
        <f t="shared" si="37"/>
        <v>0</v>
      </c>
      <c r="I894" s="119"/>
      <c r="J894" s="119"/>
      <c r="K894" s="119"/>
      <c r="L894" s="119"/>
      <c r="M894" s="119"/>
      <c r="N894" s="119"/>
      <c r="O894" s="119"/>
      <c r="P894" s="119"/>
      <c r="Q894" s="44" t="s">
        <v>484</v>
      </c>
      <c r="R894" s="19" t="s">
        <v>468</v>
      </c>
      <c r="S894" s="49">
        <v>2029</v>
      </c>
      <c r="T894" s="46">
        <v>0</v>
      </c>
      <c r="U894" s="47">
        <v>0</v>
      </c>
      <c r="V894" s="47">
        <v>0</v>
      </c>
      <c r="W894" s="48">
        <v>0</v>
      </c>
      <c r="X894" s="57">
        <f t="shared" si="36"/>
        <v>0</v>
      </c>
      <c r="Y894" s="119"/>
    </row>
    <row r="895" spans="1:25" ht="30">
      <c r="A895" s="44" t="s">
        <v>484</v>
      </c>
      <c r="B895" s="19" t="s">
        <v>468</v>
      </c>
      <c r="C895" s="49">
        <v>2030</v>
      </c>
      <c r="D895" s="46">
        <v>0</v>
      </c>
      <c r="E895" s="47">
        <v>0</v>
      </c>
      <c r="F895" s="47">
        <v>0</v>
      </c>
      <c r="G895" s="48">
        <v>0</v>
      </c>
      <c r="H895" s="57">
        <f t="shared" si="37"/>
        <v>0</v>
      </c>
      <c r="I895" s="119"/>
      <c r="J895" s="119"/>
      <c r="K895" s="119"/>
      <c r="L895" s="119"/>
      <c r="M895" s="119"/>
      <c r="N895" s="119"/>
      <c r="O895" s="119"/>
      <c r="P895" s="119"/>
      <c r="Q895" s="44" t="s">
        <v>484</v>
      </c>
      <c r="R895" s="19" t="s">
        <v>468</v>
      </c>
      <c r="S895" s="49">
        <v>2030</v>
      </c>
      <c r="T895" s="46">
        <v>0</v>
      </c>
      <c r="U895" s="47">
        <v>0</v>
      </c>
      <c r="V895" s="47">
        <v>0</v>
      </c>
      <c r="W895" s="48">
        <v>0</v>
      </c>
      <c r="X895" s="57">
        <f t="shared" si="36"/>
        <v>0</v>
      </c>
      <c r="Y895" s="119"/>
    </row>
    <row r="896" spans="1:25" ht="30">
      <c r="A896" s="44" t="s">
        <v>484</v>
      </c>
      <c r="B896" s="19" t="s">
        <v>468</v>
      </c>
      <c r="C896" s="49">
        <v>2031</v>
      </c>
      <c r="D896" s="46">
        <v>0</v>
      </c>
      <c r="E896" s="47">
        <v>0</v>
      </c>
      <c r="F896" s="47">
        <v>0</v>
      </c>
      <c r="G896" s="48">
        <v>0</v>
      </c>
      <c r="H896" s="57">
        <f t="shared" si="37"/>
        <v>0</v>
      </c>
      <c r="I896" s="119"/>
      <c r="J896" s="119"/>
      <c r="K896" s="119"/>
      <c r="L896" s="119"/>
      <c r="M896" s="119"/>
      <c r="N896" s="119"/>
      <c r="O896" s="119"/>
      <c r="P896" s="119"/>
      <c r="Q896" s="44" t="s">
        <v>484</v>
      </c>
      <c r="R896" s="19" t="s">
        <v>468</v>
      </c>
      <c r="S896" s="49">
        <v>2031</v>
      </c>
      <c r="T896" s="46">
        <v>0</v>
      </c>
      <c r="U896" s="47">
        <v>0</v>
      </c>
      <c r="V896" s="47">
        <v>0</v>
      </c>
      <c r="W896" s="48">
        <v>0</v>
      </c>
      <c r="X896" s="57">
        <f t="shared" si="36"/>
        <v>0</v>
      </c>
      <c r="Y896" s="119"/>
    </row>
    <row r="897" spans="1:25" ht="30">
      <c r="A897" s="44" t="s">
        <v>484</v>
      </c>
      <c r="B897" s="19" t="s">
        <v>468</v>
      </c>
      <c r="C897" s="49">
        <v>2032</v>
      </c>
      <c r="D897" s="46">
        <v>0</v>
      </c>
      <c r="E897" s="47">
        <v>0</v>
      </c>
      <c r="F897" s="47">
        <v>0</v>
      </c>
      <c r="G897" s="48">
        <v>0</v>
      </c>
      <c r="H897" s="57">
        <f t="shared" si="37"/>
        <v>0</v>
      </c>
      <c r="I897" s="119"/>
      <c r="J897" s="119"/>
      <c r="K897" s="119"/>
      <c r="L897" s="119"/>
      <c r="M897" s="119"/>
      <c r="N897" s="119"/>
      <c r="O897" s="119"/>
      <c r="P897" s="119"/>
      <c r="Q897" s="44" t="s">
        <v>484</v>
      </c>
      <c r="R897" s="19" t="s">
        <v>468</v>
      </c>
      <c r="S897" s="49">
        <v>2032</v>
      </c>
      <c r="T897" s="46">
        <v>0</v>
      </c>
      <c r="U897" s="47">
        <v>0</v>
      </c>
      <c r="V897" s="47">
        <v>0</v>
      </c>
      <c r="W897" s="48">
        <v>0</v>
      </c>
      <c r="X897" s="57">
        <f t="shared" si="36"/>
        <v>0</v>
      </c>
      <c r="Y897" s="119"/>
    </row>
    <row r="898" spans="1:25" ht="30">
      <c r="A898" s="44" t="s">
        <v>484</v>
      </c>
      <c r="B898" s="19" t="s">
        <v>468</v>
      </c>
      <c r="C898" s="49">
        <v>2033</v>
      </c>
      <c r="D898" s="46">
        <v>0</v>
      </c>
      <c r="E898" s="47">
        <v>0</v>
      </c>
      <c r="F898" s="47">
        <v>0</v>
      </c>
      <c r="G898" s="48">
        <v>0</v>
      </c>
      <c r="H898" s="57">
        <f t="shared" si="37"/>
        <v>0</v>
      </c>
      <c r="I898" s="119"/>
      <c r="J898" s="119"/>
      <c r="K898" s="119"/>
      <c r="L898" s="119"/>
      <c r="M898" s="119"/>
      <c r="N898" s="119"/>
      <c r="O898" s="119"/>
      <c r="P898" s="119"/>
      <c r="Q898" s="44" t="s">
        <v>484</v>
      </c>
      <c r="R898" s="19" t="s">
        <v>468</v>
      </c>
      <c r="S898" s="49">
        <v>2033</v>
      </c>
      <c r="T898" s="46">
        <v>0</v>
      </c>
      <c r="U898" s="47">
        <v>0</v>
      </c>
      <c r="V898" s="47">
        <v>0</v>
      </c>
      <c r="W898" s="48">
        <v>0</v>
      </c>
      <c r="X898" s="57">
        <f t="shared" si="36"/>
        <v>0</v>
      </c>
      <c r="Y898" s="119"/>
    </row>
    <row r="899" spans="1:25" ht="30">
      <c r="A899" s="44" t="s">
        <v>484</v>
      </c>
      <c r="B899" s="19" t="s">
        <v>468</v>
      </c>
      <c r="C899" s="49">
        <v>2034</v>
      </c>
      <c r="D899" s="46">
        <v>68.68718833153099</v>
      </c>
      <c r="E899" s="47">
        <v>0</v>
      </c>
      <c r="F899" s="47">
        <v>0</v>
      </c>
      <c r="G899" s="48">
        <v>0</v>
      </c>
      <c r="H899" s="57">
        <f t="shared" si="37"/>
        <v>40.051370159421865</v>
      </c>
      <c r="I899" s="119"/>
      <c r="J899" s="119"/>
      <c r="K899" s="119"/>
      <c r="L899" s="119"/>
      <c r="M899" s="119"/>
      <c r="N899" s="119"/>
      <c r="O899" s="119"/>
      <c r="P899" s="119"/>
      <c r="Q899" s="44" t="s">
        <v>484</v>
      </c>
      <c r="R899" s="19" t="s">
        <v>468</v>
      </c>
      <c r="S899" s="49">
        <v>2034</v>
      </c>
      <c r="T899" s="46">
        <v>68.68718833153099</v>
      </c>
      <c r="U899" s="47">
        <v>0</v>
      </c>
      <c r="V899" s="47">
        <v>0</v>
      </c>
      <c r="W899" s="48">
        <v>0</v>
      </c>
      <c r="X899" s="57">
        <f t="shared" si="36"/>
        <v>68.68718833153099</v>
      </c>
      <c r="Y899" s="119"/>
    </row>
    <row r="900" spans="1:25" ht="30">
      <c r="A900" s="51" t="s">
        <v>484</v>
      </c>
      <c r="B900" s="145" t="s">
        <v>468</v>
      </c>
      <c r="C900" s="146">
        <v>2035</v>
      </c>
      <c r="D900" s="147">
        <v>90.820912258908805</v>
      </c>
      <c r="E900" s="148">
        <v>0</v>
      </c>
      <c r="F900" s="148">
        <v>0</v>
      </c>
      <c r="G900" s="149">
        <v>0</v>
      </c>
      <c r="H900" s="57">
        <f t="shared" si="37"/>
        <v>49.504559848228048</v>
      </c>
      <c r="I900" s="119"/>
      <c r="J900" s="119"/>
      <c r="K900" s="119"/>
      <c r="L900" s="119"/>
      <c r="M900" s="119"/>
      <c r="N900" s="119"/>
      <c r="O900" s="119"/>
      <c r="P900" s="119"/>
      <c r="Q900" s="51" t="s">
        <v>484</v>
      </c>
      <c r="R900" s="145" t="s">
        <v>468</v>
      </c>
      <c r="S900" s="146">
        <v>2035</v>
      </c>
      <c r="T900" s="147">
        <v>160.88184435707041</v>
      </c>
      <c r="U900" s="148">
        <v>0</v>
      </c>
      <c r="V900" s="148">
        <v>0</v>
      </c>
      <c r="W900" s="149">
        <v>0</v>
      </c>
      <c r="X900" s="57">
        <f t="shared" si="36"/>
        <v>160.88184435707041</v>
      </c>
      <c r="Y900" s="119">
        <f>NPV($Y$10,X891:X900)/((1-(1+$Y$10)^-10)/$Y$10)</f>
        <v>16.982428978851278</v>
      </c>
    </row>
  </sheetData>
  <protectedRanges>
    <protectedRange password="CC23" sqref="E9" name="Range1_8_10_1"/>
    <protectedRange password="CC23" sqref="U9" name="Range1_8_10_1_1"/>
  </protectedRanges>
  <pageMargins left="0.7" right="0.7" top="0.75" bottom="0.75" header="0.3" footer="0.3"/>
  <pageSetup scale="1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678BB-A779-43F0-B33C-0A232CA99BDE}">
  <sheetPr>
    <pageSetUpPr fitToPage="1"/>
  </sheetPr>
  <dimension ref="A1:AS248"/>
  <sheetViews>
    <sheetView workbookViewId="0">
      <selection activeCell="N5" sqref="N5"/>
    </sheetView>
  </sheetViews>
  <sheetFormatPr defaultRowHeight="15"/>
  <cols>
    <col min="13" max="13" width="10.5703125" bestFit="1" customWidth="1"/>
    <col min="17" max="17" width="10.5703125" bestFit="1" customWidth="1"/>
    <col min="18" max="19" width="10.5703125" style="155" customWidth="1"/>
    <col min="33" max="42" width="12" bestFit="1" customWidth="1"/>
  </cols>
  <sheetData>
    <row r="1" spans="1:45" s="155" customFormat="1">
      <c r="A1" s="155" t="s">
        <v>2276</v>
      </c>
    </row>
    <row r="2" spans="1:45">
      <c r="A2" s="142" t="s">
        <v>89</v>
      </c>
      <c r="B2" s="160"/>
      <c r="C2" s="160"/>
      <c r="E2" s="160"/>
      <c r="F2" s="160"/>
      <c r="G2" s="160"/>
      <c r="H2" s="160"/>
      <c r="I2" s="160"/>
      <c r="J2" s="160"/>
      <c r="K2" s="160"/>
      <c r="L2" s="160"/>
      <c r="M2" s="160"/>
      <c r="N2" s="119"/>
      <c r="O2" s="119"/>
      <c r="P2" s="119"/>
      <c r="Q2" s="119"/>
    </row>
    <row r="3" spans="1:45">
      <c r="A3" s="119"/>
      <c r="B3" s="119">
        <v>1</v>
      </c>
      <c r="C3" s="119">
        <v>1.024</v>
      </c>
      <c r="D3" s="119">
        <v>1.045504</v>
      </c>
      <c r="E3" s="119">
        <v>1.0674595839999999</v>
      </c>
      <c r="F3" s="119">
        <v>1.0898762352639997</v>
      </c>
      <c r="G3" s="119">
        <v>1.1127636362045437</v>
      </c>
      <c r="H3" s="119">
        <v>1.1361316725648389</v>
      </c>
      <c r="I3" s="119">
        <v>1.1599904376887005</v>
      </c>
      <c r="J3" s="119">
        <v>1.1843502368801631</v>
      </c>
      <c r="K3" s="119">
        <v>1.2092215918546463</v>
      </c>
      <c r="L3" s="119"/>
      <c r="M3" s="119"/>
      <c r="N3" s="119"/>
      <c r="O3" s="119"/>
      <c r="P3" s="119"/>
      <c r="Q3" s="119"/>
      <c r="T3" s="119"/>
      <c r="U3" s="119"/>
      <c r="V3" s="119"/>
      <c r="W3" s="119" t="s">
        <v>486</v>
      </c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 t="s">
        <v>487</v>
      </c>
      <c r="AJ3" s="119"/>
      <c r="AK3" s="119"/>
      <c r="AL3" s="119"/>
      <c r="AM3" s="119"/>
      <c r="AN3" s="119"/>
      <c r="AO3" s="119"/>
      <c r="AP3" s="119"/>
      <c r="AQ3" s="119"/>
      <c r="AR3" s="119"/>
      <c r="AS3" s="119"/>
    </row>
    <row r="4" spans="1:45">
      <c r="A4" s="119"/>
      <c r="B4" s="119">
        <v>2025</v>
      </c>
      <c r="C4" s="119">
        <v>2026</v>
      </c>
      <c r="D4" s="119">
        <v>2027</v>
      </c>
      <c r="E4" s="119">
        <v>2028</v>
      </c>
      <c r="F4" s="119">
        <v>2029</v>
      </c>
      <c r="G4" s="119">
        <v>2030</v>
      </c>
      <c r="H4" s="119">
        <v>2031</v>
      </c>
      <c r="I4" s="119">
        <v>2032</v>
      </c>
      <c r="J4" s="119">
        <v>2033</v>
      </c>
      <c r="K4" s="119">
        <v>2034</v>
      </c>
      <c r="L4" s="119"/>
      <c r="M4" s="119"/>
      <c r="N4" s="119"/>
      <c r="O4" s="119"/>
      <c r="P4" s="119"/>
      <c r="Q4" s="119"/>
      <c r="T4" s="119"/>
      <c r="U4" s="119"/>
      <c r="V4" s="119"/>
      <c r="W4" s="119"/>
      <c r="X4" s="6">
        <v>1</v>
      </c>
      <c r="Y4" s="64">
        <v>1.024</v>
      </c>
      <c r="Z4" s="64">
        <v>1.0455000000000001</v>
      </c>
      <c r="AA4" s="64">
        <v>1.0674999999999999</v>
      </c>
      <c r="AB4" s="64">
        <v>1.0899000000000001</v>
      </c>
      <c r="AC4" s="64">
        <v>1.1128</v>
      </c>
      <c r="AD4" s="64">
        <v>1.1361000000000001</v>
      </c>
      <c r="AE4" s="6">
        <v>1.1599999999999999</v>
      </c>
      <c r="AF4" s="64">
        <v>1.1843999999999999</v>
      </c>
      <c r="AG4" s="64">
        <v>1.2092000000000001</v>
      </c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</row>
    <row r="5" spans="1:45">
      <c r="A5" s="7" t="s">
        <v>488</v>
      </c>
      <c r="B5" s="119">
        <v>1.7052468047094611</v>
      </c>
      <c r="C5" s="119">
        <f t="shared" ref="C5:K14" si="0">$B5*C$3</f>
        <v>1.7461727280224881</v>
      </c>
      <c r="D5" s="119">
        <f t="shared" si="0"/>
        <v>1.7828423553109605</v>
      </c>
      <c r="E5" s="119">
        <f t="shared" si="0"/>
        <v>1.8202820447724903</v>
      </c>
      <c r="F5" s="119">
        <f t="shared" si="0"/>
        <v>1.8585079677127123</v>
      </c>
      <c r="G5" s="119">
        <f t="shared" si="0"/>
        <v>1.8975366350346794</v>
      </c>
      <c r="H5" s="119">
        <f t="shared" si="0"/>
        <v>1.9373849043704072</v>
      </c>
      <c r="I5" s="119">
        <f t="shared" si="0"/>
        <v>1.9780699873621856</v>
      </c>
      <c r="J5" s="119">
        <f t="shared" si="0"/>
        <v>2.0196094570967915</v>
      </c>
      <c r="K5" s="119">
        <f t="shared" si="0"/>
        <v>2.0620212556958237</v>
      </c>
      <c r="L5" s="119"/>
      <c r="M5" s="119"/>
      <c r="N5" s="119"/>
      <c r="O5" s="119"/>
      <c r="P5" s="119"/>
      <c r="Q5" s="119"/>
      <c r="T5" s="119"/>
      <c r="U5" s="119"/>
      <c r="V5" s="119"/>
      <c r="W5" s="73" t="s">
        <v>8</v>
      </c>
      <c r="X5" s="73">
        <v>2025</v>
      </c>
      <c r="Y5" s="73">
        <v>2026</v>
      </c>
      <c r="Z5" s="73">
        <v>2027</v>
      </c>
      <c r="AA5" s="73">
        <v>2028</v>
      </c>
      <c r="AB5" s="73">
        <v>2029</v>
      </c>
      <c r="AC5" s="73">
        <v>2030</v>
      </c>
      <c r="AD5" s="73">
        <v>2031</v>
      </c>
      <c r="AE5" s="73">
        <v>2032</v>
      </c>
      <c r="AF5" s="73">
        <v>2033</v>
      </c>
      <c r="AG5" s="73">
        <v>2034</v>
      </c>
      <c r="AH5" s="119"/>
      <c r="AI5" s="73" t="s">
        <v>8</v>
      </c>
      <c r="AJ5" s="73">
        <v>2025</v>
      </c>
      <c r="AK5" s="73">
        <v>2026</v>
      </c>
      <c r="AL5" s="73">
        <v>2027</v>
      </c>
      <c r="AM5" s="73">
        <v>2028</v>
      </c>
      <c r="AN5" s="73">
        <v>2029</v>
      </c>
      <c r="AO5" s="73">
        <v>2030</v>
      </c>
      <c r="AP5" s="73">
        <v>2031</v>
      </c>
      <c r="AQ5" s="73">
        <v>2032</v>
      </c>
      <c r="AR5" s="73">
        <v>2033</v>
      </c>
      <c r="AS5" s="73">
        <v>2034</v>
      </c>
    </row>
    <row r="6" spans="1:45">
      <c r="A6" s="7" t="s">
        <v>490</v>
      </c>
      <c r="B6" s="119">
        <v>1.7052468047094611</v>
      </c>
      <c r="C6" s="119">
        <f t="shared" si="0"/>
        <v>1.7461727280224881</v>
      </c>
      <c r="D6" s="119">
        <f t="shared" si="0"/>
        <v>1.7828423553109605</v>
      </c>
      <c r="E6" s="119">
        <f t="shared" si="0"/>
        <v>1.8202820447724903</v>
      </c>
      <c r="F6" s="119">
        <f t="shared" si="0"/>
        <v>1.8585079677127123</v>
      </c>
      <c r="G6" s="119">
        <f t="shared" si="0"/>
        <v>1.8975366350346794</v>
      </c>
      <c r="H6" s="119">
        <f t="shared" si="0"/>
        <v>1.9373849043704072</v>
      </c>
      <c r="I6" s="119">
        <f t="shared" si="0"/>
        <v>1.9780699873621856</v>
      </c>
      <c r="J6" s="119">
        <f t="shared" si="0"/>
        <v>2.0196094570967915</v>
      </c>
      <c r="K6" s="119">
        <f t="shared" si="0"/>
        <v>2.0620212556958237</v>
      </c>
      <c r="L6" s="119"/>
      <c r="M6" s="119"/>
      <c r="N6" s="119"/>
      <c r="O6" s="119"/>
      <c r="P6" s="119"/>
      <c r="Q6" s="119"/>
      <c r="T6" s="119"/>
      <c r="U6" s="119"/>
      <c r="V6" s="119"/>
      <c r="W6" s="5" t="s">
        <v>489</v>
      </c>
      <c r="X6" s="69">
        <v>130.13698630136989</v>
      </c>
      <c r="Y6" s="69">
        <v>166.18601297764963</v>
      </c>
      <c r="Z6" s="69">
        <v>166.18601297764963</v>
      </c>
      <c r="AA6" s="69">
        <v>166.18601297764963</v>
      </c>
      <c r="AB6" s="69">
        <v>166.18601297764963</v>
      </c>
      <c r="AC6" s="69">
        <v>166.18601297764963</v>
      </c>
      <c r="AD6" s="69">
        <v>166.18601297764963</v>
      </c>
      <c r="AE6" s="69">
        <v>166.18601297764963</v>
      </c>
      <c r="AF6" s="69">
        <v>166.18601297764963</v>
      </c>
      <c r="AG6" s="70">
        <v>166.18601297764963</v>
      </c>
      <c r="AH6" s="119"/>
      <c r="AI6" s="7" t="s">
        <v>488</v>
      </c>
      <c r="AJ6" s="119">
        <f>SUMIFS(X$6:X$84,$W$6:$W$84,$AI6)</f>
        <v>12.565875</v>
      </c>
      <c r="AK6" s="119">
        <f t="shared" ref="AK6:AS21" si="1">SUMIFS(Y$6:Y$84,$W$6:$W$84,$AI6)</f>
        <v>12.565875</v>
      </c>
      <c r="AL6" s="119">
        <f t="shared" si="1"/>
        <v>12.565875</v>
      </c>
      <c r="AM6" s="119">
        <f t="shared" si="1"/>
        <v>12.565875</v>
      </c>
      <c r="AN6" s="119">
        <f t="shared" si="1"/>
        <v>12.565875</v>
      </c>
      <c r="AO6" s="119">
        <f t="shared" si="1"/>
        <v>12.565875</v>
      </c>
      <c r="AP6" s="119">
        <f t="shared" si="1"/>
        <v>12.565875</v>
      </c>
      <c r="AQ6" s="119">
        <f t="shared" si="1"/>
        <v>12.565875</v>
      </c>
      <c r="AR6" s="119">
        <f t="shared" si="1"/>
        <v>12.565875</v>
      </c>
      <c r="AS6" s="119">
        <f t="shared" si="1"/>
        <v>12.565875</v>
      </c>
    </row>
    <row r="7" spans="1:45">
      <c r="A7" s="7" t="s">
        <v>492</v>
      </c>
      <c r="B7" s="119">
        <v>1.7052468047094611</v>
      </c>
      <c r="C7" s="119">
        <f t="shared" si="0"/>
        <v>1.7461727280224881</v>
      </c>
      <c r="D7" s="119">
        <f t="shared" si="0"/>
        <v>1.7828423553109605</v>
      </c>
      <c r="E7" s="119">
        <f t="shared" si="0"/>
        <v>1.8202820447724903</v>
      </c>
      <c r="F7" s="119">
        <f t="shared" si="0"/>
        <v>1.8585079677127123</v>
      </c>
      <c r="G7" s="119">
        <f t="shared" si="0"/>
        <v>1.8975366350346794</v>
      </c>
      <c r="H7" s="119">
        <f t="shared" si="0"/>
        <v>1.9373849043704072</v>
      </c>
      <c r="I7" s="119">
        <f t="shared" si="0"/>
        <v>1.9780699873621856</v>
      </c>
      <c r="J7" s="119">
        <f t="shared" si="0"/>
        <v>2.0196094570967915</v>
      </c>
      <c r="K7" s="119">
        <f t="shared" si="0"/>
        <v>2.0620212556958237</v>
      </c>
      <c r="L7" s="119"/>
      <c r="M7" s="119"/>
      <c r="N7" s="119"/>
      <c r="O7" s="119"/>
      <c r="P7" s="119"/>
      <c r="Q7" s="119"/>
      <c r="T7" s="119"/>
      <c r="U7" s="119"/>
      <c r="V7" s="119"/>
      <c r="W7" s="5" t="s">
        <v>491</v>
      </c>
      <c r="X7" s="69">
        <v>0</v>
      </c>
      <c r="Y7" s="69">
        <v>6.2656641604010028</v>
      </c>
      <c r="Z7" s="69">
        <v>12.531328320802006</v>
      </c>
      <c r="AA7" s="69">
        <v>25.062656641604011</v>
      </c>
      <c r="AB7" s="69">
        <v>37.593984962406019</v>
      </c>
      <c r="AC7" s="69">
        <v>50.125313283208023</v>
      </c>
      <c r="AD7" s="69">
        <v>206.76691729323309</v>
      </c>
      <c r="AE7" s="69">
        <v>363.40852130325817</v>
      </c>
      <c r="AF7" s="69">
        <v>363.40852130325817</v>
      </c>
      <c r="AG7" s="70">
        <v>363.40852130325817</v>
      </c>
      <c r="AH7" s="119"/>
      <c r="AI7" s="7" t="s">
        <v>490</v>
      </c>
      <c r="AJ7" s="119">
        <f t="shared" ref="AJ7:AJ64" si="2">SUMIFS(X$6:X$84,$W$6:$W$84,$AI7)</f>
        <v>135.37289254385965</v>
      </c>
      <c r="AK7" s="119">
        <f t="shared" si="1"/>
        <v>135.37289254385965</v>
      </c>
      <c r="AL7" s="119">
        <f t="shared" si="1"/>
        <v>194.71241782765739</v>
      </c>
      <c r="AM7" s="119">
        <f t="shared" si="1"/>
        <v>180.13614775002088</v>
      </c>
      <c r="AN7" s="119">
        <f t="shared" si="1"/>
        <v>180.13614775002088</v>
      </c>
      <c r="AO7" s="119">
        <f t="shared" si="1"/>
        <v>180.13614775002088</v>
      </c>
      <c r="AP7" s="119">
        <f t="shared" si="1"/>
        <v>180.13614775002088</v>
      </c>
      <c r="AQ7" s="119">
        <f t="shared" si="1"/>
        <v>180.13614775002088</v>
      </c>
      <c r="AR7" s="119">
        <f t="shared" si="1"/>
        <v>180.13614775002088</v>
      </c>
      <c r="AS7" s="119">
        <f t="shared" si="1"/>
        <v>180.13614775002088</v>
      </c>
    </row>
    <row r="8" spans="1:45" ht="15.75" thickBot="1">
      <c r="A8" s="7" t="s">
        <v>494</v>
      </c>
      <c r="B8" s="119">
        <v>1.7052468047094611</v>
      </c>
      <c r="C8" s="119">
        <f t="shared" si="0"/>
        <v>1.7461727280224881</v>
      </c>
      <c r="D8" s="119">
        <f t="shared" si="0"/>
        <v>1.7828423553109605</v>
      </c>
      <c r="E8" s="119">
        <f t="shared" si="0"/>
        <v>1.8202820447724903</v>
      </c>
      <c r="F8" s="119">
        <f t="shared" si="0"/>
        <v>1.8585079677127123</v>
      </c>
      <c r="G8" s="119">
        <f t="shared" si="0"/>
        <v>1.8975366350346794</v>
      </c>
      <c r="H8" s="119">
        <f t="shared" si="0"/>
        <v>1.9373849043704072</v>
      </c>
      <c r="I8" s="119">
        <f t="shared" si="0"/>
        <v>1.9780699873621856</v>
      </c>
      <c r="J8" s="119">
        <f t="shared" si="0"/>
        <v>2.0196094570967915</v>
      </c>
      <c r="K8" s="119">
        <f t="shared" si="0"/>
        <v>2.0620212556958237</v>
      </c>
      <c r="L8" s="119"/>
      <c r="M8" s="119"/>
      <c r="N8" s="119"/>
      <c r="O8" s="119"/>
      <c r="P8" s="119"/>
      <c r="Q8" s="119"/>
      <c r="T8" s="119"/>
      <c r="U8" s="119"/>
      <c r="V8" s="119"/>
      <c r="W8" s="68" t="s">
        <v>493</v>
      </c>
      <c r="X8" s="71">
        <v>0</v>
      </c>
      <c r="Y8" s="71">
        <v>0</v>
      </c>
      <c r="Z8" s="71">
        <v>2.7995520716685327</v>
      </c>
      <c r="AA8" s="71">
        <v>5.5991041433370654</v>
      </c>
      <c r="AB8" s="71">
        <v>44.792833146696523</v>
      </c>
      <c r="AC8" s="71">
        <v>83.986562150055988</v>
      </c>
      <c r="AD8" s="71">
        <v>83.986562150055988</v>
      </c>
      <c r="AE8" s="71">
        <v>83.986562150055988</v>
      </c>
      <c r="AF8" s="71">
        <v>83.986562150055988</v>
      </c>
      <c r="AG8" s="72">
        <v>83.986562150055988</v>
      </c>
      <c r="AH8" s="119"/>
      <c r="AI8" s="7" t="s">
        <v>492</v>
      </c>
      <c r="AJ8" s="119">
        <f t="shared" si="2"/>
        <v>12.565875</v>
      </c>
      <c r="AK8" s="119">
        <f t="shared" si="1"/>
        <v>12.565875</v>
      </c>
      <c r="AL8" s="119">
        <f t="shared" si="1"/>
        <v>12.565875</v>
      </c>
      <c r="AM8" s="119">
        <f t="shared" si="1"/>
        <v>12.565875</v>
      </c>
      <c r="AN8" s="119">
        <f t="shared" si="1"/>
        <v>12.565875</v>
      </c>
      <c r="AO8" s="119">
        <f t="shared" si="1"/>
        <v>12.565875</v>
      </c>
      <c r="AP8" s="119">
        <f t="shared" si="1"/>
        <v>12.565875</v>
      </c>
      <c r="AQ8" s="119">
        <f t="shared" si="1"/>
        <v>12.565875</v>
      </c>
      <c r="AR8" s="119">
        <f t="shared" si="1"/>
        <v>12.565875</v>
      </c>
      <c r="AS8" s="119">
        <f t="shared" si="1"/>
        <v>12.565875</v>
      </c>
    </row>
    <row r="9" spans="1:45">
      <c r="A9" s="7" t="s">
        <v>496</v>
      </c>
      <c r="B9" s="119">
        <v>1.7052468047094611</v>
      </c>
      <c r="C9" s="119">
        <f t="shared" si="0"/>
        <v>1.7461727280224881</v>
      </c>
      <c r="D9" s="119">
        <f t="shared" si="0"/>
        <v>1.7828423553109605</v>
      </c>
      <c r="E9" s="119">
        <f t="shared" si="0"/>
        <v>1.8202820447724903</v>
      </c>
      <c r="F9" s="119">
        <f t="shared" si="0"/>
        <v>1.8585079677127123</v>
      </c>
      <c r="G9" s="119">
        <f t="shared" si="0"/>
        <v>1.8975366350346794</v>
      </c>
      <c r="H9" s="119">
        <f t="shared" si="0"/>
        <v>1.9373849043704072</v>
      </c>
      <c r="I9" s="119">
        <f t="shared" si="0"/>
        <v>1.9780699873621856</v>
      </c>
      <c r="J9" s="119">
        <f t="shared" si="0"/>
        <v>2.0196094570967915</v>
      </c>
      <c r="K9" s="119">
        <f t="shared" si="0"/>
        <v>2.0620212556958237</v>
      </c>
      <c r="L9" s="119"/>
      <c r="M9" s="119"/>
      <c r="N9" s="119"/>
      <c r="O9" s="119"/>
      <c r="P9" s="119"/>
      <c r="Q9" s="119"/>
      <c r="T9" s="119"/>
      <c r="U9" s="119"/>
      <c r="V9" s="119"/>
      <c r="W9" s="5" t="s">
        <v>495</v>
      </c>
      <c r="X9" s="119">
        <v>1.8486842105263162</v>
      </c>
      <c r="Y9" s="119">
        <v>2.6823308270676698</v>
      </c>
      <c r="Z9" s="119">
        <v>3.8571428571428577</v>
      </c>
      <c r="AA9" s="119">
        <v>69.646616541353396</v>
      </c>
      <c r="AB9" s="119">
        <v>135.43609022556393</v>
      </c>
      <c r="AC9" s="119">
        <v>135.43609022556393</v>
      </c>
      <c r="AD9" s="119">
        <v>135.43609022556393</v>
      </c>
      <c r="AE9" s="119">
        <v>135.43609022556393</v>
      </c>
      <c r="AF9" s="119">
        <v>135.43609022556393</v>
      </c>
      <c r="AG9" s="119">
        <v>135.43609022556393</v>
      </c>
      <c r="AH9" s="119"/>
      <c r="AI9" s="7" t="s">
        <v>494</v>
      </c>
      <c r="AJ9" s="119">
        <f t="shared" si="2"/>
        <v>12.565875</v>
      </c>
      <c r="AK9" s="119">
        <f t="shared" si="1"/>
        <v>12.565875</v>
      </c>
      <c r="AL9" s="119">
        <f t="shared" si="1"/>
        <v>12.565875</v>
      </c>
      <c r="AM9" s="119">
        <f t="shared" si="1"/>
        <v>12.565875</v>
      </c>
      <c r="AN9" s="119">
        <f t="shared" si="1"/>
        <v>12.565875</v>
      </c>
      <c r="AO9" s="119">
        <f t="shared" si="1"/>
        <v>12.565875</v>
      </c>
      <c r="AP9" s="119">
        <f t="shared" si="1"/>
        <v>12.565875</v>
      </c>
      <c r="AQ9" s="119">
        <f t="shared" si="1"/>
        <v>12.565875</v>
      </c>
      <c r="AR9" s="119">
        <f t="shared" si="1"/>
        <v>12.565875</v>
      </c>
      <c r="AS9" s="119">
        <f t="shared" si="1"/>
        <v>12.565875</v>
      </c>
    </row>
    <row r="10" spans="1:45">
      <c r="A10" s="7" t="s">
        <v>498</v>
      </c>
      <c r="B10" s="119">
        <v>1.7052468047094611</v>
      </c>
      <c r="C10" s="119">
        <f t="shared" si="0"/>
        <v>1.7461727280224881</v>
      </c>
      <c r="D10" s="119">
        <f t="shared" si="0"/>
        <v>1.7828423553109605</v>
      </c>
      <c r="E10" s="119">
        <f t="shared" si="0"/>
        <v>1.8202820447724903</v>
      </c>
      <c r="F10" s="119">
        <f t="shared" si="0"/>
        <v>1.8585079677127123</v>
      </c>
      <c r="G10" s="119">
        <f t="shared" si="0"/>
        <v>1.8975366350346794</v>
      </c>
      <c r="H10" s="119">
        <f t="shared" si="0"/>
        <v>1.9373849043704072</v>
      </c>
      <c r="I10" s="119">
        <f t="shared" si="0"/>
        <v>1.9780699873621856</v>
      </c>
      <c r="J10" s="119">
        <f t="shared" si="0"/>
        <v>2.0196094570967915</v>
      </c>
      <c r="K10" s="119">
        <f t="shared" si="0"/>
        <v>2.0620212556958237</v>
      </c>
      <c r="L10" s="119"/>
      <c r="M10" s="119"/>
      <c r="N10" s="119"/>
      <c r="O10" s="119"/>
      <c r="P10" s="119"/>
      <c r="Q10" s="119"/>
      <c r="T10" s="119"/>
      <c r="U10" s="119"/>
      <c r="V10" s="119"/>
      <c r="W10" s="5" t="s">
        <v>497</v>
      </c>
      <c r="X10" s="119">
        <v>776.94235588972435</v>
      </c>
      <c r="Y10" s="119">
        <v>388.47117794486218</v>
      </c>
      <c r="Z10" s="119">
        <v>388.47117794486218</v>
      </c>
      <c r="AA10" s="119">
        <v>394.73684210526318</v>
      </c>
      <c r="AB10" s="119">
        <v>401.00250626566418</v>
      </c>
      <c r="AC10" s="119">
        <v>463.65914786967426</v>
      </c>
      <c r="AD10" s="119">
        <v>588.9724310776943</v>
      </c>
      <c r="AE10" s="119">
        <v>714.28571428571433</v>
      </c>
      <c r="AF10" s="119">
        <v>776.94235588972435</v>
      </c>
      <c r="AG10" s="119">
        <v>776.94235588972435</v>
      </c>
      <c r="AH10" s="119"/>
      <c r="AI10" s="7" t="s">
        <v>496</v>
      </c>
      <c r="AJ10" s="119">
        <f t="shared" si="2"/>
        <v>12.565875</v>
      </c>
      <c r="AK10" s="119">
        <f t="shared" si="1"/>
        <v>12.565875</v>
      </c>
      <c r="AL10" s="119">
        <f t="shared" si="1"/>
        <v>12.565875</v>
      </c>
      <c r="AM10" s="119">
        <f t="shared" si="1"/>
        <v>12.565875</v>
      </c>
      <c r="AN10" s="119">
        <f t="shared" si="1"/>
        <v>12.565875</v>
      </c>
      <c r="AO10" s="119">
        <f t="shared" si="1"/>
        <v>12.565875</v>
      </c>
      <c r="AP10" s="119">
        <f t="shared" si="1"/>
        <v>12.565875</v>
      </c>
      <c r="AQ10" s="119">
        <f t="shared" si="1"/>
        <v>12.565875</v>
      </c>
      <c r="AR10" s="119">
        <f t="shared" si="1"/>
        <v>12.565875</v>
      </c>
      <c r="AS10" s="119">
        <f t="shared" si="1"/>
        <v>12.565875</v>
      </c>
    </row>
    <row r="11" spans="1:45">
      <c r="A11" s="7" t="s">
        <v>500</v>
      </c>
      <c r="B11" s="119">
        <v>1.7052468047094611</v>
      </c>
      <c r="C11" s="119">
        <f t="shared" si="0"/>
        <v>1.7461727280224881</v>
      </c>
      <c r="D11" s="119">
        <f t="shared" si="0"/>
        <v>1.7828423553109605</v>
      </c>
      <c r="E11" s="119">
        <f t="shared" si="0"/>
        <v>1.8202820447724903</v>
      </c>
      <c r="F11" s="119">
        <f t="shared" si="0"/>
        <v>1.8585079677127123</v>
      </c>
      <c r="G11" s="119">
        <f t="shared" si="0"/>
        <v>1.8975366350346794</v>
      </c>
      <c r="H11" s="119">
        <f t="shared" si="0"/>
        <v>1.9373849043704072</v>
      </c>
      <c r="I11" s="119">
        <f t="shared" si="0"/>
        <v>1.9780699873621856</v>
      </c>
      <c r="J11" s="119">
        <f t="shared" si="0"/>
        <v>2.0196094570967915</v>
      </c>
      <c r="K11" s="119">
        <f t="shared" si="0"/>
        <v>2.0620212556958237</v>
      </c>
      <c r="L11" s="119"/>
      <c r="M11" s="119"/>
      <c r="N11" s="119"/>
      <c r="O11" s="119"/>
      <c r="P11" s="119"/>
      <c r="Q11" s="119"/>
      <c r="T11" s="119"/>
      <c r="U11" s="119"/>
      <c r="V11" s="119"/>
      <c r="W11" s="5" t="s">
        <v>499</v>
      </c>
      <c r="X11" s="119">
        <v>24.027459954233411</v>
      </c>
      <c r="Y11" s="119">
        <v>62.35697940503433</v>
      </c>
      <c r="Z11" s="119">
        <v>153.89016018306637</v>
      </c>
      <c r="AA11" s="119">
        <v>405.60640732265449</v>
      </c>
      <c r="AB11" s="119">
        <v>497.13958810068652</v>
      </c>
      <c r="AC11" s="119">
        <v>497.13958810068652</v>
      </c>
      <c r="AD11" s="119">
        <v>497.13958810068652</v>
      </c>
      <c r="AE11" s="119">
        <v>497.13958810068652</v>
      </c>
      <c r="AF11" s="119">
        <v>497.13958810068652</v>
      </c>
      <c r="AG11" s="119">
        <v>497.13958810068652</v>
      </c>
      <c r="AH11" s="119"/>
      <c r="AI11" s="7" t="s">
        <v>498</v>
      </c>
      <c r="AJ11" s="119">
        <f t="shared" si="2"/>
        <v>12.565875</v>
      </c>
      <c r="AK11" s="119">
        <f t="shared" si="1"/>
        <v>12.565875</v>
      </c>
      <c r="AL11" s="119">
        <f t="shared" si="1"/>
        <v>12.565875</v>
      </c>
      <c r="AM11" s="119">
        <f t="shared" si="1"/>
        <v>12.565875</v>
      </c>
      <c r="AN11" s="119">
        <f t="shared" si="1"/>
        <v>771.21926523233765</v>
      </c>
      <c r="AO11" s="119">
        <f t="shared" si="1"/>
        <v>612.03752710323101</v>
      </c>
      <c r="AP11" s="119">
        <f t="shared" si="1"/>
        <v>612.03752710323101</v>
      </c>
      <c r="AQ11" s="119">
        <f t="shared" si="1"/>
        <v>612.03752710323101</v>
      </c>
      <c r="AR11" s="119">
        <f t="shared" si="1"/>
        <v>612.03752710323101</v>
      </c>
      <c r="AS11" s="119">
        <f t="shared" si="1"/>
        <v>612.03752710323101</v>
      </c>
    </row>
    <row r="12" spans="1:45" ht="15.75" thickBot="1">
      <c r="A12" s="7" t="s">
        <v>502</v>
      </c>
      <c r="B12" s="119">
        <v>1.7052468047094611</v>
      </c>
      <c r="C12" s="119">
        <f t="shared" si="0"/>
        <v>1.7461727280224881</v>
      </c>
      <c r="D12" s="119">
        <f t="shared" si="0"/>
        <v>1.7828423553109605</v>
      </c>
      <c r="E12" s="119">
        <f t="shared" si="0"/>
        <v>1.8202820447724903</v>
      </c>
      <c r="F12" s="119">
        <f t="shared" si="0"/>
        <v>1.8585079677127123</v>
      </c>
      <c r="G12" s="119">
        <f t="shared" si="0"/>
        <v>1.8975366350346794</v>
      </c>
      <c r="H12" s="119">
        <f t="shared" si="0"/>
        <v>1.9373849043704072</v>
      </c>
      <c r="I12" s="119">
        <f t="shared" si="0"/>
        <v>1.9780699873621856</v>
      </c>
      <c r="J12" s="119">
        <f t="shared" si="0"/>
        <v>2.0196094570967915</v>
      </c>
      <c r="K12" s="119">
        <f t="shared" si="0"/>
        <v>2.0620212556958237</v>
      </c>
      <c r="L12" s="119"/>
      <c r="M12" s="119"/>
      <c r="N12" s="119"/>
      <c r="O12" s="119"/>
      <c r="P12" s="119"/>
      <c r="Q12" s="119"/>
      <c r="T12" s="119"/>
      <c r="U12" s="119"/>
      <c r="V12" s="119"/>
      <c r="W12" s="68" t="s">
        <v>501</v>
      </c>
      <c r="X12" s="119">
        <v>24.198427102238359</v>
      </c>
      <c r="Y12" s="119">
        <v>120.99213551119179</v>
      </c>
      <c r="Z12" s="119">
        <v>193.58741681790687</v>
      </c>
      <c r="AA12" s="119">
        <v>217.78584392014523</v>
      </c>
      <c r="AB12" s="119">
        <v>217.78584392014523</v>
      </c>
      <c r="AC12" s="119">
        <v>217.78584392014523</v>
      </c>
      <c r="AD12" s="119">
        <v>217.78584392014523</v>
      </c>
      <c r="AE12" s="119">
        <v>217.78584392014523</v>
      </c>
      <c r="AF12" s="119">
        <v>217.78584392014523</v>
      </c>
      <c r="AG12" s="119">
        <v>217.78584392014523</v>
      </c>
      <c r="AH12" s="119"/>
      <c r="AI12" s="7" t="s">
        <v>500</v>
      </c>
      <c r="AJ12" s="119">
        <f t="shared" si="2"/>
        <v>12.565875</v>
      </c>
      <c r="AK12" s="119">
        <f t="shared" si="1"/>
        <v>12.565875</v>
      </c>
      <c r="AL12" s="119">
        <f t="shared" si="1"/>
        <v>12.565875</v>
      </c>
      <c r="AM12" s="119">
        <f t="shared" si="1"/>
        <v>12.565875</v>
      </c>
      <c r="AN12" s="119">
        <f t="shared" si="1"/>
        <v>12.565875</v>
      </c>
      <c r="AO12" s="119">
        <f t="shared" si="1"/>
        <v>12.565875</v>
      </c>
      <c r="AP12" s="119">
        <f t="shared" si="1"/>
        <v>12.565875</v>
      </c>
      <c r="AQ12" s="119">
        <f t="shared" si="1"/>
        <v>12.565875</v>
      </c>
      <c r="AR12" s="119">
        <f t="shared" si="1"/>
        <v>12.565875</v>
      </c>
      <c r="AS12" s="119">
        <f t="shared" si="1"/>
        <v>12.565875</v>
      </c>
    </row>
    <row r="13" spans="1:45">
      <c r="A13" s="7" t="s">
        <v>503</v>
      </c>
      <c r="B13" s="119">
        <v>1.7052468047094611</v>
      </c>
      <c r="C13" s="119">
        <f t="shared" si="0"/>
        <v>1.7461727280224881</v>
      </c>
      <c r="D13" s="119">
        <f t="shared" si="0"/>
        <v>1.7828423553109605</v>
      </c>
      <c r="E13" s="119">
        <f t="shared" si="0"/>
        <v>1.8202820447724903</v>
      </c>
      <c r="F13" s="119">
        <f t="shared" si="0"/>
        <v>1.8585079677127123</v>
      </c>
      <c r="G13" s="119">
        <f t="shared" si="0"/>
        <v>1.8975366350346794</v>
      </c>
      <c r="H13" s="119">
        <f t="shared" si="0"/>
        <v>1.9373849043704072</v>
      </c>
      <c r="I13" s="119">
        <f t="shared" si="0"/>
        <v>1.9780699873621856</v>
      </c>
      <c r="J13" s="119">
        <f t="shared" si="0"/>
        <v>2.0196094570967915</v>
      </c>
      <c r="K13" s="119">
        <f t="shared" si="0"/>
        <v>2.0620212556958237</v>
      </c>
      <c r="L13" s="119"/>
      <c r="M13" s="119"/>
      <c r="N13" s="119"/>
      <c r="O13" s="119"/>
      <c r="P13" s="119"/>
      <c r="Q13" s="119"/>
      <c r="T13" s="119"/>
      <c r="U13" s="119"/>
      <c r="V13" s="119"/>
      <c r="W13" s="5" t="s">
        <v>490</v>
      </c>
      <c r="X13" s="69">
        <v>122.80701754385964</v>
      </c>
      <c r="Y13" s="69">
        <v>122.80701754385964</v>
      </c>
      <c r="Z13" s="69">
        <v>182.14654282765738</v>
      </c>
      <c r="AA13" s="69">
        <v>167.57027275002088</v>
      </c>
      <c r="AB13" s="69">
        <v>167.57027275002088</v>
      </c>
      <c r="AC13" s="69">
        <v>167.57027275002088</v>
      </c>
      <c r="AD13" s="69">
        <v>167.57027275002088</v>
      </c>
      <c r="AE13" s="69">
        <v>167.57027275002088</v>
      </c>
      <c r="AF13" s="69">
        <v>167.57027275002088</v>
      </c>
      <c r="AG13" s="70">
        <v>167.57027275002088</v>
      </c>
      <c r="AH13" s="119"/>
      <c r="AI13" s="7" t="s">
        <v>502</v>
      </c>
      <c r="AJ13" s="119">
        <f t="shared" si="2"/>
        <v>12.565875</v>
      </c>
      <c r="AK13" s="119">
        <f t="shared" si="1"/>
        <v>12.565875</v>
      </c>
      <c r="AL13" s="119">
        <f t="shared" si="1"/>
        <v>12.565875</v>
      </c>
      <c r="AM13" s="119">
        <f t="shared" si="1"/>
        <v>12.565875</v>
      </c>
      <c r="AN13" s="119">
        <f t="shared" si="1"/>
        <v>12.565875</v>
      </c>
      <c r="AO13" s="119">
        <f t="shared" si="1"/>
        <v>12.565875</v>
      </c>
      <c r="AP13" s="119">
        <f t="shared" si="1"/>
        <v>12.565875</v>
      </c>
      <c r="AQ13" s="119">
        <f t="shared" si="1"/>
        <v>12.565875</v>
      </c>
      <c r="AR13" s="119">
        <f t="shared" si="1"/>
        <v>12.565875</v>
      </c>
      <c r="AS13" s="119">
        <f t="shared" si="1"/>
        <v>12.565875</v>
      </c>
    </row>
    <row r="14" spans="1:45">
      <c r="A14" s="7" t="s">
        <v>505</v>
      </c>
      <c r="B14" s="119">
        <v>1.7052468047094611</v>
      </c>
      <c r="C14" s="119">
        <f t="shared" si="0"/>
        <v>1.7461727280224881</v>
      </c>
      <c r="D14" s="119">
        <f t="shared" si="0"/>
        <v>1.7828423553109605</v>
      </c>
      <c r="E14" s="119">
        <f t="shared" si="0"/>
        <v>1.8202820447724903</v>
      </c>
      <c r="F14" s="119">
        <f t="shared" si="0"/>
        <v>1.8585079677127123</v>
      </c>
      <c r="G14" s="119">
        <f t="shared" si="0"/>
        <v>1.8975366350346794</v>
      </c>
      <c r="H14" s="119">
        <f t="shared" si="0"/>
        <v>1.9373849043704072</v>
      </c>
      <c r="I14" s="119">
        <f t="shared" si="0"/>
        <v>1.9780699873621856</v>
      </c>
      <c r="J14" s="119">
        <f t="shared" si="0"/>
        <v>2.0196094570967915</v>
      </c>
      <c r="K14" s="119">
        <f t="shared" si="0"/>
        <v>2.0620212556958237</v>
      </c>
      <c r="L14" s="119"/>
      <c r="M14" s="119"/>
      <c r="N14" s="119"/>
      <c r="O14" s="119"/>
      <c r="P14" s="119"/>
      <c r="Q14" s="119"/>
      <c r="T14" s="119"/>
      <c r="U14" s="119"/>
      <c r="V14" s="119"/>
      <c r="W14" s="5" t="s">
        <v>504</v>
      </c>
      <c r="X14" s="69">
        <v>0</v>
      </c>
      <c r="Y14" s="69">
        <v>0</v>
      </c>
      <c r="Z14" s="69">
        <v>0</v>
      </c>
      <c r="AA14" s="69">
        <v>0</v>
      </c>
      <c r="AB14" s="69">
        <v>1033.6652441915601</v>
      </c>
      <c r="AC14" s="69">
        <v>1033.6652441915601</v>
      </c>
      <c r="AD14" s="69">
        <v>1033.6652441915601</v>
      </c>
      <c r="AE14" s="69">
        <v>1033.6652441915601</v>
      </c>
      <c r="AF14" s="69">
        <v>1033.6652441915601</v>
      </c>
      <c r="AG14" s="70">
        <v>1033.6652441915601</v>
      </c>
      <c r="AH14" s="119"/>
      <c r="AI14" s="7" t="s">
        <v>503</v>
      </c>
      <c r="AJ14" s="119">
        <f t="shared" si="2"/>
        <v>12.565875</v>
      </c>
      <c r="AK14" s="119">
        <f t="shared" si="1"/>
        <v>12.565875</v>
      </c>
      <c r="AL14" s="119">
        <f t="shared" si="1"/>
        <v>12.565875</v>
      </c>
      <c r="AM14" s="119">
        <f t="shared" si="1"/>
        <v>12.565875</v>
      </c>
      <c r="AN14" s="119">
        <f t="shared" si="1"/>
        <v>12.565875</v>
      </c>
      <c r="AO14" s="119">
        <f t="shared" si="1"/>
        <v>12.565875</v>
      </c>
      <c r="AP14" s="119">
        <f t="shared" si="1"/>
        <v>12.565875</v>
      </c>
      <c r="AQ14" s="119">
        <f t="shared" si="1"/>
        <v>12.565875</v>
      </c>
      <c r="AR14" s="119">
        <f t="shared" si="1"/>
        <v>12.565875</v>
      </c>
      <c r="AS14" s="119">
        <f t="shared" si="1"/>
        <v>12.565875</v>
      </c>
    </row>
    <row r="15" spans="1:45">
      <c r="A15" s="7" t="s">
        <v>507</v>
      </c>
      <c r="B15" s="119">
        <v>1.7052468047094611</v>
      </c>
      <c r="C15" s="119">
        <f t="shared" ref="C15:K24" si="3">$B15*C$3</f>
        <v>1.7461727280224881</v>
      </c>
      <c r="D15" s="119">
        <f t="shared" si="3"/>
        <v>1.7828423553109605</v>
      </c>
      <c r="E15" s="119">
        <f t="shared" si="3"/>
        <v>1.8202820447724903</v>
      </c>
      <c r="F15" s="119">
        <f t="shared" si="3"/>
        <v>1.8585079677127123</v>
      </c>
      <c r="G15" s="119">
        <f t="shared" si="3"/>
        <v>1.8975366350346794</v>
      </c>
      <c r="H15" s="119">
        <f t="shared" si="3"/>
        <v>1.9373849043704072</v>
      </c>
      <c r="I15" s="119">
        <f t="shared" si="3"/>
        <v>1.9780699873621856</v>
      </c>
      <c r="J15" s="119">
        <f t="shared" si="3"/>
        <v>2.0196094570967915</v>
      </c>
      <c r="K15" s="119">
        <f t="shared" si="3"/>
        <v>2.0620212556958237</v>
      </c>
      <c r="L15" s="119"/>
      <c r="M15" s="119"/>
      <c r="N15" s="119"/>
      <c r="O15" s="119"/>
      <c r="P15" s="119"/>
      <c r="Q15" s="119"/>
      <c r="T15" s="119"/>
      <c r="U15" s="119"/>
      <c r="V15" s="119"/>
      <c r="W15" s="5" t="s">
        <v>506</v>
      </c>
      <c r="X15" s="69">
        <v>0</v>
      </c>
      <c r="Y15" s="69">
        <v>0</v>
      </c>
      <c r="Z15" s="69">
        <v>379.32669511616882</v>
      </c>
      <c r="AA15" s="69">
        <v>379.32669511616882</v>
      </c>
      <c r="AB15" s="69">
        <v>379.32669511616882</v>
      </c>
      <c r="AC15" s="69">
        <v>379.32669511616882</v>
      </c>
      <c r="AD15" s="69">
        <v>379.32669511616882</v>
      </c>
      <c r="AE15" s="69">
        <v>379.32669511616882</v>
      </c>
      <c r="AF15" s="69">
        <v>379.32669511616882</v>
      </c>
      <c r="AG15" s="70">
        <v>379.32669511616882</v>
      </c>
      <c r="AH15" s="119"/>
      <c r="AI15" s="7" t="s">
        <v>505</v>
      </c>
      <c r="AJ15" s="119">
        <f t="shared" si="2"/>
        <v>12.565875</v>
      </c>
      <c r="AK15" s="119">
        <f t="shared" si="1"/>
        <v>12.565875</v>
      </c>
      <c r="AL15" s="119">
        <f t="shared" si="1"/>
        <v>12.565875</v>
      </c>
      <c r="AM15" s="119">
        <f t="shared" si="1"/>
        <v>12.565875</v>
      </c>
      <c r="AN15" s="119">
        <f t="shared" si="1"/>
        <v>12.565875</v>
      </c>
      <c r="AO15" s="119">
        <f t="shared" si="1"/>
        <v>12.565875</v>
      </c>
      <c r="AP15" s="119">
        <f t="shared" si="1"/>
        <v>12.565875</v>
      </c>
      <c r="AQ15" s="119">
        <f t="shared" si="1"/>
        <v>12.565875</v>
      </c>
      <c r="AR15" s="119">
        <f t="shared" si="1"/>
        <v>12.565875</v>
      </c>
      <c r="AS15" s="119">
        <f t="shared" si="1"/>
        <v>12.565875</v>
      </c>
    </row>
    <row r="16" spans="1:45">
      <c r="A16" s="7" t="s">
        <v>508</v>
      </c>
      <c r="B16" s="119">
        <v>1.7052468047094611</v>
      </c>
      <c r="C16" s="119">
        <f t="shared" si="3"/>
        <v>1.7461727280224881</v>
      </c>
      <c r="D16" s="119">
        <f t="shared" si="3"/>
        <v>1.7828423553109605</v>
      </c>
      <c r="E16" s="119">
        <f t="shared" si="3"/>
        <v>1.8202820447724903</v>
      </c>
      <c r="F16" s="119">
        <f t="shared" si="3"/>
        <v>1.8585079677127123</v>
      </c>
      <c r="G16" s="119">
        <f t="shared" si="3"/>
        <v>1.8975366350346794</v>
      </c>
      <c r="H16" s="119">
        <f t="shared" si="3"/>
        <v>1.9373849043704072</v>
      </c>
      <c r="I16" s="119">
        <f t="shared" si="3"/>
        <v>1.9780699873621856</v>
      </c>
      <c r="J16" s="119">
        <f t="shared" si="3"/>
        <v>2.0196094570967915</v>
      </c>
      <c r="K16" s="119">
        <f t="shared" si="3"/>
        <v>2.0620212556958237</v>
      </c>
      <c r="L16" s="119"/>
      <c r="M16" s="119"/>
      <c r="N16" s="119"/>
      <c r="O16" s="119"/>
      <c r="P16" s="119"/>
      <c r="Q16" s="119"/>
      <c r="T16" s="119"/>
      <c r="U16" s="119"/>
      <c r="V16" s="119"/>
      <c r="W16" s="5" t="s">
        <v>498</v>
      </c>
      <c r="X16" s="69">
        <v>0</v>
      </c>
      <c r="Y16" s="69">
        <v>0</v>
      </c>
      <c r="Z16" s="69">
        <v>0</v>
      </c>
      <c r="AA16" s="69">
        <v>0</v>
      </c>
      <c r="AB16" s="69">
        <v>758.65339023233764</v>
      </c>
      <c r="AC16" s="69">
        <v>599.47165210323101</v>
      </c>
      <c r="AD16" s="69">
        <v>599.47165210323101</v>
      </c>
      <c r="AE16" s="69">
        <v>599.47165210323101</v>
      </c>
      <c r="AF16" s="69">
        <v>599.47165210323101</v>
      </c>
      <c r="AG16" s="70">
        <v>599.47165210323101</v>
      </c>
      <c r="AH16" s="119"/>
      <c r="AI16" s="7" t="s">
        <v>507</v>
      </c>
      <c r="AJ16" s="119">
        <f t="shared" si="2"/>
        <v>12.565875</v>
      </c>
      <c r="AK16" s="119">
        <f t="shared" si="1"/>
        <v>12.565875</v>
      </c>
      <c r="AL16" s="119">
        <f t="shared" si="1"/>
        <v>12.565875</v>
      </c>
      <c r="AM16" s="119">
        <f t="shared" si="1"/>
        <v>368.18465167140823</v>
      </c>
      <c r="AN16" s="119">
        <f t="shared" si="1"/>
        <v>368.18465167140823</v>
      </c>
      <c r="AO16" s="119">
        <f t="shared" si="1"/>
        <v>368.18465167140823</v>
      </c>
      <c r="AP16" s="119">
        <f t="shared" si="1"/>
        <v>368.18465167140823</v>
      </c>
      <c r="AQ16" s="119">
        <f t="shared" si="1"/>
        <v>368.18465167140823</v>
      </c>
      <c r="AR16" s="119">
        <f t="shared" si="1"/>
        <v>368.18465167140823</v>
      </c>
      <c r="AS16" s="119">
        <f t="shared" si="1"/>
        <v>368.18465167140823</v>
      </c>
    </row>
    <row r="17" spans="1:45">
      <c r="A17" s="7" t="s">
        <v>509</v>
      </c>
      <c r="B17" s="119">
        <v>1.7052468047094611</v>
      </c>
      <c r="C17" s="119">
        <f t="shared" si="3"/>
        <v>1.7461727280224881</v>
      </c>
      <c r="D17" s="119">
        <f t="shared" si="3"/>
        <v>1.7828423553109605</v>
      </c>
      <c r="E17" s="119">
        <f t="shared" si="3"/>
        <v>1.8202820447724903</v>
      </c>
      <c r="F17" s="119">
        <f t="shared" si="3"/>
        <v>1.8585079677127123</v>
      </c>
      <c r="G17" s="119">
        <f t="shared" si="3"/>
        <v>1.8975366350346794</v>
      </c>
      <c r="H17" s="119">
        <f t="shared" si="3"/>
        <v>1.9373849043704072</v>
      </c>
      <c r="I17" s="119">
        <f t="shared" si="3"/>
        <v>1.9780699873621856</v>
      </c>
      <c r="J17" s="119">
        <f t="shared" si="3"/>
        <v>2.0196094570967915</v>
      </c>
      <c r="K17" s="119">
        <f t="shared" si="3"/>
        <v>2.0620212556958237</v>
      </c>
      <c r="L17" s="119"/>
      <c r="M17" s="119"/>
      <c r="N17" s="119"/>
      <c r="O17" s="119"/>
      <c r="P17" s="119"/>
      <c r="Q17" s="119"/>
      <c r="T17" s="119"/>
      <c r="U17" s="119"/>
      <c r="V17" s="119"/>
      <c r="W17" s="5" t="s">
        <v>507</v>
      </c>
      <c r="X17" s="69">
        <v>0</v>
      </c>
      <c r="Y17" s="69">
        <v>0</v>
      </c>
      <c r="Z17" s="69">
        <v>0</v>
      </c>
      <c r="AA17" s="69">
        <v>355.61877667140823</v>
      </c>
      <c r="AB17" s="69">
        <v>355.61877667140823</v>
      </c>
      <c r="AC17" s="69">
        <v>355.61877667140823</v>
      </c>
      <c r="AD17" s="69">
        <v>355.61877667140823</v>
      </c>
      <c r="AE17" s="69">
        <v>355.61877667140823</v>
      </c>
      <c r="AF17" s="69">
        <v>355.61877667140823</v>
      </c>
      <c r="AG17" s="70">
        <v>355.61877667140823</v>
      </c>
      <c r="AH17" s="119"/>
      <c r="AI17" s="7" t="s">
        <v>508</v>
      </c>
      <c r="AJ17" s="119">
        <f t="shared" si="2"/>
        <v>12.565875</v>
      </c>
      <c r="AK17" s="119">
        <f t="shared" si="1"/>
        <v>12.565875</v>
      </c>
      <c r="AL17" s="119">
        <f t="shared" si="1"/>
        <v>12.565875</v>
      </c>
      <c r="AM17" s="119">
        <f t="shared" si="1"/>
        <v>12.565875</v>
      </c>
      <c r="AN17" s="119">
        <f t="shared" si="1"/>
        <v>12.565875</v>
      </c>
      <c r="AO17" s="119">
        <f t="shared" si="1"/>
        <v>12.565875</v>
      </c>
      <c r="AP17" s="119">
        <f t="shared" si="1"/>
        <v>12.565875</v>
      </c>
      <c r="AQ17" s="119">
        <f t="shared" si="1"/>
        <v>12.565875</v>
      </c>
      <c r="AR17" s="119">
        <f t="shared" si="1"/>
        <v>12.565875</v>
      </c>
      <c r="AS17" s="119">
        <f t="shared" si="1"/>
        <v>12.565875</v>
      </c>
    </row>
    <row r="18" spans="1:45">
      <c r="A18" s="7" t="s">
        <v>510</v>
      </c>
      <c r="B18" s="119">
        <v>1.7052468047094611</v>
      </c>
      <c r="C18" s="119">
        <f t="shared" si="3"/>
        <v>1.7461727280224881</v>
      </c>
      <c r="D18" s="119">
        <f t="shared" si="3"/>
        <v>1.7828423553109605</v>
      </c>
      <c r="E18" s="119">
        <f t="shared" si="3"/>
        <v>1.8202820447724903</v>
      </c>
      <c r="F18" s="119">
        <f t="shared" si="3"/>
        <v>1.8585079677127123</v>
      </c>
      <c r="G18" s="119">
        <f t="shared" si="3"/>
        <v>1.8975366350346794</v>
      </c>
      <c r="H18" s="119">
        <f t="shared" si="3"/>
        <v>1.9373849043704072</v>
      </c>
      <c r="I18" s="119">
        <f t="shared" si="3"/>
        <v>1.9780699873621856</v>
      </c>
      <c r="J18" s="119">
        <f t="shared" si="3"/>
        <v>2.0196094570967915</v>
      </c>
      <c r="K18" s="119">
        <f t="shared" si="3"/>
        <v>2.0620212556958237</v>
      </c>
      <c r="L18" s="119"/>
      <c r="M18" s="119"/>
      <c r="N18" s="119"/>
      <c r="O18" s="119"/>
      <c r="P18" s="119"/>
      <c r="Q18" s="119"/>
      <c r="T18" s="119"/>
      <c r="U18" s="119"/>
      <c r="V18" s="119"/>
      <c r="W18" s="5" t="s">
        <v>509</v>
      </c>
      <c r="X18" s="69">
        <v>0</v>
      </c>
      <c r="Y18" s="69">
        <v>160.0284495021337</v>
      </c>
      <c r="Z18" s="69">
        <v>160.0284495021337</v>
      </c>
      <c r="AA18" s="69">
        <v>160.0284495021337</v>
      </c>
      <c r="AB18" s="69">
        <v>160.0284495021337</v>
      </c>
      <c r="AC18" s="69">
        <v>160.0284495021337</v>
      </c>
      <c r="AD18" s="69">
        <v>160.0284495021337</v>
      </c>
      <c r="AE18" s="69">
        <v>160.0284495021337</v>
      </c>
      <c r="AF18" s="69">
        <v>160.0284495021337</v>
      </c>
      <c r="AG18" s="70">
        <v>160.0284495021337</v>
      </c>
      <c r="AH18" s="119"/>
      <c r="AI18" s="7" t="s">
        <v>509</v>
      </c>
      <c r="AJ18" s="119">
        <f t="shared" si="2"/>
        <v>12.565875</v>
      </c>
      <c r="AK18" s="119">
        <f t="shared" si="1"/>
        <v>172.5943245021337</v>
      </c>
      <c r="AL18" s="119">
        <f t="shared" si="1"/>
        <v>172.5943245021337</v>
      </c>
      <c r="AM18" s="119">
        <f t="shared" si="1"/>
        <v>172.5943245021337</v>
      </c>
      <c r="AN18" s="119">
        <f t="shared" si="1"/>
        <v>172.5943245021337</v>
      </c>
      <c r="AO18" s="119">
        <f t="shared" si="1"/>
        <v>172.5943245021337</v>
      </c>
      <c r="AP18" s="119">
        <f t="shared" si="1"/>
        <v>172.5943245021337</v>
      </c>
      <c r="AQ18" s="119">
        <f t="shared" si="1"/>
        <v>172.5943245021337</v>
      </c>
      <c r="AR18" s="119">
        <f t="shared" si="1"/>
        <v>172.5943245021337</v>
      </c>
      <c r="AS18" s="119">
        <f t="shared" si="1"/>
        <v>172.5943245021337</v>
      </c>
    </row>
    <row r="19" spans="1:45">
      <c r="A19" s="7" t="s">
        <v>512</v>
      </c>
      <c r="B19" s="119">
        <v>1.7052468047094611</v>
      </c>
      <c r="C19" s="119">
        <f t="shared" si="3"/>
        <v>1.7461727280224881</v>
      </c>
      <c r="D19" s="119">
        <f t="shared" si="3"/>
        <v>1.7828423553109605</v>
      </c>
      <c r="E19" s="119">
        <f t="shared" si="3"/>
        <v>1.8202820447724903</v>
      </c>
      <c r="F19" s="119">
        <f t="shared" si="3"/>
        <v>1.8585079677127123</v>
      </c>
      <c r="G19" s="119">
        <f t="shared" si="3"/>
        <v>1.8975366350346794</v>
      </c>
      <c r="H19" s="119">
        <f t="shared" si="3"/>
        <v>1.9373849043704072</v>
      </c>
      <c r="I19" s="119">
        <f t="shared" si="3"/>
        <v>1.9780699873621856</v>
      </c>
      <c r="J19" s="119">
        <f t="shared" si="3"/>
        <v>2.0196094570967915</v>
      </c>
      <c r="K19" s="119">
        <f t="shared" si="3"/>
        <v>2.0620212556958237</v>
      </c>
      <c r="L19" s="119"/>
      <c r="M19" s="119"/>
      <c r="N19" s="119"/>
      <c r="O19" s="119"/>
      <c r="P19" s="119"/>
      <c r="Q19" s="119"/>
      <c r="T19" s="119"/>
      <c r="U19" s="119"/>
      <c r="V19" s="119"/>
      <c r="W19" s="5" t="s">
        <v>511</v>
      </c>
      <c r="X19" s="69">
        <v>0</v>
      </c>
      <c r="Y19" s="69">
        <v>0</v>
      </c>
      <c r="Z19" s="69">
        <v>0</v>
      </c>
      <c r="AA19" s="69">
        <v>0</v>
      </c>
      <c r="AB19" s="69">
        <v>0</v>
      </c>
      <c r="AC19" s="69">
        <v>142.24751066856328</v>
      </c>
      <c r="AD19" s="69">
        <v>142.24751066856328</v>
      </c>
      <c r="AE19" s="69">
        <v>142.24751066856328</v>
      </c>
      <c r="AF19" s="69">
        <v>142.24751066856328</v>
      </c>
      <c r="AG19" s="70">
        <v>142.24751066856328</v>
      </c>
      <c r="AH19" s="119"/>
      <c r="AI19" s="7" t="s">
        <v>510</v>
      </c>
      <c r="AJ19" s="119">
        <f t="shared" si="2"/>
        <v>12.565875</v>
      </c>
      <c r="AK19" s="119">
        <f t="shared" si="1"/>
        <v>12.565875</v>
      </c>
      <c r="AL19" s="119">
        <f t="shared" si="1"/>
        <v>12.565875</v>
      </c>
      <c r="AM19" s="119">
        <f t="shared" si="1"/>
        <v>12.565875</v>
      </c>
      <c r="AN19" s="119">
        <f t="shared" si="1"/>
        <v>12.565875</v>
      </c>
      <c r="AO19" s="119">
        <f t="shared" si="1"/>
        <v>12.565875</v>
      </c>
      <c r="AP19" s="119">
        <f t="shared" si="1"/>
        <v>12.565875</v>
      </c>
      <c r="AQ19" s="119">
        <f t="shared" si="1"/>
        <v>12.565875</v>
      </c>
      <c r="AR19" s="119">
        <f t="shared" si="1"/>
        <v>12.565875</v>
      </c>
      <c r="AS19" s="119">
        <f t="shared" si="1"/>
        <v>12.565875</v>
      </c>
    </row>
    <row r="20" spans="1:45">
      <c r="A20" s="7" t="s">
        <v>511</v>
      </c>
      <c r="B20" s="119">
        <v>1.7052468047094611</v>
      </c>
      <c r="C20" s="119">
        <f t="shared" si="3"/>
        <v>1.7461727280224881</v>
      </c>
      <c r="D20" s="119">
        <f t="shared" si="3"/>
        <v>1.7828423553109605</v>
      </c>
      <c r="E20" s="119">
        <f t="shared" si="3"/>
        <v>1.8202820447724903</v>
      </c>
      <c r="F20" s="119">
        <f t="shared" si="3"/>
        <v>1.8585079677127123</v>
      </c>
      <c r="G20" s="119">
        <f t="shared" si="3"/>
        <v>1.8975366350346794</v>
      </c>
      <c r="H20" s="119">
        <f t="shared" si="3"/>
        <v>1.9373849043704072</v>
      </c>
      <c r="I20" s="119">
        <f t="shared" si="3"/>
        <v>1.9780699873621856</v>
      </c>
      <c r="J20" s="119">
        <f t="shared" si="3"/>
        <v>2.0196094570967915</v>
      </c>
      <c r="K20" s="119">
        <f t="shared" si="3"/>
        <v>2.0620212556958237</v>
      </c>
      <c r="L20" s="119"/>
      <c r="M20" s="119"/>
      <c r="N20" s="119"/>
      <c r="O20" s="119"/>
      <c r="P20" s="119"/>
      <c r="Q20" s="119"/>
      <c r="T20" s="119"/>
      <c r="U20" s="119"/>
      <c r="V20" s="119"/>
      <c r="W20" s="5" t="s">
        <v>513</v>
      </c>
      <c r="X20" s="69">
        <v>71.123755334281654</v>
      </c>
      <c r="Y20" s="69">
        <v>71.123755334281654</v>
      </c>
      <c r="Z20" s="69">
        <v>71.123755334281654</v>
      </c>
      <c r="AA20" s="69">
        <v>71.123755334281654</v>
      </c>
      <c r="AB20" s="69">
        <v>71.123755334281654</v>
      </c>
      <c r="AC20" s="69">
        <v>71.123755334281654</v>
      </c>
      <c r="AD20" s="69">
        <v>71.123755334281654</v>
      </c>
      <c r="AE20" s="69">
        <v>71.123755334281654</v>
      </c>
      <c r="AF20" s="69">
        <v>71.123755334281654</v>
      </c>
      <c r="AG20" s="70">
        <v>71.123755334281654</v>
      </c>
      <c r="AH20" s="119"/>
      <c r="AI20" s="7" t="s">
        <v>512</v>
      </c>
      <c r="AJ20" s="119">
        <f t="shared" si="2"/>
        <v>12.565875</v>
      </c>
      <c r="AK20" s="119">
        <f t="shared" si="1"/>
        <v>12.565875</v>
      </c>
      <c r="AL20" s="119">
        <f t="shared" si="1"/>
        <v>12.565875</v>
      </c>
      <c r="AM20" s="119">
        <f t="shared" si="1"/>
        <v>12.565875</v>
      </c>
      <c r="AN20" s="119">
        <f t="shared" si="1"/>
        <v>12.565875</v>
      </c>
      <c r="AO20" s="119">
        <f t="shared" si="1"/>
        <v>12.565875</v>
      </c>
      <c r="AP20" s="119">
        <f t="shared" si="1"/>
        <v>12.565875</v>
      </c>
      <c r="AQ20" s="119">
        <f t="shared" si="1"/>
        <v>12.565875</v>
      </c>
      <c r="AR20" s="119">
        <f t="shared" si="1"/>
        <v>12.565875</v>
      </c>
      <c r="AS20" s="119">
        <f t="shared" si="1"/>
        <v>12.565875</v>
      </c>
    </row>
    <row r="21" spans="1:45">
      <c r="A21" s="7" t="s">
        <v>515</v>
      </c>
      <c r="B21" s="119">
        <v>1.7052468047094611</v>
      </c>
      <c r="C21" s="119">
        <f t="shared" si="3"/>
        <v>1.7461727280224881</v>
      </c>
      <c r="D21" s="119">
        <f t="shared" si="3"/>
        <v>1.7828423553109605</v>
      </c>
      <c r="E21" s="119">
        <f t="shared" si="3"/>
        <v>1.8202820447724903</v>
      </c>
      <c r="F21" s="119">
        <f t="shared" si="3"/>
        <v>1.8585079677127123</v>
      </c>
      <c r="G21" s="119">
        <f t="shared" si="3"/>
        <v>1.8975366350346794</v>
      </c>
      <c r="H21" s="119">
        <f t="shared" si="3"/>
        <v>1.9373849043704072</v>
      </c>
      <c r="I21" s="119">
        <f t="shared" si="3"/>
        <v>1.9780699873621856</v>
      </c>
      <c r="J21" s="119">
        <f t="shared" si="3"/>
        <v>2.0196094570967915</v>
      </c>
      <c r="K21" s="119">
        <f t="shared" si="3"/>
        <v>2.0620212556958237</v>
      </c>
      <c r="L21" s="119"/>
      <c r="M21" s="119"/>
      <c r="N21" s="119"/>
      <c r="O21" s="119"/>
      <c r="P21" s="119"/>
      <c r="Q21" s="119"/>
      <c r="T21" s="119"/>
      <c r="U21" s="119"/>
      <c r="V21" s="119"/>
      <c r="W21" s="5" t="s">
        <v>514</v>
      </c>
      <c r="X21" s="69">
        <v>0</v>
      </c>
      <c r="Y21" s="69">
        <v>0</v>
      </c>
      <c r="Z21" s="69">
        <v>122.33285917496444</v>
      </c>
      <c r="AA21" s="69">
        <v>190.57447540419676</v>
      </c>
      <c r="AB21" s="69">
        <v>189.9359176384074</v>
      </c>
      <c r="AC21" s="69">
        <v>189.9359176384074</v>
      </c>
      <c r="AD21" s="69">
        <v>189.9359176384074</v>
      </c>
      <c r="AE21" s="69">
        <v>189.9359176384074</v>
      </c>
      <c r="AF21" s="69">
        <v>189.9359176384074</v>
      </c>
      <c r="AG21" s="70">
        <v>189.9359176384074</v>
      </c>
      <c r="AH21" s="119"/>
      <c r="AI21" s="7" t="s">
        <v>511</v>
      </c>
      <c r="AJ21" s="119">
        <f t="shared" si="2"/>
        <v>12.565875</v>
      </c>
      <c r="AK21" s="119">
        <f t="shared" si="1"/>
        <v>12.565875</v>
      </c>
      <c r="AL21" s="119">
        <f t="shared" si="1"/>
        <v>12.565875</v>
      </c>
      <c r="AM21" s="119">
        <f t="shared" si="1"/>
        <v>12.565875</v>
      </c>
      <c r="AN21" s="119">
        <f t="shared" si="1"/>
        <v>12.565875</v>
      </c>
      <c r="AO21" s="119">
        <f t="shared" si="1"/>
        <v>154.81338566856328</v>
      </c>
      <c r="AP21" s="119">
        <f t="shared" si="1"/>
        <v>154.81338566856328</v>
      </c>
      <c r="AQ21" s="119">
        <f t="shared" si="1"/>
        <v>154.81338566856328</v>
      </c>
      <c r="AR21" s="119">
        <f t="shared" si="1"/>
        <v>154.81338566856328</v>
      </c>
      <c r="AS21" s="119">
        <f t="shared" si="1"/>
        <v>154.81338566856328</v>
      </c>
    </row>
    <row r="22" spans="1:45">
      <c r="A22" s="7" t="s">
        <v>517</v>
      </c>
      <c r="B22" s="119">
        <v>1.7052468047094611</v>
      </c>
      <c r="C22" s="119">
        <f t="shared" si="3"/>
        <v>1.7461727280224881</v>
      </c>
      <c r="D22" s="119">
        <f t="shared" si="3"/>
        <v>1.7828423553109605</v>
      </c>
      <c r="E22" s="119">
        <f t="shared" si="3"/>
        <v>1.8202820447724903</v>
      </c>
      <c r="F22" s="119">
        <f t="shared" si="3"/>
        <v>1.8585079677127123</v>
      </c>
      <c r="G22" s="119">
        <f t="shared" si="3"/>
        <v>1.8975366350346794</v>
      </c>
      <c r="H22" s="119">
        <f t="shared" si="3"/>
        <v>1.9373849043704072</v>
      </c>
      <c r="I22" s="119">
        <f t="shared" si="3"/>
        <v>1.9780699873621856</v>
      </c>
      <c r="J22" s="119">
        <f t="shared" si="3"/>
        <v>2.0196094570967915</v>
      </c>
      <c r="K22" s="119">
        <f t="shared" si="3"/>
        <v>2.0620212556958237</v>
      </c>
      <c r="L22" s="119"/>
      <c r="M22" s="119"/>
      <c r="N22" s="119"/>
      <c r="O22" s="119"/>
      <c r="P22" s="119"/>
      <c r="Q22" s="119"/>
      <c r="T22" s="119"/>
      <c r="U22" s="119"/>
      <c r="V22" s="119"/>
      <c r="W22" s="5" t="s">
        <v>516</v>
      </c>
      <c r="X22" s="69">
        <v>0</v>
      </c>
      <c r="Y22" s="69">
        <v>142.24751066856328</v>
      </c>
      <c r="Z22" s="69">
        <v>142.24751066856328</v>
      </c>
      <c r="AA22" s="69">
        <v>142.24751066856328</v>
      </c>
      <c r="AB22" s="69">
        <v>142.24751066856328</v>
      </c>
      <c r="AC22" s="69">
        <v>142.24751066856328</v>
      </c>
      <c r="AD22" s="69">
        <v>142.24751066856328</v>
      </c>
      <c r="AE22" s="69">
        <v>142.24751066856328</v>
      </c>
      <c r="AF22" s="69">
        <v>142.24751066856328</v>
      </c>
      <c r="AG22" s="70">
        <v>142.24751066856328</v>
      </c>
      <c r="AH22" s="119"/>
      <c r="AI22" s="7" t="s">
        <v>515</v>
      </c>
      <c r="AJ22" s="119">
        <f t="shared" si="2"/>
        <v>12.565875</v>
      </c>
      <c r="AK22" s="119">
        <f t="shared" ref="AK22:AK64" si="4">SUMIFS(Y$6:Y$84,$W$6:$W$84,$AI22)</f>
        <v>12.565875</v>
      </c>
      <c r="AL22" s="119">
        <f t="shared" ref="AL22:AL64" si="5">SUMIFS(Z$6:Z$84,$W$6:$W$84,$AI22)</f>
        <v>12.565875</v>
      </c>
      <c r="AM22" s="119">
        <f t="shared" ref="AM22:AM64" si="6">SUMIFS(AA$6:AA$84,$W$6:$W$84,$AI22)</f>
        <v>12.565875</v>
      </c>
      <c r="AN22" s="119">
        <f t="shared" ref="AN22:AN64" si="7">SUMIFS(AB$6:AB$84,$W$6:$W$84,$AI22)</f>
        <v>12.565875</v>
      </c>
      <c r="AO22" s="119">
        <f t="shared" ref="AO22:AO64" si="8">SUMIFS(AC$6:AC$84,$W$6:$W$84,$AI22)</f>
        <v>12.565875</v>
      </c>
      <c r="AP22" s="119">
        <f t="shared" ref="AP22:AP64" si="9">SUMIFS(AD$6:AD$84,$W$6:$W$84,$AI22)</f>
        <v>12.565875</v>
      </c>
      <c r="AQ22" s="119">
        <f t="shared" ref="AQ22:AQ64" si="10">SUMIFS(AE$6:AE$84,$W$6:$W$84,$AI22)</f>
        <v>12.565875</v>
      </c>
      <c r="AR22" s="119">
        <f t="shared" ref="AR22:AR64" si="11">SUMIFS(AF$6:AF$84,$W$6:$W$84,$AI22)</f>
        <v>12.565875</v>
      </c>
      <c r="AS22" s="119">
        <f t="shared" ref="AS22:AS64" si="12">SUMIFS(AG$6:AG$84,$W$6:$W$84,$AI22)</f>
        <v>12.565875</v>
      </c>
    </row>
    <row r="23" spans="1:45">
      <c r="A23" s="7" t="s">
        <v>519</v>
      </c>
      <c r="B23" s="119">
        <v>1.7052468047094611</v>
      </c>
      <c r="C23" s="119">
        <f t="shared" si="3"/>
        <v>1.7461727280224881</v>
      </c>
      <c r="D23" s="119">
        <f t="shared" si="3"/>
        <v>1.7828423553109605</v>
      </c>
      <c r="E23" s="119">
        <f t="shared" si="3"/>
        <v>1.8202820447724903</v>
      </c>
      <c r="F23" s="119">
        <f t="shared" si="3"/>
        <v>1.8585079677127123</v>
      </c>
      <c r="G23" s="119">
        <f t="shared" si="3"/>
        <v>1.8975366350346794</v>
      </c>
      <c r="H23" s="119">
        <f t="shared" si="3"/>
        <v>1.9373849043704072</v>
      </c>
      <c r="I23" s="119">
        <f t="shared" si="3"/>
        <v>1.9780699873621856</v>
      </c>
      <c r="J23" s="119">
        <f t="shared" si="3"/>
        <v>2.0196094570967915</v>
      </c>
      <c r="K23" s="119">
        <f t="shared" si="3"/>
        <v>2.0620212556958237</v>
      </c>
      <c r="L23" s="119"/>
      <c r="M23" s="119"/>
      <c r="N23" s="119"/>
      <c r="O23" s="119"/>
      <c r="P23" s="119"/>
      <c r="Q23" s="119"/>
      <c r="T23" s="119"/>
      <c r="U23" s="119"/>
      <c r="V23" s="119"/>
      <c r="W23" s="5" t="s">
        <v>518</v>
      </c>
      <c r="X23" s="69">
        <v>0</v>
      </c>
      <c r="Y23" s="69">
        <v>0</v>
      </c>
      <c r="Z23" s="69">
        <v>0</v>
      </c>
      <c r="AA23" s="69">
        <v>260.78710289236608</v>
      </c>
      <c r="AB23" s="69">
        <v>260.78710289236608</v>
      </c>
      <c r="AC23" s="69">
        <v>260.78710289236608</v>
      </c>
      <c r="AD23" s="69">
        <v>260.78710289236608</v>
      </c>
      <c r="AE23" s="69">
        <v>260.78710289236608</v>
      </c>
      <c r="AF23" s="69">
        <v>260.78710289236608</v>
      </c>
      <c r="AG23" s="70">
        <v>260.78710289236608</v>
      </c>
      <c r="AH23" s="119"/>
      <c r="AI23" s="7" t="s">
        <v>517</v>
      </c>
      <c r="AJ23" s="119">
        <f t="shared" si="2"/>
        <v>12.565875</v>
      </c>
      <c r="AK23" s="119">
        <f t="shared" si="4"/>
        <v>12.565875</v>
      </c>
      <c r="AL23" s="119">
        <f t="shared" si="5"/>
        <v>12.565875</v>
      </c>
      <c r="AM23" s="119">
        <f t="shared" si="6"/>
        <v>12.565875</v>
      </c>
      <c r="AN23" s="119">
        <f t="shared" si="7"/>
        <v>12.565875</v>
      </c>
      <c r="AO23" s="119">
        <f t="shared" si="8"/>
        <v>12.565875</v>
      </c>
      <c r="AP23" s="119">
        <f t="shared" si="9"/>
        <v>12.565875</v>
      </c>
      <c r="AQ23" s="119">
        <f t="shared" si="10"/>
        <v>12.565875</v>
      </c>
      <c r="AR23" s="119">
        <f t="shared" si="11"/>
        <v>12.565875</v>
      </c>
      <c r="AS23" s="119">
        <f t="shared" si="12"/>
        <v>12.565875</v>
      </c>
    </row>
    <row r="24" spans="1:45">
      <c r="A24" s="7" t="s">
        <v>521</v>
      </c>
      <c r="B24" s="119">
        <v>1.7052468047094611</v>
      </c>
      <c r="C24" s="119">
        <f t="shared" si="3"/>
        <v>1.7461727280224881</v>
      </c>
      <c r="D24" s="119">
        <f t="shared" si="3"/>
        <v>1.7828423553109605</v>
      </c>
      <c r="E24" s="119">
        <f t="shared" si="3"/>
        <v>1.8202820447724903</v>
      </c>
      <c r="F24" s="119">
        <f t="shared" si="3"/>
        <v>1.8585079677127123</v>
      </c>
      <c r="G24" s="119">
        <f t="shared" si="3"/>
        <v>1.8975366350346794</v>
      </c>
      <c r="H24" s="119">
        <f t="shared" si="3"/>
        <v>1.9373849043704072</v>
      </c>
      <c r="I24" s="119">
        <f t="shared" si="3"/>
        <v>1.9780699873621856</v>
      </c>
      <c r="J24" s="119">
        <f t="shared" si="3"/>
        <v>2.0196094570967915</v>
      </c>
      <c r="K24" s="119">
        <f t="shared" si="3"/>
        <v>2.0620212556958237</v>
      </c>
      <c r="L24" s="119"/>
      <c r="M24" s="119"/>
      <c r="N24" s="119"/>
      <c r="O24" s="119"/>
      <c r="P24" s="119"/>
      <c r="Q24" s="119"/>
      <c r="T24" s="119"/>
      <c r="U24" s="119"/>
      <c r="V24" s="119"/>
      <c r="W24" s="5" t="s">
        <v>520</v>
      </c>
      <c r="X24" s="69">
        <v>0</v>
      </c>
      <c r="Y24" s="69">
        <v>0</v>
      </c>
      <c r="Z24" s="69">
        <v>184.92176386913229</v>
      </c>
      <c r="AA24" s="69">
        <v>184.92176386913229</v>
      </c>
      <c r="AB24" s="69">
        <v>184.92176386913229</v>
      </c>
      <c r="AC24" s="69">
        <v>184.92176386913229</v>
      </c>
      <c r="AD24" s="69">
        <v>184.92176386913229</v>
      </c>
      <c r="AE24" s="69">
        <v>184.92176386913229</v>
      </c>
      <c r="AF24" s="69">
        <v>184.92176386913229</v>
      </c>
      <c r="AG24" s="70">
        <v>184.92176386913229</v>
      </c>
      <c r="AH24" s="119"/>
      <c r="AI24" s="7" t="s">
        <v>519</v>
      </c>
      <c r="AJ24" s="119">
        <f t="shared" si="2"/>
        <v>12.565875</v>
      </c>
      <c r="AK24" s="119">
        <f t="shared" si="4"/>
        <v>12.565875</v>
      </c>
      <c r="AL24" s="119">
        <f t="shared" si="5"/>
        <v>12.565875</v>
      </c>
      <c r="AM24" s="119">
        <f t="shared" si="6"/>
        <v>12.565875</v>
      </c>
      <c r="AN24" s="119">
        <f t="shared" si="7"/>
        <v>12.565875</v>
      </c>
      <c r="AO24" s="119">
        <f t="shared" si="8"/>
        <v>12.565875</v>
      </c>
      <c r="AP24" s="119">
        <f t="shared" si="9"/>
        <v>12.565875</v>
      </c>
      <c r="AQ24" s="119">
        <f t="shared" si="10"/>
        <v>12.565875</v>
      </c>
      <c r="AR24" s="119">
        <f t="shared" si="11"/>
        <v>12.565875</v>
      </c>
      <c r="AS24" s="119">
        <f t="shared" si="12"/>
        <v>12.565875</v>
      </c>
    </row>
    <row r="25" spans="1:45" ht="15.75" thickBot="1">
      <c r="A25" s="7" t="s">
        <v>523</v>
      </c>
      <c r="B25" s="119">
        <v>1.7052468047094611</v>
      </c>
      <c r="C25" s="119">
        <f t="shared" ref="C25:K34" si="13">$B25*C$3</f>
        <v>1.7461727280224881</v>
      </c>
      <c r="D25" s="119">
        <f t="shared" si="13"/>
        <v>1.7828423553109605</v>
      </c>
      <c r="E25" s="119">
        <f t="shared" si="13"/>
        <v>1.8202820447724903</v>
      </c>
      <c r="F25" s="119">
        <f t="shared" si="13"/>
        <v>1.8585079677127123</v>
      </c>
      <c r="G25" s="119">
        <f t="shared" si="13"/>
        <v>1.8975366350346794</v>
      </c>
      <c r="H25" s="119">
        <f t="shared" si="13"/>
        <v>1.9373849043704072</v>
      </c>
      <c r="I25" s="119">
        <f t="shared" si="13"/>
        <v>1.9780699873621856</v>
      </c>
      <c r="J25" s="119">
        <f t="shared" si="13"/>
        <v>2.0196094570967915</v>
      </c>
      <c r="K25" s="119">
        <f t="shared" si="13"/>
        <v>2.0620212556958237</v>
      </c>
      <c r="L25" s="119"/>
      <c r="M25" s="119"/>
      <c r="N25" s="119"/>
      <c r="O25" s="119"/>
      <c r="P25" s="119"/>
      <c r="Q25" s="119"/>
      <c r="T25" s="119"/>
      <c r="U25" s="119"/>
      <c r="V25" s="119"/>
      <c r="W25" s="68" t="s">
        <v>522</v>
      </c>
      <c r="X25" s="71">
        <v>812.43649664702286</v>
      </c>
      <c r="Y25" s="71">
        <v>812.43649664702286</v>
      </c>
      <c r="Z25" s="71">
        <v>812.43649664702286</v>
      </c>
      <c r="AA25" s="71">
        <v>812.43649664702286</v>
      </c>
      <c r="AB25" s="71">
        <v>812.43649664702286</v>
      </c>
      <c r="AC25" s="71">
        <v>812.43649664702286</v>
      </c>
      <c r="AD25" s="71">
        <v>812.43649664702286</v>
      </c>
      <c r="AE25" s="71">
        <v>812.43649664702286</v>
      </c>
      <c r="AF25" s="71">
        <v>812.43649664702286</v>
      </c>
      <c r="AG25" s="72">
        <v>812.43649664702286</v>
      </c>
      <c r="AH25" s="119"/>
      <c r="AI25" s="7" t="s">
        <v>521</v>
      </c>
      <c r="AJ25" s="119">
        <f t="shared" si="2"/>
        <v>12.565875</v>
      </c>
      <c r="AK25" s="119">
        <f t="shared" si="4"/>
        <v>12.565875</v>
      </c>
      <c r="AL25" s="119">
        <f t="shared" si="5"/>
        <v>12.565875</v>
      </c>
      <c r="AM25" s="119">
        <f t="shared" si="6"/>
        <v>12.565875</v>
      </c>
      <c r="AN25" s="119">
        <f t="shared" si="7"/>
        <v>12.565875</v>
      </c>
      <c r="AO25" s="119">
        <f t="shared" si="8"/>
        <v>12.565875</v>
      </c>
      <c r="AP25" s="119">
        <f t="shared" si="9"/>
        <v>12.565875</v>
      </c>
      <c r="AQ25" s="119">
        <f t="shared" si="10"/>
        <v>12.565875</v>
      </c>
      <c r="AR25" s="119">
        <f t="shared" si="11"/>
        <v>12.565875</v>
      </c>
      <c r="AS25" s="119">
        <f t="shared" si="12"/>
        <v>12.565875</v>
      </c>
    </row>
    <row r="26" spans="1:45">
      <c r="A26" s="7" t="s">
        <v>524</v>
      </c>
      <c r="B26" s="119">
        <v>1.7052468047094611</v>
      </c>
      <c r="C26" s="119">
        <f t="shared" si="13"/>
        <v>1.7461727280224881</v>
      </c>
      <c r="D26" s="119">
        <f t="shared" si="13"/>
        <v>1.7828423553109605</v>
      </c>
      <c r="E26" s="119">
        <f t="shared" si="13"/>
        <v>1.8202820447724903</v>
      </c>
      <c r="F26" s="119">
        <f t="shared" si="13"/>
        <v>1.8585079677127123</v>
      </c>
      <c r="G26" s="119">
        <f t="shared" si="13"/>
        <v>1.8975366350346794</v>
      </c>
      <c r="H26" s="119">
        <f t="shared" si="13"/>
        <v>1.9373849043704072</v>
      </c>
      <c r="I26" s="119">
        <f t="shared" si="13"/>
        <v>1.9780699873621856</v>
      </c>
      <c r="J26" s="119">
        <f t="shared" si="13"/>
        <v>2.0196094570967915</v>
      </c>
      <c r="K26" s="119">
        <f t="shared" si="13"/>
        <v>2.0620212556958237</v>
      </c>
      <c r="L26" s="119"/>
      <c r="M26" s="119"/>
      <c r="N26" s="119"/>
      <c r="O26" s="119"/>
      <c r="P26" s="119"/>
      <c r="Q26" s="119"/>
      <c r="T26" s="119"/>
      <c r="U26" s="119"/>
      <c r="V26" s="119"/>
      <c r="W26" s="7" t="s">
        <v>488</v>
      </c>
      <c r="X26" s="119">
        <v>12.565875</v>
      </c>
      <c r="Y26" s="119">
        <v>12.565875</v>
      </c>
      <c r="Z26" s="119">
        <v>12.565875</v>
      </c>
      <c r="AA26" s="119">
        <v>12.565875</v>
      </c>
      <c r="AB26" s="119">
        <v>12.565875</v>
      </c>
      <c r="AC26" s="119">
        <v>12.565875</v>
      </c>
      <c r="AD26" s="119">
        <v>12.565875</v>
      </c>
      <c r="AE26" s="119">
        <v>12.565875</v>
      </c>
      <c r="AF26" s="119">
        <v>12.565875</v>
      </c>
      <c r="AG26" s="119">
        <v>12.565875</v>
      </c>
      <c r="AH26" s="119"/>
      <c r="AI26" s="7" t="s">
        <v>523</v>
      </c>
      <c r="AJ26" s="119">
        <f t="shared" si="2"/>
        <v>12.565875</v>
      </c>
      <c r="AK26" s="119">
        <f t="shared" si="4"/>
        <v>12.565875</v>
      </c>
      <c r="AL26" s="119">
        <f t="shared" si="5"/>
        <v>12.565875</v>
      </c>
      <c r="AM26" s="119">
        <f t="shared" si="6"/>
        <v>12.565875</v>
      </c>
      <c r="AN26" s="119">
        <f t="shared" si="7"/>
        <v>12.565875</v>
      </c>
      <c r="AO26" s="119">
        <f t="shared" si="8"/>
        <v>12.565875</v>
      </c>
      <c r="AP26" s="119">
        <f t="shared" si="9"/>
        <v>12.565875</v>
      </c>
      <c r="AQ26" s="119">
        <f t="shared" si="10"/>
        <v>12.565875</v>
      </c>
      <c r="AR26" s="119">
        <f t="shared" si="11"/>
        <v>12.565875</v>
      </c>
      <c r="AS26" s="119">
        <f t="shared" si="12"/>
        <v>12.565875</v>
      </c>
    </row>
    <row r="27" spans="1:45">
      <c r="A27" s="7" t="s">
        <v>525</v>
      </c>
      <c r="B27" s="119">
        <v>1.7052468047094611</v>
      </c>
      <c r="C27" s="119">
        <f t="shared" si="13"/>
        <v>1.7461727280224881</v>
      </c>
      <c r="D27" s="119">
        <f t="shared" si="13"/>
        <v>1.7828423553109605</v>
      </c>
      <c r="E27" s="119">
        <f t="shared" si="13"/>
        <v>1.8202820447724903</v>
      </c>
      <c r="F27" s="119">
        <f t="shared" si="13"/>
        <v>1.8585079677127123</v>
      </c>
      <c r="G27" s="119">
        <f t="shared" si="13"/>
        <v>1.8975366350346794</v>
      </c>
      <c r="H27" s="119">
        <f t="shared" si="13"/>
        <v>1.9373849043704072</v>
      </c>
      <c r="I27" s="119">
        <f t="shared" si="13"/>
        <v>1.9780699873621856</v>
      </c>
      <c r="J27" s="119">
        <f t="shared" si="13"/>
        <v>2.0196094570967915</v>
      </c>
      <c r="K27" s="119">
        <f t="shared" si="13"/>
        <v>2.0620212556958237</v>
      </c>
      <c r="L27" s="119"/>
      <c r="M27" s="119"/>
      <c r="N27" s="119"/>
      <c r="O27" s="119"/>
      <c r="P27" s="119"/>
      <c r="Q27" s="119"/>
      <c r="T27" s="119"/>
      <c r="U27" s="119"/>
      <c r="V27" s="119"/>
      <c r="W27" s="7" t="s">
        <v>490</v>
      </c>
      <c r="X27" s="119">
        <v>12.565875</v>
      </c>
      <c r="Y27" s="119">
        <v>12.565875</v>
      </c>
      <c r="Z27" s="119">
        <v>12.565875</v>
      </c>
      <c r="AA27" s="119">
        <v>12.565875</v>
      </c>
      <c r="AB27" s="119">
        <v>12.565875</v>
      </c>
      <c r="AC27" s="119">
        <v>12.565875</v>
      </c>
      <c r="AD27" s="119">
        <v>12.565875</v>
      </c>
      <c r="AE27" s="119">
        <v>12.565875</v>
      </c>
      <c r="AF27" s="119">
        <v>12.565875</v>
      </c>
      <c r="AG27" s="119">
        <v>12.565875</v>
      </c>
      <c r="AH27" s="119"/>
      <c r="AI27" s="7" t="s">
        <v>524</v>
      </c>
      <c r="AJ27" s="119">
        <f t="shared" si="2"/>
        <v>12.565875</v>
      </c>
      <c r="AK27" s="119">
        <f t="shared" si="4"/>
        <v>12.565875</v>
      </c>
      <c r="AL27" s="119">
        <f t="shared" si="5"/>
        <v>12.565875</v>
      </c>
      <c r="AM27" s="119">
        <f t="shared" si="6"/>
        <v>12.565875</v>
      </c>
      <c r="AN27" s="119">
        <f t="shared" si="7"/>
        <v>12.565875</v>
      </c>
      <c r="AO27" s="119">
        <f t="shared" si="8"/>
        <v>12.565875</v>
      </c>
      <c r="AP27" s="119">
        <f t="shared" si="9"/>
        <v>12.565875</v>
      </c>
      <c r="AQ27" s="119">
        <f t="shared" si="10"/>
        <v>12.565875</v>
      </c>
      <c r="AR27" s="119">
        <f t="shared" si="11"/>
        <v>12.565875</v>
      </c>
      <c r="AS27" s="119">
        <f t="shared" si="12"/>
        <v>12.565875</v>
      </c>
    </row>
    <row r="28" spans="1:45">
      <c r="A28" s="7" t="s">
        <v>526</v>
      </c>
      <c r="B28" s="119">
        <v>1.7052468047094611</v>
      </c>
      <c r="C28" s="119">
        <f t="shared" si="13"/>
        <v>1.7461727280224881</v>
      </c>
      <c r="D28" s="119">
        <f t="shared" si="13"/>
        <v>1.7828423553109605</v>
      </c>
      <c r="E28" s="119">
        <f t="shared" si="13"/>
        <v>1.8202820447724903</v>
      </c>
      <c r="F28" s="119">
        <f t="shared" si="13"/>
        <v>1.8585079677127123</v>
      </c>
      <c r="G28" s="119">
        <f t="shared" si="13"/>
        <v>1.8975366350346794</v>
      </c>
      <c r="H28" s="119">
        <f t="shared" si="13"/>
        <v>1.9373849043704072</v>
      </c>
      <c r="I28" s="119">
        <f t="shared" si="13"/>
        <v>1.9780699873621856</v>
      </c>
      <c r="J28" s="119">
        <f t="shared" si="13"/>
        <v>2.0196094570967915</v>
      </c>
      <c r="K28" s="119">
        <f t="shared" si="13"/>
        <v>2.0620212556958237</v>
      </c>
      <c r="L28" s="119"/>
      <c r="M28" s="119"/>
      <c r="N28" s="119"/>
      <c r="O28" s="119"/>
      <c r="P28" s="119"/>
      <c r="Q28" s="119"/>
      <c r="T28" s="119"/>
      <c r="U28" s="119"/>
      <c r="V28" s="119"/>
      <c r="W28" s="7" t="s">
        <v>492</v>
      </c>
      <c r="X28" s="119">
        <v>12.565875</v>
      </c>
      <c r="Y28" s="119">
        <v>12.565875</v>
      </c>
      <c r="Z28" s="119">
        <v>12.565875</v>
      </c>
      <c r="AA28" s="119">
        <v>12.565875</v>
      </c>
      <c r="AB28" s="119">
        <v>12.565875</v>
      </c>
      <c r="AC28" s="119">
        <v>12.565875</v>
      </c>
      <c r="AD28" s="119">
        <v>12.565875</v>
      </c>
      <c r="AE28" s="119">
        <v>12.565875</v>
      </c>
      <c r="AF28" s="119">
        <v>12.565875</v>
      </c>
      <c r="AG28" s="119">
        <v>12.565875</v>
      </c>
      <c r="AH28" s="119"/>
      <c r="AI28" s="7" t="s">
        <v>525</v>
      </c>
      <c r="AJ28" s="119">
        <f t="shared" si="2"/>
        <v>12.565875</v>
      </c>
      <c r="AK28" s="119">
        <f t="shared" si="4"/>
        <v>12.565875</v>
      </c>
      <c r="AL28" s="119">
        <f t="shared" si="5"/>
        <v>12.565875</v>
      </c>
      <c r="AM28" s="119">
        <f t="shared" si="6"/>
        <v>12.565875</v>
      </c>
      <c r="AN28" s="119">
        <f t="shared" si="7"/>
        <v>12.565875</v>
      </c>
      <c r="AO28" s="119">
        <f t="shared" si="8"/>
        <v>12.565875</v>
      </c>
      <c r="AP28" s="119">
        <f t="shared" si="9"/>
        <v>12.565875</v>
      </c>
      <c r="AQ28" s="119">
        <f t="shared" si="10"/>
        <v>12.565875</v>
      </c>
      <c r="AR28" s="119">
        <f t="shared" si="11"/>
        <v>12.565875</v>
      </c>
      <c r="AS28" s="119">
        <f t="shared" si="12"/>
        <v>12.565875</v>
      </c>
    </row>
    <row r="29" spans="1:45">
      <c r="A29" s="7" t="s">
        <v>527</v>
      </c>
      <c r="B29" s="119">
        <v>1.7052468047094611</v>
      </c>
      <c r="C29" s="119">
        <f t="shared" si="13"/>
        <v>1.7461727280224881</v>
      </c>
      <c r="D29" s="119">
        <f t="shared" si="13"/>
        <v>1.7828423553109605</v>
      </c>
      <c r="E29" s="119">
        <f t="shared" si="13"/>
        <v>1.8202820447724903</v>
      </c>
      <c r="F29" s="119">
        <f t="shared" si="13"/>
        <v>1.8585079677127123</v>
      </c>
      <c r="G29" s="119">
        <f t="shared" si="13"/>
        <v>1.8975366350346794</v>
      </c>
      <c r="H29" s="119">
        <f t="shared" si="13"/>
        <v>1.9373849043704072</v>
      </c>
      <c r="I29" s="119">
        <f t="shared" si="13"/>
        <v>1.9780699873621856</v>
      </c>
      <c r="J29" s="119">
        <f t="shared" si="13"/>
        <v>2.0196094570967915</v>
      </c>
      <c r="K29" s="119">
        <f t="shared" si="13"/>
        <v>2.0620212556958237</v>
      </c>
      <c r="L29" s="119"/>
      <c r="M29" s="119"/>
      <c r="N29" s="119"/>
      <c r="O29" s="119"/>
      <c r="P29" s="119"/>
      <c r="Q29" s="119"/>
      <c r="T29" s="119"/>
      <c r="U29" s="119"/>
      <c r="V29" s="119"/>
      <c r="W29" s="7" t="s">
        <v>494</v>
      </c>
      <c r="X29" s="119">
        <v>12.565875</v>
      </c>
      <c r="Y29" s="119">
        <v>12.565875</v>
      </c>
      <c r="Z29" s="119">
        <v>12.565875</v>
      </c>
      <c r="AA29" s="119">
        <v>12.565875</v>
      </c>
      <c r="AB29" s="119">
        <v>12.565875</v>
      </c>
      <c r="AC29" s="119">
        <v>12.565875</v>
      </c>
      <c r="AD29" s="119">
        <v>12.565875</v>
      </c>
      <c r="AE29" s="119">
        <v>12.565875</v>
      </c>
      <c r="AF29" s="119">
        <v>12.565875</v>
      </c>
      <c r="AG29" s="119">
        <v>12.565875</v>
      </c>
      <c r="AH29" s="119"/>
      <c r="AI29" s="7" t="s">
        <v>526</v>
      </c>
      <c r="AJ29" s="119">
        <f t="shared" si="2"/>
        <v>12.565875</v>
      </c>
      <c r="AK29" s="119">
        <f t="shared" si="4"/>
        <v>12.565875</v>
      </c>
      <c r="AL29" s="119">
        <f t="shared" si="5"/>
        <v>12.565875</v>
      </c>
      <c r="AM29" s="119">
        <f t="shared" si="6"/>
        <v>12.565875</v>
      </c>
      <c r="AN29" s="119">
        <f t="shared" si="7"/>
        <v>12.565875</v>
      </c>
      <c r="AO29" s="119">
        <f t="shared" si="8"/>
        <v>12.565875</v>
      </c>
      <c r="AP29" s="119">
        <f t="shared" si="9"/>
        <v>12.565875</v>
      </c>
      <c r="AQ29" s="119">
        <f t="shared" si="10"/>
        <v>12.565875</v>
      </c>
      <c r="AR29" s="119">
        <f t="shared" si="11"/>
        <v>12.565875</v>
      </c>
      <c r="AS29" s="119">
        <f t="shared" si="12"/>
        <v>12.565875</v>
      </c>
    </row>
    <row r="30" spans="1:45">
      <c r="A30" s="7" t="s">
        <v>495</v>
      </c>
      <c r="B30" s="119">
        <v>1.7052468047094611</v>
      </c>
      <c r="C30" s="119">
        <f t="shared" si="13"/>
        <v>1.7461727280224881</v>
      </c>
      <c r="D30" s="119">
        <f t="shared" si="13"/>
        <v>1.7828423553109605</v>
      </c>
      <c r="E30" s="119">
        <f t="shared" si="13"/>
        <v>1.8202820447724903</v>
      </c>
      <c r="F30" s="119">
        <f t="shared" si="13"/>
        <v>1.8585079677127123</v>
      </c>
      <c r="G30" s="119">
        <f t="shared" si="13"/>
        <v>1.8975366350346794</v>
      </c>
      <c r="H30" s="119">
        <f t="shared" si="13"/>
        <v>1.9373849043704072</v>
      </c>
      <c r="I30" s="119">
        <f t="shared" si="13"/>
        <v>1.9780699873621856</v>
      </c>
      <c r="J30" s="119">
        <f t="shared" si="13"/>
        <v>2.0196094570967915</v>
      </c>
      <c r="K30" s="119">
        <f t="shared" si="13"/>
        <v>2.0620212556958237</v>
      </c>
      <c r="L30" s="119"/>
      <c r="M30" s="119"/>
      <c r="N30" s="119"/>
      <c r="O30" s="119"/>
      <c r="P30" s="119"/>
      <c r="Q30" s="119"/>
      <c r="T30" s="119"/>
      <c r="U30" s="119"/>
      <c r="V30" s="119"/>
      <c r="W30" s="7" t="s">
        <v>496</v>
      </c>
      <c r="X30" s="119">
        <v>12.565875</v>
      </c>
      <c r="Y30" s="119">
        <v>12.565875</v>
      </c>
      <c r="Z30" s="119">
        <v>12.565875</v>
      </c>
      <c r="AA30" s="119">
        <v>12.565875</v>
      </c>
      <c r="AB30" s="119">
        <v>12.565875</v>
      </c>
      <c r="AC30" s="119">
        <v>12.565875</v>
      </c>
      <c r="AD30" s="119">
        <v>12.565875</v>
      </c>
      <c r="AE30" s="119">
        <v>12.565875</v>
      </c>
      <c r="AF30" s="119">
        <v>12.565875</v>
      </c>
      <c r="AG30" s="119">
        <v>12.565875</v>
      </c>
      <c r="AH30" s="119"/>
      <c r="AI30" s="7" t="s">
        <v>527</v>
      </c>
      <c r="AJ30" s="119">
        <f t="shared" si="2"/>
        <v>12.565875</v>
      </c>
      <c r="AK30" s="119">
        <f t="shared" si="4"/>
        <v>12.565875</v>
      </c>
      <c r="AL30" s="119">
        <f t="shared" si="5"/>
        <v>12.565875</v>
      </c>
      <c r="AM30" s="119">
        <f t="shared" si="6"/>
        <v>12.565875</v>
      </c>
      <c r="AN30" s="119">
        <f t="shared" si="7"/>
        <v>12.565875</v>
      </c>
      <c r="AO30" s="119">
        <f t="shared" si="8"/>
        <v>12.565875</v>
      </c>
      <c r="AP30" s="119">
        <f t="shared" si="9"/>
        <v>12.565875</v>
      </c>
      <c r="AQ30" s="119">
        <f t="shared" si="10"/>
        <v>12.565875</v>
      </c>
      <c r="AR30" s="119">
        <f t="shared" si="11"/>
        <v>12.565875</v>
      </c>
      <c r="AS30" s="119">
        <f t="shared" si="12"/>
        <v>12.565875</v>
      </c>
    </row>
    <row r="31" spans="1:45">
      <c r="A31" s="7" t="s">
        <v>504</v>
      </c>
      <c r="B31" s="119">
        <v>1.7052468047094611</v>
      </c>
      <c r="C31" s="119">
        <f t="shared" si="13"/>
        <v>1.7461727280224881</v>
      </c>
      <c r="D31" s="119">
        <f t="shared" si="13"/>
        <v>1.7828423553109605</v>
      </c>
      <c r="E31" s="119">
        <f t="shared" si="13"/>
        <v>1.8202820447724903</v>
      </c>
      <c r="F31" s="119">
        <f t="shared" si="13"/>
        <v>1.8585079677127123</v>
      </c>
      <c r="G31" s="119">
        <f t="shared" si="13"/>
        <v>1.8975366350346794</v>
      </c>
      <c r="H31" s="119">
        <f t="shared" si="13"/>
        <v>1.9373849043704072</v>
      </c>
      <c r="I31" s="119">
        <f t="shared" si="13"/>
        <v>1.9780699873621856</v>
      </c>
      <c r="J31" s="119">
        <f t="shared" si="13"/>
        <v>2.0196094570967915</v>
      </c>
      <c r="K31" s="119">
        <f t="shared" si="13"/>
        <v>2.0620212556958237</v>
      </c>
      <c r="L31" s="119"/>
      <c r="M31" s="119"/>
      <c r="N31" s="119"/>
      <c r="O31" s="119"/>
      <c r="P31" s="119"/>
      <c r="Q31" s="119"/>
      <c r="T31" s="119"/>
      <c r="U31" s="119"/>
      <c r="V31" s="119"/>
      <c r="W31" s="7" t="s">
        <v>498</v>
      </c>
      <c r="X31" s="119">
        <v>12.565875</v>
      </c>
      <c r="Y31" s="119">
        <v>12.565875</v>
      </c>
      <c r="Z31" s="119">
        <v>12.565875</v>
      </c>
      <c r="AA31" s="119">
        <v>12.565875</v>
      </c>
      <c r="AB31" s="119">
        <v>12.565875</v>
      </c>
      <c r="AC31" s="119">
        <v>12.565875</v>
      </c>
      <c r="AD31" s="119">
        <v>12.565875</v>
      </c>
      <c r="AE31" s="119">
        <v>12.565875</v>
      </c>
      <c r="AF31" s="119">
        <v>12.565875</v>
      </c>
      <c r="AG31" s="119">
        <v>12.565875</v>
      </c>
      <c r="AH31" s="119"/>
      <c r="AI31" s="7" t="s">
        <v>495</v>
      </c>
      <c r="AJ31" s="119">
        <f t="shared" si="2"/>
        <v>14.414559210526317</v>
      </c>
      <c r="AK31" s="119">
        <f t="shared" si="4"/>
        <v>15.24820582706767</v>
      </c>
      <c r="AL31" s="119">
        <f t="shared" si="5"/>
        <v>16.42301785714286</v>
      </c>
      <c r="AM31" s="119">
        <f t="shared" si="6"/>
        <v>82.212491541353401</v>
      </c>
      <c r="AN31" s="119">
        <f t="shared" si="7"/>
        <v>148.00196522556394</v>
      </c>
      <c r="AO31" s="119">
        <f t="shared" si="8"/>
        <v>148.00196522556394</v>
      </c>
      <c r="AP31" s="119">
        <f t="shared" si="9"/>
        <v>148.00196522556394</v>
      </c>
      <c r="AQ31" s="119">
        <f t="shared" si="10"/>
        <v>148.00196522556394</v>
      </c>
      <c r="AR31" s="119">
        <f t="shared" si="11"/>
        <v>148.00196522556394</v>
      </c>
      <c r="AS31" s="119">
        <f t="shared" si="12"/>
        <v>148.00196522556394</v>
      </c>
    </row>
    <row r="32" spans="1:45">
      <c r="A32" s="7" t="s">
        <v>528</v>
      </c>
      <c r="B32" s="119">
        <v>1.7052468047094611</v>
      </c>
      <c r="C32" s="119">
        <f t="shared" si="13"/>
        <v>1.7461727280224881</v>
      </c>
      <c r="D32" s="119">
        <f t="shared" si="13"/>
        <v>1.7828423553109605</v>
      </c>
      <c r="E32" s="119">
        <f t="shared" si="13"/>
        <v>1.8202820447724903</v>
      </c>
      <c r="F32" s="119">
        <f t="shared" si="13"/>
        <v>1.8585079677127123</v>
      </c>
      <c r="G32" s="119">
        <f t="shared" si="13"/>
        <v>1.8975366350346794</v>
      </c>
      <c r="H32" s="119">
        <f t="shared" si="13"/>
        <v>1.9373849043704072</v>
      </c>
      <c r="I32" s="119">
        <f t="shared" si="13"/>
        <v>1.9780699873621856</v>
      </c>
      <c r="J32" s="119">
        <f t="shared" si="13"/>
        <v>2.0196094570967915</v>
      </c>
      <c r="K32" s="119">
        <f t="shared" si="13"/>
        <v>2.0620212556958237</v>
      </c>
      <c r="T32" s="119"/>
      <c r="U32" s="119"/>
      <c r="V32" s="119"/>
      <c r="W32" s="7" t="s">
        <v>500</v>
      </c>
      <c r="X32" s="119">
        <v>12.565875</v>
      </c>
      <c r="Y32" s="119">
        <v>12.565875</v>
      </c>
      <c r="Z32" s="119">
        <v>12.565875</v>
      </c>
      <c r="AA32" s="119">
        <v>12.565875</v>
      </c>
      <c r="AB32" s="119">
        <v>12.565875</v>
      </c>
      <c r="AC32" s="119">
        <v>12.565875</v>
      </c>
      <c r="AD32" s="119">
        <v>12.565875</v>
      </c>
      <c r="AE32" s="119">
        <v>12.565875</v>
      </c>
      <c r="AF32" s="119">
        <v>12.565875</v>
      </c>
      <c r="AG32" s="119">
        <v>12.565875</v>
      </c>
      <c r="AH32" s="119"/>
      <c r="AI32" s="7" t="s">
        <v>504</v>
      </c>
      <c r="AJ32" s="119">
        <f t="shared" si="2"/>
        <v>12.565875</v>
      </c>
      <c r="AK32" s="119">
        <f t="shared" si="4"/>
        <v>12.565875</v>
      </c>
      <c r="AL32" s="119">
        <f t="shared" si="5"/>
        <v>12.565875</v>
      </c>
      <c r="AM32" s="119">
        <f t="shared" si="6"/>
        <v>12.565875</v>
      </c>
      <c r="AN32" s="119">
        <f t="shared" si="7"/>
        <v>1046.2311191915601</v>
      </c>
      <c r="AO32" s="119">
        <f t="shared" si="8"/>
        <v>1046.2311191915601</v>
      </c>
      <c r="AP32" s="119">
        <f t="shared" si="9"/>
        <v>1046.2311191915601</v>
      </c>
      <c r="AQ32" s="119">
        <f t="shared" si="10"/>
        <v>1046.2311191915601</v>
      </c>
      <c r="AR32" s="119">
        <f t="shared" si="11"/>
        <v>1046.2311191915601</v>
      </c>
      <c r="AS32" s="119">
        <f t="shared" si="12"/>
        <v>1046.2311191915601</v>
      </c>
    </row>
    <row r="33" spans="1:45">
      <c r="A33" s="7" t="s">
        <v>529</v>
      </c>
      <c r="B33" s="119">
        <v>1.7052468047094611</v>
      </c>
      <c r="C33" s="119">
        <f t="shared" si="13"/>
        <v>1.7461727280224881</v>
      </c>
      <c r="D33" s="119">
        <f t="shared" si="13"/>
        <v>1.7828423553109605</v>
      </c>
      <c r="E33" s="119">
        <f t="shared" si="13"/>
        <v>1.8202820447724903</v>
      </c>
      <c r="F33" s="119">
        <f t="shared" si="13"/>
        <v>1.8585079677127123</v>
      </c>
      <c r="G33" s="119">
        <f t="shared" si="13"/>
        <v>1.8975366350346794</v>
      </c>
      <c r="H33" s="119">
        <f t="shared" si="13"/>
        <v>1.9373849043704072</v>
      </c>
      <c r="I33" s="119">
        <f t="shared" si="13"/>
        <v>1.9780699873621856</v>
      </c>
      <c r="J33" s="119">
        <f t="shared" si="13"/>
        <v>2.0196094570967915</v>
      </c>
      <c r="K33" s="119">
        <f t="shared" si="13"/>
        <v>2.0620212556958237</v>
      </c>
      <c r="T33" s="119"/>
      <c r="U33" s="119"/>
      <c r="V33" s="119"/>
      <c r="W33" s="7" t="s">
        <v>502</v>
      </c>
      <c r="X33" s="119">
        <v>12.565875</v>
      </c>
      <c r="Y33" s="119">
        <v>12.565875</v>
      </c>
      <c r="Z33" s="119">
        <v>12.565875</v>
      </c>
      <c r="AA33" s="119">
        <v>12.565875</v>
      </c>
      <c r="AB33" s="119">
        <v>12.565875</v>
      </c>
      <c r="AC33" s="119">
        <v>12.565875</v>
      </c>
      <c r="AD33" s="119">
        <v>12.565875</v>
      </c>
      <c r="AE33" s="119">
        <v>12.565875</v>
      </c>
      <c r="AF33" s="119">
        <v>12.565875</v>
      </c>
      <c r="AG33" s="119">
        <v>12.565875</v>
      </c>
      <c r="AH33" s="119"/>
      <c r="AI33" s="7" t="s">
        <v>528</v>
      </c>
      <c r="AJ33" s="119">
        <f t="shared" si="2"/>
        <v>12.565875</v>
      </c>
      <c r="AK33" s="119">
        <f t="shared" si="4"/>
        <v>12.565875</v>
      </c>
      <c r="AL33" s="119">
        <f t="shared" si="5"/>
        <v>12.565875</v>
      </c>
      <c r="AM33" s="119">
        <f t="shared" si="6"/>
        <v>12.565875</v>
      </c>
      <c r="AN33" s="119">
        <f t="shared" si="7"/>
        <v>12.565875</v>
      </c>
      <c r="AO33" s="119">
        <f t="shared" si="8"/>
        <v>12.565875</v>
      </c>
      <c r="AP33" s="119">
        <f t="shared" si="9"/>
        <v>12.565875</v>
      </c>
      <c r="AQ33" s="119">
        <f t="shared" si="10"/>
        <v>12.565875</v>
      </c>
      <c r="AR33" s="119">
        <f t="shared" si="11"/>
        <v>12.565875</v>
      </c>
      <c r="AS33" s="119">
        <f t="shared" si="12"/>
        <v>12.565875</v>
      </c>
    </row>
    <row r="34" spans="1:45">
      <c r="A34" s="7" t="s">
        <v>530</v>
      </c>
      <c r="B34" s="119">
        <v>1.7052468047094611</v>
      </c>
      <c r="C34" s="119">
        <f t="shared" si="13"/>
        <v>1.7461727280224881</v>
      </c>
      <c r="D34" s="119">
        <f t="shared" si="13"/>
        <v>1.7828423553109605</v>
      </c>
      <c r="E34" s="119">
        <f t="shared" si="13"/>
        <v>1.8202820447724903</v>
      </c>
      <c r="F34" s="119">
        <f t="shared" si="13"/>
        <v>1.8585079677127123</v>
      </c>
      <c r="G34" s="119">
        <f t="shared" si="13"/>
        <v>1.8975366350346794</v>
      </c>
      <c r="H34" s="119">
        <f t="shared" si="13"/>
        <v>1.9373849043704072</v>
      </c>
      <c r="I34" s="119">
        <f t="shared" si="13"/>
        <v>1.9780699873621856</v>
      </c>
      <c r="J34" s="119">
        <f t="shared" si="13"/>
        <v>2.0196094570967915</v>
      </c>
      <c r="K34" s="119">
        <f t="shared" si="13"/>
        <v>2.0620212556958237</v>
      </c>
      <c r="T34" s="119"/>
      <c r="U34" s="119"/>
      <c r="V34" s="119"/>
      <c r="W34" s="7" t="s">
        <v>503</v>
      </c>
      <c r="X34" s="119">
        <v>12.565875</v>
      </c>
      <c r="Y34" s="119">
        <v>12.565875</v>
      </c>
      <c r="Z34" s="119">
        <v>12.565875</v>
      </c>
      <c r="AA34" s="119">
        <v>12.565875</v>
      </c>
      <c r="AB34" s="119">
        <v>12.565875</v>
      </c>
      <c r="AC34" s="119">
        <v>12.565875</v>
      </c>
      <c r="AD34" s="119">
        <v>12.565875</v>
      </c>
      <c r="AE34" s="119">
        <v>12.565875</v>
      </c>
      <c r="AF34" s="119">
        <v>12.565875</v>
      </c>
      <c r="AG34" s="119">
        <v>12.565875</v>
      </c>
      <c r="AH34" s="119"/>
      <c r="AI34" s="7" t="s">
        <v>529</v>
      </c>
      <c r="AJ34" s="119">
        <f t="shared" si="2"/>
        <v>12.565875</v>
      </c>
      <c r="AK34" s="119">
        <f t="shared" si="4"/>
        <v>12.565875</v>
      </c>
      <c r="AL34" s="119">
        <f t="shared" si="5"/>
        <v>12.565875</v>
      </c>
      <c r="AM34" s="119">
        <f t="shared" si="6"/>
        <v>12.565875</v>
      </c>
      <c r="AN34" s="119">
        <f t="shared" si="7"/>
        <v>12.565875</v>
      </c>
      <c r="AO34" s="119">
        <f t="shared" si="8"/>
        <v>12.565875</v>
      </c>
      <c r="AP34" s="119">
        <f t="shared" si="9"/>
        <v>12.565875</v>
      </c>
      <c r="AQ34" s="119">
        <f t="shared" si="10"/>
        <v>12.565875</v>
      </c>
      <c r="AR34" s="119">
        <f t="shared" si="11"/>
        <v>12.565875</v>
      </c>
      <c r="AS34" s="119">
        <f t="shared" si="12"/>
        <v>12.565875</v>
      </c>
    </row>
    <row r="35" spans="1:45">
      <c r="A35" s="7" t="s">
        <v>493</v>
      </c>
      <c r="B35" s="119">
        <v>1.7052468047094611</v>
      </c>
      <c r="C35" s="119">
        <f t="shared" ref="C35:K44" si="14">$B35*C$3</f>
        <v>1.7461727280224881</v>
      </c>
      <c r="D35" s="119">
        <f t="shared" si="14"/>
        <v>1.7828423553109605</v>
      </c>
      <c r="E35" s="119">
        <f t="shared" si="14"/>
        <v>1.8202820447724903</v>
      </c>
      <c r="F35" s="119">
        <f t="shared" si="14"/>
        <v>1.8585079677127123</v>
      </c>
      <c r="G35" s="119">
        <f t="shared" si="14"/>
        <v>1.8975366350346794</v>
      </c>
      <c r="H35" s="119">
        <f t="shared" si="14"/>
        <v>1.9373849043704072</v>
      </c>
      <c r="I35" s="119">
        <f t="shared" si="14"/>
        <v>1.9780699873621856</v>
      </c>
      <c r="J35" s="119">
        <f t="shared" si="14"/>
        <v>2.0196094570967915</v>
      </c>
      <c r="K35" s="119">
        <f t="shared" si="14"/>
        <v>2.0620212556958237</v>
      </c>
      <c r="T35" s="119"/>
      <c r="U35" s="119"/>
      <c r="V35" s="119"/>
      <c r="W35" s="7" t="s">
        <v>505</v>
      </c>
      <c r="X35" s="119">
        <v>12.565875</v>
      </c>
      <c r="Y35" s="119">
        <v>12.565875</v>
      </c>
      <c r="Z35" s="119">
        <v>12.565875</v>
      </c>
      <c r="AA35" s="119">
        <v>12.565875</v>
      </c>
      <c r="AB35" s="119">
        <v>12.565875</v>
      </c>
      <c r="AC35" s="119">
        <v>12.565875</v>
      </c>
      <c r="AD35" s="119">
        <v>12.565875</v>
      </c>
      <c r="AE35" s="119">
        <v>12.565875</v>
      </c>
      <c r="AF35" s="119">
        <v>12.565875</v>
      </c>
      <c r="AG35" s="119">
        <v>12.565875</v>
      </c>
      <c r="AH35" s="119"/>
      <c r="AI35" s="7" t="s">
        <v>530</v>
      </c>
      <c r="AJ35" s="119">
        <f t="shared" si="2"/>
        <v>12.565875</v>
      </c>
      <c r="AK35" s="119">
        <f t="shared" si="4"/>
        <v>12.565875</v>
      </c>
      <c r="AL35" s="119">
        <f t="shared" si="5"/>
        <v>12.565875</v>
      </c>
      <c r="AM35" s="119">
        <f t="shared" si="6"/>
        <v>12.565875</v>
      </c>
      <c r="AN35" s="119">
        <f t="shared" si="7"/>
        <v>12.565875</v>
      </c>
      <c r="AO35" s="119">
        <f t="shared" si="8"/>
        <v>12.565875</v>
      </c>
      <c r="AP35" s="119">
        <f t="shared" si="9"/>
        <v>12.565875</v>
      </c>
      <c r="AQ35" s="119">
        <f t="shared" si="10"/>
        <v>12.565875</v>
      </c>
      <c r="AR35" s="119">
        <f t="shared" si="11"/>
        <v>12.565875</v>
      </c>
      <c r="AS35" s="119">
        <f t="shared" si="12"/>
        <v>12.565875</v>
      </c>
    </row>
    <row r="36" spans="1:45">
      <c r="A36" s="7" t="s">
        <v>491</v>
      </c>
      <c r="B36" s="119">
        <v>1.7052468047094611</v>
      </c>
      <c r="C36" s="119">
        <f t="shared" si="14"/>
        <v>1.7461727280224881</v>
      </c>
      <c r="D36" s="119">
        <f t="shared" si="14"/>
        <v>1.7828423553109605</v>
      </c>
      <c r="E36" s="119">
        <f t="shared" si="14"/>
        <v>1.8202820447724903</v>
      </c>
      <c r="F36" s="119">
        <f t="shared" si="14"/>
        <v>1.8585079677127123</v>
      </c>
      <c r="G36" s="119">
        <f t="shared" si="14"/>
        <v>1.8975366350346794</v>
      </c>
      <c r="H36" s="119">
        <f t="shared" si="14"/>
        <v>1.9373849043704072</v>
      </c>
      <c r="I36" s="119">
        <f t="shared" si="14"/>
        <v>1.9780699873621856</v>
      </c>
      <c r="J36" s="119">
        <f t="shared" si="14"/>
        <v>2.0196094570967915</v>
      </c>
      <c r="K36" s="119">
        <f t="shared" si="14"/>
        <v>2.0620212556958237</v>
      </c>
      <c r="T36" s="119"/>
      <c r="U36" s="119"/>
      <c r="V36" s="119"/>
      <c r="W36" s="7" t="s">
        <v>507</v>
      </c>
      <c r="X36" s="119">
        <v>12.565875</v>
      </c>
      <c r="Y36" s="119">
        <v>12.565875</v>
      </c>
      <c r="Z36" s="119">
        <v>12.565875</v>
      </c>
      <c r="AA36" s="119">
        <v>12.565875</v>
      </c>
      <c r="AB36" s="119">
        <v>12.565875</v>
      </c>
      <c r="AC36" s="119">
        <v>12.565875</v>
      </c>
      <c r="AD36" s="119">
        <v>12.565875</v>
      </c>
      <c r="AE36" s="119">
        <v>12.565875</v>
      </c>
      <c r="AF36" s="119">
        <v>12.565875</v>
      </c>
      <c r="AG36" s="119">
        <v>12.565875</v>
      </c>
      <c r="AH36" s="119"/>
      <c r="AI36" s="7" t="s">
        <v>493</v>
      </c>
      <c r="AJ36" s="119">
        <f t="shared" si="2"/>
        <v>12.565875</v>
      </c>
      <c r="AK36" s="119">
        <f t="shared" si="4"/>
        <v>12.565875</v>
      </c>
      <c r="AL36" s="119">
        <f t="shared" si="5"/>
        <v>15.365427071668533</v>
      </c>
      <c r="AM36" s="119">
        <f t="shared" si="6"/>
        <v>18.164979143337064</v>
      </c>
      <c r="AN36" s="119">
        <f t="shared" si="7"/>
        <v>57.358708146696522</v>
      </c>
      <c r="AO36" s="119">
        <f t="shared" si="8"/>
        <v>96.552437150055994</v>
      </c>
      <c r="AP36" s="119">
        <f t="shared" si="9"/>
        <v>96.552437150055994</v>
      </c>
      <c r="AQ36" s="119">
        <f t="shared" si="10"/>
        <v>96.552437150055994</v>
      </c>
      <c r="AR36" s="119">
        <f t="shared" si="11"/>
        <v>96.552437150055994</v>
      </c>
      <c r="AS36" s="119">
        <f t="shared" si="12"/>
        <v>96.552437150055994</v>
      </c>
    </row>
    <row r="37" spans="1:45">
      <c r="A37" s="7" t="s">
        <v>531</v>
      </c>
      <c r="B37" s="119">
        <v>1.7052468047094611</v>
      </c>
      <c r="C37" s="119">
        <f t="shared" si="14"/>
        <v>1.7461727280224881</v>
      </c>
      <c r="D37" s="119">
        <f t="shared" si="14"/>
        <v>1.7828423553109605</v>
      </c>
      <c r="E37" s="119">
        <f t="shared" si="14"/>
        <v>1.8202820447724903</v>
      </c>
      <c r="F37" s="119">
        <f t="shared" si="14"/>
        <v>1.8585079677127123</v>
      </c>
      <c r="G37" s="119">
        <f t="shared" si="14"/>
        <v>1.8975366350346794</v>
      </c>
      <c r="H37" s="119">
        <f t="shared" si="14"/>
        <v>1.9373849043704072</v>
      </c>
      <c r="I37" s="119">
        <f t="shared" si="14"/>
        <v>1.9780699873621856</v>
      </c>
      <c r="J37" s="119">
        <f t="shared" si="14"/>
        <v>2.0196094570967915</v>
      </c>
      <c r="K37" s="119">
        <f t="shared" si="14"/>
        <v>2.0620212556958237</v>
      </c>
      <c r="T37" s="119"/>
      <c r="U37" s="119"/>
      <c r="V37" s="119"/>
      <c r="W37" s="7" t="s">
        <v>508</v>
      </c>
      <c r="X37" s="119">
        <v>12.565875</v>
      </c>
      <c r="Y37" s="119">
        <v>12.565875</v>
      </c>
      <c r="Z37" s="119">
        <v>12.565875</v>
      </c>
      <c r="AA37" s="119">
        <v>12.565875</v>
      </c>
      <c r="AB37" s="119">
        <v>12.565875</v>
      </c>
      <c r="AC37" s="119">
        <v>12.565875</v>
      </c>
      <c r="AD37" s="119">
        <v>12.565875</v>
      </c>
      <c r="AE37" s="119">
        <v>12.565875</v>
      </c>
      <c r="AF37" s="119">
        <v>12.565875</v>
      </c>
      <c r="AG37" s="119">
        <v>12.565875</v>
      </c>
      <c r="AH37" s="119"/>
      <c r="AI37" s="7" t="s">
        <v>491</v>
      </c>
      <c r="AJ37" s="119">
        <f t="shared" si="2"/>
        <v>12.565875</v>
      </c>
      <c r="AK37" s="119">
        <f t="shared" si="4"/>
        <v>18.831539160401004</v>
      </c>
      <c r="AL37" s="119">
        <f t="shared" si="5"/>
        <v>25.097203320802006</v>
      </c>
      <c r="AM37" s="119">
        <f t="shared" si="6"/>
        <v>37.628531641604013</v>
      </c>
      <c r="AN37" s="119">
        <f t="shared" si="7"/>
        <v>50.159859962406017</v>
      </c>
      <c r="AO37" s="119">
        <f t="shared" si="8"/>
        <v>62.691188283208021</v>
      </c>
      <c r="AP37" s="119">
        <f t="shared" si="9"/>
        <v>219.3327922932331</v>
      </c>
      <c r="AQ37" s="119">
        <f t="shared" si="10"/>
        <v>375.97439630325817</v>
      </c>
      <c r="AR37" s="119">
        <f t="shared" si="11"/>
        <v>375.97439630325817</v>
      </c>
      <c r="AS37" s="119">
        <f t="shared" si="12"/>
        <v>375.97439630325817</v>
      </c>
    </row>
    <row r="38" spans="1:45">
      <c r="A38" s="7" t="s">
        <v>506</v>
      </c>
      <c r="B38" s="119">
        <v>1.7052468047094611</v>
      </c>
      <c r="C38" s="119">
        <f t="shared" si="14"/>
        <v>1.7461727280224881</v>
      </c>
      <c r="D38" s="119">
        <f t="shared" si="14"/>
        <v>1.7828423553109605</v>
      </c>
      <c r="E38" s="119">
        <f t="shared" si="14"/>
        <v>1.8202820447724903</v>
      </c>
      <c r="F38" s="119">
        <f t="shared" si="14"/>
        <v>1.8585079677127123</v>
      </c>
      <c r="G38" s="119">
        <f t="shared" si="14"/>
        <v>1.8975366350346794</v>
      </c>
      <c r="H38" s="119">
        <f t="shared" si="14"/>
        <v>1.9373849043704072</v>
      </c>
      <c r="I38" s="119">
        <f t="shared" si="14"/>
        <v>1.9780699873621856</v>
      </c>
      <c r="J38" s="119">
        <f t="shared" si="14"/>
        <v>2.0196094570967915</v>
      </c>
      <c r="K38" s="119">
        <f t="shared" si="14"/>
        <v>2.0620212556958237</v>
      </c>
      <c r="T38" s="119"/>
      <c r="U38" s="119"/>
      <c r="V38" s="119"/>
      <c r="W38" s="7" t="s">
        <v>509</v>
      </c>
      <c r="X38" s="119">
        <v>12.565875</v>
      </c>
      <c r="Y38" s="119">
        <v>12.565875</v>
      </c>
      <c r="Z38" s="119">
        <v>12.565875</v>
      </c>
      <c r="AA38" s="119">
        <v>12.565875</v>
      </c>
      <c r="AB38" s="119">
        <v>12.565875</v>
      </c>
      <c r="AC38" s="119">
        <v>12.565875</v>
      </c>
      <c r="AD38" s="119">
        <v>12.565875</v>
      </c>
      <c r="AE38" s="119">
        <v>12.565875</v>
      </c>
      <c r="AF38" s="119">
        <v>12.565875</v>
      </c>
      <c r="AG38" s="119">
        <v>12.565875</v>
      </c>
      <c r="AH38" s="119"/>
      <c r="AI38" s="7" t="s">
        <v>531</v>
      </c>
      <c r="AJ38" s="119">
        <f t="shared" si="2"/>
        <v>12.565875</v>
      </c>
      <c r="AK38" s="119">
        <f t="shared" si="4"/>
        <v>12.565875</v>
      </c>
      <c r="AL38" s="119">
        <f t="shared" si="5"/>
        <v>12.565875</v>
      </c>
      <c r="AM38" s="119">
        <f t="shared" si="6"/>
        <v>12.565875</v>
      </c>
      <c r="AN38" s="119">
        <f t="shared" si="7"/>
        <v>12.565875</v>
      </c>
      <c r="AO38" s="119">
        <f t="shared" si="8"/>
        <v>12.565875</v>
      </c>
      <c r="AP38" s="119">
        <f t="shared" si="9"/>
        <v>12.565875</v>
      </c>
      <c r="AQ38" s="119">
        <f t="shared" si="10"/>
        <v>12.565875</v>
      </c>
      <c r="AR38" s="119">
        <f t="shared" si="11"/>
        <v>12.565875</v>
      </c>
      <c r="AS38" s="119">
        <f t="shared" si="12"/>
        <v>12.565875</v>
      </c>
    </row>
    <row r="39" spans="1:45">
      <c r="A39" s="7" t="s">
        <v>513</v>
      </c>
      <c r="B39" s="119">
        <v>1.7052468047094611</v>
      </c>
      <c r="C39" s="119">
        <f t="shared" si="14"/>
        <v>1.7461727280224881</v>
      </c>
      <c r="D39" s="119">
        <f t="shared" si="14"/>
        <v>1.7828423553109605</v>
      </c>
      <c r="E39" s="119">
        <f t="shared" si="14"/>
        <v>1.8202820447724903</v>
      </c>
      <c r="F39" s="119">
        <f t="shared" si="14"/>
        <v>1.8585079677127123</v>
      </c>
      <c r="G39" s="119">
        <f t="shared" si="14"/>
        <v>1.8975366350346794</v>
      </c>
      <c r="H39" s="119">
        <f t="shared" si="14"/>
        <v>1.9373849043704072</v>
      </c>
      <c r="I39" s="119">
        <f t="shared" si="14"/>
        <v>1.9780699873621856</v>
      </c>
      <c r="J39" s="119">
        <f t="shared" si="14"/>
        <v>2.0196094570967915</v>
      </c>
      <c r="K39" s="119">
        <f t="shared" si="14"/>
        <v>2.0620212556958237</v>
      </c>
      <c r="T39" s="119"/>
      <c r="U39" s="119"/>
      <c r="V39" s="119"/>
      <c r="W39" s="7" t="s">
        <v>510</v>
      </c>
      <c r="X39" s="119">
        <v>12.565875</v>
      </c>
      <c r="Y39" s="119">
        <v>12.565875</v>
      </c>
      <c r="Z39" s="119">
        <v>12.565875</v>
      </c>
      <c r="AA39" s="119">
        <v>12.565875</v>
      </c>
      <c r="AB39" s="119">
        <v>12.565875</v>
      </c>
      <c r="AC39" s="119">
        <v>12.565875</v>
      </c>
      <c r="AD39" s="119">
        <v>12.565875</v>
      </c>
      <c r="AE39" s="119">
        <v>12.565875</v>
      </c>
      <c r="AF39" s="119">
        <v>12.565875</v>
      </c>
      <c r="AG39" s="119">
        <v>12.565875</v>
      </c>
      <c r="AH39" s="119"/>
      <c r="AI39" s="7" t="s">
        <v>506</v>
      </c>
      <c r="AJ39" s="119">
        <f t="shared" si="2"/>
        <v>12.565875</v>
      </c>
      <c r="AK39" s="119">
        <f t="shared" si="4"/>
        <v>12.565875</v>
      </c>
      <c r="AL39" s="119">
        <f t="shared" si="5"/>
        <v>391.89257011616883</v>
      </c>
      <c r="AM39" s="119">
        <f t="shared" si="6"/>
        <v>391.89257011616883</v>
      </c>
      <c r="AN39" s="119">
        <f t="shared" si="7"/>
        <v>391.89257011616883</v>
      </c>
      <c r="AO39" s="119">
        <f t="shared" si="8"/>
        <v>391.89257011616883</v>
      </c>
      <c r="AP39" s="119">
        <f t="shared" si="9"/>
        <v>391.89257011616883</v>
      </c>
      <c r="AQ39" s="119">
        <f t="shared" si="10"/>
        <v>391.89257011616883</v>
      </c>
      <c r="AR39" s="119">
        <f t="shared" si="11"/>
        <v>391.89257011616883</v>
      </c>
      <c r="AS39" s="119">
        <f t="shared" si="12"/>
        <v>391.89257011616883</v>
      </c>
    </row>
    <row r="40" spans="1:45">
      <c r="A40" s="7" t="s">
        <v>532</v>
      </c>
      <c r="B40" s="119">
        <v>1.7052468047094611</v>
      </c>
      <c r="C40" s="119">
        <f t="shared" si="14"/>
        <v>1.7461727280224881</v>
      </c>
      <c r="D40" s="119">
        <f t="shared" si="14"/>
        <v>1.7828423553109605</v>
      </c>
      <c r="E40" s="119">
        <f t="shared" si="14"/>
        <v>1.8202820447724903</v>
      </c>
      <c r="F40" s="119">
        <f t="shared" si="14"/>
        <v>1.8585079677127123</v>
      </c>
      <c r="G40" s="119">
        <f t="shared" si="14"/>
        <v>1.8975366350346794</v>
      </c>
      <c r="H40" s="119">
        <f t="shared" si="14"/>
        <v>1.9373849043704072</v>
      </c>
      <c r="I40" s="119">
        <f t="shared" si="14"/>
        <v>1.9780699873621856</v>
      </c>
      <c r="J40" s="119">
        <f t="shared" si="14"/>
        <v>2.0196094570967915</v>
      </c>
      <c r="K40" s="119">
        <f t="shared" si="14"/>
        <v>2.0620212556958237</v>
      </c>
      <c r="T40" s="119"/>
      <c r="U40" s="119"/>
      <c r="V40" s="119"/>
      <c r="W40" s="7" t="s">
        <v>512</v>
      </c>
      <c r="X40" s="119">
        <v>12.565875</v>
      </c>
      <c r="Y40" s="119">
        <v>12.565875</v>
      </c>
      <c r="Z40" s="119">
        <v>12.565875</v>
      </c>
      <c r="AA40" s="119">
        <v>12.565875</v>
      </c>
      <c r="AB40" s="119">
        <v>12.565875</v>
      </c>
      <c r="AC40" s="119">
        <v>12.565875</v>
      </c>
      <c r="AD40" s="119">
        <v>12.565875</v>
      </c>
      <c r="AE40" s="119">
        <v>12.565875</v>
      </c>
      <c r="AF40" s="119">
        <v>12.565875</v>
      </c>
      <c r="AG40" s="119">
        <v>12.565875</v>
      </c>
      <c r="AH40" s="119"/>
      <c r="AI40" s="7" t="s">
        <v>513</v>
      </c>
      <c r="AJ40" s="119">
        <f t="shared" si="2"/>
        <v>83.689630334281659</v>
      </c>
      <c r="AK40" s="119">
        <f t="shared" si="4"/>
        <v>83.689630334281659</v>
      </c>
      <c r="AL40" s="119">
        <f t="shared" si="5"/>
        <v>83.689630334281659</v>
      </c>
      <c r="AM40" s="119">
        <f t="shared" si="6"/>
        <v>83.689630334281659</v>
      </c>
      <c r="AN40" s="119">
        <f t="shared" si="7"/>
        <v>83.689630334281659</v>
      </c>
      <c r="AO40" s="119">
        <f t="shared" si="8"/>
        <v>83.689630334281659</v>
      </c>
      <c r="AP40" s="119">
        <f t="shared" si="9"/>
        <v>83.689630334281659</v>
      </c>
      <c r="AQ40" s="119">
        <f t="shared" si="10"/>
        <v>83.689630334281659</v>
      </c>
      <c r="AR40" s="119">
        <f t="shared" si="11"/>
        <v>83.689630334281659</v>
      </c>
      <c r="AS40" s="119">
        <f t="shared" si="12"/>
        <v>83.689630334281659</v>
      </c>
    </row>
    <row r="41" spans="1:45">
      <c r="A41" s="7" t="s">
        <v>533</v>
      </c>
      <c r="B41" s="119">
        <v>1.7052468047094611</v>
      </c>
      <c r="C41" s="119">
        <f t="shared" si="14"/>
        <v>1.7461727280224881</v>
      </c>
      <c r="D41" s="119">
        <f t="shared" si="14"/>
        <v>1.7828423553109605</v>
      </c>
      <c r="E41" s="119">
        <f t="shared" si="14"/>
        <v>1.8202820447724903</v>
      </c>
      <c r="F41" s="119">
        <f t="shared" si="14"/>
        <v>1.8585079677127123</v>
      </c>
      <c r="G41" s="119">
        <f t="shared" si="14"/>
        <v>1.8975366350346794</v>
      </c>
      <c r="H41" s="119">
        <f t="shared" si="14"/>
        <v>1.9373849043704072</v>
      </c>
      <c r="I41" s="119">
        <f t="shared" si="14"/>
        <v>1.9780699873621856</v>
      </c>
      <c r="J41" s="119">
        <f t="shared" si="14"/>
        <v>2.0196094570967915</v>
      </c>
      <c r="K41" s="119">
        <f t="shared" si="14"/>
        <v>2.0620212556958237</v>
      </c>
      <c r="T41" s="119"/>
      <c r="U41" s="119"/>
      <c r="V41" s="119"/>
      <c r="W41" s="7" t="s">
        <v>511</v>
      </c>
      <c r="X41" s="119">
        <v>12.565875</v>
      </c>
      <c r="Y41" s="119">
        <v>12.565875</v>
      </c>
      <c r="Z41" s="119">
        <v>12.565875</v>
      </c>
      <c r="AA41" s="119">
        <v>12.565875</v>
      </c>
      <c r="AB41" s="119">
        <v>12.565875</v>
      </c>
      <c r="AC41" s="119">
        <v>12.565875</v>
      </c>
      <c r="AD41" s="119">
        <v>12.565875</v>
      </c>
      <c r="AE41" s="119">
        <v>12.565875</v>
      </c>
      <c r="AF41" s="119">
        <v>12.565875</v>
      </c>
      <c r="AG41" s="119">
        <v>12.565875</v>
      </c>
      <c r="AH41" s="119"/>
      <c r="AI41" s="7" t="s">
        <v>532</v>
      </c>
      <c r="AJ41" s="119">
        <f t="shared" si="2"/>
        <v>12.565875</v>
      </c>
      <c r="AK41" s="119">
        <f t="shared" si="4"/>
        <v>12.565875</v>
      </c>
      <c r="AL41" s="119">
        <f t="shared" si="5"/>
        <v>12.565875</v>
      </c>
      <c r="AM41" s="119">
        <f t="shared" si="6"/>
        <v>12.565875</v>
      </c>
      <c r="AN41" s="119">
        <f t="shared" si="7"/>
        <v>12.565875</v>
      </c>
      <c r="AO41" s="119">
        <f t="shared" si="8"/>
        <v>12.565875</v>
      </c>
      <c r="AP41" s="119">
        <f t="shared" si="9"/>
        <v>12.565875</v>
      </c>
      <c r="AQ41" s="119">
        <f t="shared" si="10"/>
        <v>12.565875</v>
      </c>
      <c r="AR41" s="119">
        <f t="shared" si="11"/>
        <v>12.565875</v>
      </c>
      <c r="AS41" s="119">
        <f t="shared" si="12"/>
        <v>12.565875</v>
      </c>
    </row>
    <row r="42" spans="1:45">
      <c r="A42" s="7" t="s">
        <v>534</v>
      </c>
      <c r="B42" s="119">
        <v>1.7052468047094611</v>
      </c>
      <c r="C42" s="119">
        <f t="shared" si="14"/>
        <v>1.7461727280224881</v>
      </c>
      <c r="D42" s="119">
        <f t="shared" si="14"/>
        <v>1.7828423553109605</v>
      </c>
      <c r="E42" s="119">
        <f t="shared" si="14"/>
        <v>1.8202820447724903</v>
      </c>
      <c r="F42" s="119">
        <f t="shared" si="14"/>
        <v>1.8585079677127123</v>
      </c>
      <c r="G42" s="119">
        <f t="shared" si="14"/>
        <v>1.8975366350346794</v>
      </c>
      <c r="H42" s="119">
        <f t="shared" si="14"/>
        <v>1.9373849043704072</v>
      </c>
      <c r="I42" s="119">
        <f t="shared" si="14"/>
        <v>1.9780699873621856</v>
      </c>
      <c r="J42" s="119">
        <f t="shared" si="14"/>
        <v>2.0196094570967915</v>
      </c>
      <c r="K42" s="119">
        <f t="shared" si="14"/>
        <v>2.0620212556958237</v>
      </c>
      <c r="T42" s="119"/>
      <c r="U42" s="119"/>
      <c r="V42" s="119"/>
      <c r="W42" s="7" t="s">
        <v>515</v>
      </c>
      <c r="X42" s="119">
        <v>12.565875</v>
      </c>
      <c r="Y42" s="119">
        <v>12.565875</v>
      </c>
      <c r="Z42" s="119">
        <v>12.565875</v>
      </c>
      <c r="AA42" s="119">
        <v>12.565875</v>
      </c>
      <c r="AB42" s="119">
        <v>12.565875</v>
      </c>
      <c r="AC42" s="119">
        <v>12.565875</v>
      </c>
      <c r="AD42" s="119">
        <v>12.565875</v>
      </c>
      <c r="AE42" s="119">
        <v>12.565875</v>
      </c>
      <c r="AF42" s="119">
        <v>12.565875</v>
      </c>
      <c r="AG42" s="119">
        <v>12.565875</v>
      </c>
      <c r="AH42" s="119"/>
      <c r="AI42" s="7" t="s">
        <v>533</v>
      </c>
      <c r="AJ42" s="119">
        <f t="shared" si="2"/>
        <v>12.565875</v>
      </c>
      <c r="AK42" s="119">
        <f t="shared" si="4"/>
        <v>12.565875</v>
      </c>
      <c r="AL42" s="119">
        <f t="shared" si="5"/>
        <v>12.565875</v>
      </c>
      <c r="AM42" s="119">
        <f t="shared" si="6"/>
        <v>12.565875</v>
      </c>
      <c r="AN42" s="119">
        <f t="shared" si="7"/>
        <v>12.565875</v>
      </c>
      <c r="AO42" s="119">
        <f t="shared" si="8"/>
        <v>12.565875</v>
      </c>
      <c r="AP42" s="119">
        <f t="shared" si="9"/>
        <v>12.565875</v>
      </c>
      <c r="AQ42" s="119">
        <f t="shared" si="10"/>
        <v>12.565875</v>
      </c>
      <c r="AR42" s="119">
        <f t="shared" si="11"/>
        <v>12.565875</v>
      </c>
      <c r="AS42" s="119">
        <f t="shared" si="12"/>
        <v>12.565875</v>
      </c>
    </row>
    <row r="43" spans="1:45">
      <c r="A43" s="7" t="s">
        <v>535</v>
      </c>
      <c r="B43" s="119">
        <v>1.7052468047094611</v>
      </c>
      <c r="C43" s="119">
        <f t="shared" si="14"/>
        <v>1.7461727280224881</v>
      </c>
      <c r="D43" s="119">
        <f t="shared" si="14"/>
        <v>1.7828423553109605</v>
      </c>
      <c r="E43" s="119">
        <f t="shared" si="14"/>
        <v>1.8202820447724903</v>
      </c>
      <c r="F43" s="119">
        <f t="shared" si="14"/>
        <v>1.8585079677127123</v>
      </c>
      <c r="G43" s="119">
        <f t="shared" si="14"/>
        <v>1.8975366350346794</v>
      </c>
      <c r="H43" s="119">
        <f t="shared" si="14"/>
        <v>1.9373849043704072</v>
      </c>
      <c r="I43" s="119">
        <f t="shared" si="14"/>
        <v>1.9780699873621856</v>
      </c>
      <c r="J43" s="119">
        <f t="shared" si="14"/>
        <v>2.0196094570967915</v>
      </c>
      <c r="K43" s="119">
        <f t="shared" si="14"/>
        <v>2.0620212556958237</v>
      </c>
      <c r="T43" s="119"/>
      <c r="U43" s="119"/>
      <c r="V43" s="119"/>
      <c r="W43" s="7" t="s">
        <v>517</v>
      </c>
      <c r="X43" s="119">
        <v>12.565875</v>
      </c>
      <c r="Y43" s="119">
        <v>12.565875</v>
      </c>
      <c r="Z43" s="119">
        <v>12.565875</v>
      </c>
      <c r="AA43" s="119">
        <v>12.565875</v>
      </c>
      <c r="AB43" s="119">
        <v>12.565875</v>
      </c>
      <c r="AC43" s="119">
        <v>12.565875</v>
      </c>
      <c r="AD43" s="119">
        <v>12.565875</v>
      </c>
      <c r="AE43" s="119">
        <v>12.565875</v>
      </c>
      <c r="AF43" s="119">
        <v>12.565875</v>
      </c>
      <c r="AG43" s="119">
        <v>12.565875</v>
      </c>
      <c r="AH43" s="119"/>
      <c r="AI43" s="7" t="s">
        <v>534</v>
      </c>
      <c r="AJ43" s="119">
        <f t="shared" si="2"/>
        <v>12.565875</v>
      </c>
      <c r="AK43" s="119">
        <f t="shared" si="4"/>
        <v>12.565875</v>
      </c>
      <c r="AL43" s="119">
        <f t="shared" si="5"/>
        <v>12.565875</v>
      </c>
      <c r="AM43" s="119">
        <f t="shared" si="6"/>
        <v>12.565875</v>
      </c>
      <c r="AN43" s="119">
        <f t="shared" si="7"/>
        <v>12.565875</v>
      </c>
      <c r="AO43" s="119">
        <f t="shared" si="8"/>
        <v>12.565875</v>
      </c>
      <c r="AP43" s="119">
        <f t="shared" si="9"/>
        <v>12.565875</v>
      </c>
      <c r="AQ43" s="119">
        <f t="shared" si="10"/>
        <v>12.565875</v>
      </c>
      <c r="AR43" s="119">
        <f t="shared" si="11"/>
        <v>12.565875</v>
      </c>
      <c r="AS43" s="119">
        <f t="shared" si="12"/>
        <v>12.565875</v>
      </c>
    </row>
    <row r="44" spans="1:45">
      <c r="A44" s="7" t="s">
        <v>536</v>
      </c>
      <c r="B44" s="119">
        <v>1.7052468047094611</v>
      </c>
      <c r="C44" s="119">
        <f t="shared" si="14"/>
        <v>1.7461727280224881</v>
      </c>
      <c r="D44" s="119">
        <f t="shared" si="14"/>
        <v>1.7828423553109605</v>
      </c>
      <c r="E44" s="119">
        <f t="shared" si="14"/>
        <v>1.8202820447724903</v>
      </c>
      <c r="F44" s="119">
        <f t="shared" si="14"/>
        <v>1.8585079677127123</v>
      </c>
      <c r="G44" s="119">
        <f t="shared" si="14"/>
        <v>1.8975366350346794</v>
      </c>
      <c r="H44" s="119">
        <f t="shared" si="14"/>
        <v>1.9373849043704072</v>
      </c>
      <c r="I44" s="119">
        <f t="shared" si="14"/>
        <v>1.9780699873621856</v>
      </c>
      <c r="J44" s="119">
        <f t="shared" si="14"/>
        <v>2.0196094570967915</v>
      </c>
      <c r="K44" s="119">
        <f t="shared" si="14"/>
        <v>2.0620212556958237</v>
      </c>
      <c r="T44" s="119"/>
      <c r="U44" s="119"/>
      <c r="V44" s="119"/>
      <c r="W44" s="7" t="s">
        <v>519</v>
      </c>
      <c r="X44" s="119">
        <v>12.565875</v>
      </c>
      <c r="Y44" s="119">
        <v>12.565875</v>
      </c>
      <c r="Z44" s="119">
        <v>12.565875</v>
      </c>
      <c r="AA44" s="119">
        <v>12.565875</v>
      </c>
      <c r="AB44" s="119">
        <v>12.565875</v>
      </c>
      <c r="AC44" s="119">
        <v>12.565875</v>
      </c>
      <c r="AD44" s="119">
        <v>12.565875</v>
      </c>
      <c r="AE44" s="119">
        <v>12.565875</v>
      </c>
      <c r="AF44" s="119">
        <v>12.565875</v>
      </c>
      <c r="AG44" s="119">
        <v>12.565875</v>
      </c>
      <c r="AH44" s="119"/>
      <c r="AI44" s="7" t="s">
        <v>535</v>
      </c>
      <c r="AJ44" s="119">
        <f t="shared" si="2"/>
        <v>12.565875</v>
      </c>
      <c r="AK44" s="119">
        <f t="shared" si="4"/>
        <v>12.565875</v>
      </c>
      <c r="AL44" s="119">
        <f t="shared" si="5"/>
        <v>12.565875</v>
      </c>
      <c r="AM44" s="119">
        <f t="shared" si="6"/>
        <v>12.565875</v>
      </c>
      <c r="AN44" s="119">
        <f t="shared" si="7"/>
        <v>12.565875</v>
      </c>
      <c r="AO44" s="119">
        <f t="shared" si="8"/>
        <v>12.565875</v>
      </c>
      <c r="AP44" s="119">
        <f t="shared" si="9"/>
        <v>12.565875</v>
      </c>
      <c r="AQ44" s="119">
        <f t="shared" si="10"/>
        <v>12.565875</v>
      </c>
      <c r="AR44" s="119">
        <f t="shared" si="11"/>
        <v>12.565875</v>
      </c>
      <c r="AS44" s="119">
        <f t="shared" si="12"/>
        <v>12.565875</v>
      </c>
    </row>
    <row r="45" spans="1:45">
      <c r="A45" s="7" t="s">
        <v>501</v>
      </c>
      <c r="B45" s="119">
        <v>1.7052468047094611</v>
      </c>
      <c r="C45" s="119">
        <f t="shared" ref="C45:K54" si="15">$B45*C$3</f>
        <v>1.7461727280224881</v>
      </c>
      <c r="D45" s="119">
        <f t="shared" si="15"/>
        <v>1.7828423553109605</v>
      </c>
      <c r="E45" s="119">
        <f t="shared" si="15"/>
        <v>1.8202820447724903</v>
      </c>
      <c r="F45" s="119">
        <f t="shared" si="15"/>
        <v>1.8585079677127123</v>
      </c>
      <c r="G45" s="119">
        <f t="shared" si="15"/>
        <v>1.8975366350346794</v>
      </c>
      <c r="H45" s="119">
        <f t="shared" si="15"/>
        <v>1.9373849043704072</v>
      </c>
      <c r="I45" s="119">
        <f t="shared" si="15"/>
        <v>1.9780699873621856</v>
      </c>
      <c r="J45" s="119">
        <f t="shared" si="15"/>
        <v>2.0196094570967915</v>
      </c>
      <c r="K45" s="119">
        <f t="shared" si="15"/>
        <v>2.0620212556958237</v>
      </c>
      <c r="T45" s="119"/>
      <c r="U45" s="119"/>
      <c r="V45" s="119"/>
      <c r="W45" s="7" t="s">
        <v>521</v>
      </c>
      <c r="X45" s="119">
        <v>12.565875</v>
      </c>
      <c r="Y45" s="119">
        <v>12.565875</v>
      </c>
      <c r="Z45" s="119">
        <v>12.565875</v>
      </c>
      <c r="AA45" s="119">
        <v>12.565875</v>
      </c>
      <c r="AB45" s="119">
        <v>12.565875</v>
      </c>
      <c r="AC45" s="119">
        <v>12.565875</v>
      </c>
      <c r="AD45" s="119">
        <v>12.565875</v>
      </c>
      <c r="AE45" s="119">
        <v>12.565875</v>
      </c>
      <c r="AF45" s="119">
        <v>12.565875</v>
      </c>
      <c r="AG45" s="119">
        <v>12.565875</v>
      </c>
      <c r="AH45" s="119"/>
      <c r="AI45" s="7" t="s">
        <v>536</v>
      </c>
      <c r="AJ45" s="119">
        <f t="shared" si="2"/>
        <v>12.565875</v>
      </c>
      <c r="AK45" s="119">
        <f t="shared" si="4"/>
        <v>12.565875</v>
      </c>
      <c r="AL45" s="119">
        <f t="shared" si="5"/>
        <v>12.565875</v>
      </c>
      <c r="AM45" s="119">
        <f t="shared" si="6"/>
        <v>12.565875</v>
      </c>
      <c r="AN45" s="119">
        <f t="shared" si="7"/>
        <v>12.565875</v>
      </c>
      <c r="AO45" s="119">
        <f t="shared" si="8"/>
        <v>12.565875</v>
      </c>
      <c r="AP45" s="119">
        <f t="shared" si="9"/>
        <v>12.565875</v>
      </c>
      <c r="AQ45" s="119">
        <f t="shared" si="10"/>
        <v>12.565875</v>
      </c>
      <c r="AR45" s="119">
        <f t="shared" si="11"/>
        <v>12.565875</v>
      </c>
      <c r="AS45" s="119">
        <f t="shared" si="12"/>
        <v>12.565875</v>
      </c>
    </row>
    <row r="46" spans="1:45">
      <c r="A46" s="7" t="s">
        <v>537</v>
      </c>
      <c r="B46" s="119">
        <v>1.7052468047094611</v>
      </c>
      <c r="C46" s="119">
        <f t="shared" si="15"/>
        <v>1.7461727280224881</v>
      </c>
      <c r="D46" s="119">
        <f t="shared" si="15"/>
        <v>1.7828423553109605</v>
      </c>
      <c r="E46" s="119">
        <f t="shared" si="15"/>
        <v>1.8202820447724903</v>
      </c>
      <c r="F46" s="119">
        <f t="shared" si="15"/>
        <v>1.8585079677127123</v>
      </c>
      <c r="G46" s="119">
        <f t="shared" si="15"/>
        <v>1.8975366350346794</v>
      </c>
      <c r="H46" s="119">
        <f t="shared" si="15"/>
        <v>1.9373849043704072</v>
      </c>
      <c r="I46" s="119">
        <f t="shared" si="15"/>
        <v>1.9780699873621856</v>
      </c>
      <c r="J46" s="119">
        <f t="shared" si="15"/>
        <v>2.0196094570967915</v>
      </c>
      <c r="K46" s="119">
        <f t="shared" si="15"/>
        <v>2.0620212556958237</v>
      </c>
      <c r="T46" s="119"/>
      <c r="U46" s="119"/>
      <c r="V46" s="119"/>
      <c r="W46" s="7" t="s">
        <v>523</v>
      </c>
      <c r="X46" s="119">
        <v>12.565875</v>
      </c>
      <c r="Y46" s="119">
        <v>12.565875</v>
      </c>
      <c r="Z46" s="119">
        <v>12.565875</v>
      </c>
      <c r="AA46" s="119">
        <v>12.565875</v>
      </c>
      <c r="AB46" s="119">
        <v>12.565875</v>
      </c>
      <c r="AC46" s="119">
        <v>12.565875</v>
      </c>
      <c r="AD46" s="119">
        <v>12.565875</v>
      </c>
      <c r="AE46" s="119">
        <v>12.565875</v>
      </c>
      <c r="AF46" s="119">
        <v>12.565875</v>
      </c>
      <c r="AG46" s="119">
        <v>12.565875</v>
      </c>
      <c r="AH46" s="119"/>
      <c r="AI46" s="7" t="s">
        <v>501</v>
      </c>
      <c r="AJ46" s="119">
        <f t="shared" si="2"/>
        <v>36.764302102238361</v>
      </c>
      <c r="AK46" s="119">
        <f t="shared" si="4"/>
        <v>133.55801051119178</v>
      </c>
      <c r="AL46" s="119">
        <f t="shared" si="5"/>
        <v>206.15329181790688</v>
      </c>
      <c r="AM46" s="119">
        <f t="shared" si="6"/>
        <v>230.35171892014523</v>
      </c>
      <c r="AN46" s="119">
        <f t="shared" si="7"/>
        <v>230.35171892014523</v>
      </c>
      <c r="AO46" s="119">
        <f t="shared" si="8"/>
        <v>230.35171892014523</v>
      </c>
      <c r="AP46" s="119">
        <f t="shared" si="9"/>
        <v>230.35171892014523</v>
      </c>
      <c r="AQ46" s="119">
        <f t="shared" si="10"/>
        <v>230.35171892014523</v>
      </c>
      <c r="AR46" s="119">
        <f t="shared" si="11"/>
        <v>230.35171892014523</v>
      </c>
      <c r="AS46" s="119">
        <f t="shared" si="12"/>
        <v>230.35171892014523</v>
      </c>
    </row>
    <row r="47" spans="1:45">
      <c r="A47" s="7" t="s">
        <v>499</v>
      </c>
      <c r="B47" s="119">
        <v>1.7052468047094611</v>
      </c>
      <c r="C47" s="119">
        <f t="shared" si="15"/>
        <v>1.7461727280224881</v>
      </c>
      <c r="D47" s="119">
        <f t="shared" si="15"/>
        <v>1.7828423553109605</v>
      </c>
      <c r="E47" s="119">
        <f t="shared" si="15"/>
        <v>1.8202820447724903</v>
      </c>
      <c r="F47" s="119">
        <f t="shared" si="15"/>
        <v>1.8585079677127123</v>
      </c>
      <c r="G47" s="119">
        <f t="shared" si="15"/>
        <v>1.8975366350346794</v>
      </c>
      <c r="H47" s="119">
        <f t="shared" si="15"/>
        <v>1.9373849043704072</v>
      </c>
      <c r="I47" s="119">
        <f t="shared" si="15"/>
        <v>1.9780699873621856</v>
      </c>
      <c r="J47" s="119">
        <f t="shared" si="15"/>
        <v>2.0196094570967915</v>
      </c>
      <c r="K47" s="119">
        <f t="shared" si="15"/>
        <v>2.0620212556958237</v>
      </c>
      <c r="T47" s="119"/>
      <c r="U47" s="119"/>
      <c r="V47" s="119"/>
      <c r="W47" s="7" t="s">
        <v>524</v>
      </c>
      <c r="X47" s="119">
        <v>12.565875</v>
      </c>
      <c r="Y47" s="119">
        <v>12.565875</v>
      </c>
      <c r="Z47" s="119">
        <v>12.565875</v>
      </c>
      <c r="AA47" s="119">
        <v>12.565875</v>
      </c>
      <c r="AB47" s="119">
        <v>12.565875</v>
      </c>
      <c r="AC47" s="119">
        <v>12.565875</v>
      </c>
      <c r="AD47" s="119">
        <v>12.565875</v>
      </c>
      <c r="AE47" s="119">
        <v>12.565875</v>
      </c>
      <c r="AF47" s="119">
        <v>12.565875</v>
      </c>
      <c r="AG47" s="119">
        <v>12.565875</v>
      </c>
      <c r="AH47" s="119"/>
      <c r="AI47" s="7" t="s">
        <v>537</v>
      </c>
      <c r="AJ47" s="119">
        <f t="shared" si="2"/>
        <v>12.565875</v>
      </c>
      <c r="AK47" s="119">
        <f t="shared" si="4"/>
        <v>12.565875</v>
      </c>
      <c r="AL47" s="119">
        <f t="shared" si="5"/>
        <v>12.565875</v>
      </c>
      <c r="AM47" s="119">
        <f t="shared" si="6"/>
        <v>12.565875</v>
      </c>
      <c r="AN47" s="119">
        <f t="shared" si="7"/>
        <v>12.565875</v>
      </c>
      <c r="AO47" s="119">
        <f t="shared" si="8"/>
        <v>12.565875</v>
      </c>
      <c r="AP47" s="119">
        <f t="shared" si="9"/>
        <v>12.565875</v>
      </c>
      <c r="AQ47" s="119">
        <f t="shared" si="10"/>
        <v>12.565875</v>
      </c>
      <c r="AR47" s="119">
        <f t="shared" si="11"/>
        <v>12.565875</v>
      </c>
      <c r="AS47" s="119">
        <f t="shared" si="12"/>
        <v>12.565875</v>
      </c>
    </row>
    <row r="48" spans="1:45">
      <c r="A48" s="7" t="s">
        <v>538</v>
      </c>
      <c r="B48" s="119">
        <v>1.7052468047094611</v>
      </c>
      <c r="C48" s="119">
        <f t="shared" si="15"/>
        <v>1.7461727280224881</v>
      </c>
      <c r="D48" s="119">
        <f t="shared" si="15"/>
        <v>1.7828423553109605</v>
      </c>
      <c r="E48" s="119">
        <f t="shared" si="15"/>
        <v>1.8202820447724903</v>
      </c>
      <c r="F48" s="119">
        <f t="shared" si="15"/>
        <v>1.8585079677127123</v>
      </c>
      <c r="G48" s="119">
        <f t="shared" si="15"/>
        <v>1.8975366350346794</v>
      </c>
      <c r="H48" s="119">
        <f t="shared" si="15"/>
        <v>1.9373849043704072</v>
      </c>
      <c r="I48" s="119">
        <f t="shared" si="15"/>
        <v>1.9780699873621856</v>
      </c>
      <c r="J48" s="119">
        <f t="shared" si="15"/>
        <v>2.0196094570967915</v>
      </c>
      <c r="K48" s="119">
        <f t="shared" si="15"/>
        <v>2.0620212556958237</v>
      </c>
      <c r="T48" s="119"/>
      <c r="U48" s="119"/>
      <c r="V48" s="119"/>
      <c r="W48" s="7" t="s">
        <v>525</v>
      </c>
      <c r="X48" s="119">
        <v>12.565875</v>
      </c>
      <c r="Y48" s="119">
        <v>12.565875</v>
      </c>
      <c r="Z48" s="119">
        <v>12.565875</v>
      </c>
      <c r="AA48" s="119">
        <v>12.565875</v>
      </c>
      <c r="AB48" s="119">
        <v>12.565875</v>
      </c>
      <c r="AC48" s="119">
        <v>12.565875</v>
      </c>
      <c r="AD48" s="119">
        <v>12.565875</v>
      </c>
      <c r="AE48" s="119">
        <v>12.565875</v>
      </c>
      <c r="AF48" s="119">
        <v>12.565875</v>
      </c>
      <c r="AG48" s="119">
        <v>12.565875</v>
      </c>
      <c r="AH48" s="119"/>
      <c r="AI48" s="7" t="s">
        <v>499</v>
      </c>
      <c r="AJ48" s="119">
        <f t="shared" si="2"/>
        <v>36.593334954233413</v>
      </c>
      <c r="AK48" s="119">
        <f t="shared" si="4"/>
        <v>74.922854405034329</v>
      </c>
      <c r="AL48" s="119">
        <f t="shared" si="5"/>
        <v>166.45603518306638</v>
      </c>
      <c r="AM48" s="119">
        <f t="shared" si="6"/>
        <v>418.1722823226545</v>
      </c>
      <c r="AN48" s="119">
        <f t="shared" si="7"/>
        <v>509.70546310068653</v>
      </c>
      <c r="AO48" s="119">
        <f t="shared" si="8"/>
        <v>509.70546310068653</v>
      </c>
      <c r="AP48" s="119">
        <f t="shared" si="9"/>
        <v>509.70546310068653</v>
      </c>
      <c r="AQ48" s="119">
        <f t="shared" si="10"/>
        <v>509.70546310068653</v>
      </c>
      <c r="AR48" s="119">
        <f t="shared" si="11"/>
        <v>509.70546310068653</v>
      </c>
      <c r="AS48" s="119">
        <f t="shared" si="12"/>
        <v>509.70546310068653</v>
      </c>
    </row>
    <row r="49" spans="1:45">
      <c r="A49" s="7" t="s">
        <v>539</v>
      </c>
      <c r="B49" s="119">
        <v>1.7052468047094611</v>
      </c>
      <c r="C49" s="119">
        <f t="shared" si="15"/>
        <v>1.7461727280224881</v>
      </c>
      <c r="D49" s="119">
        <f t="shared" si="15"/>
        <v>1.7828423553109605</v>
      </c>
      <c r="E49" s="119">
        <f t="shared" si="15"/>
        <v>1.8202820447724903</v>
      </c>
      <c r="F49" s="119">
        <f t="shared" si="15"/>
        <v>1.8585079677127123</v>
      </c>
      <c r="G49" s="119">
        <f t="shared" si="15"/>
        <v>1.8975366350346794</v>
      </c>
      <c r="H49" s="119">
        <f t="shared" si="15"/>
        <v>1.9373849043704072</v>
      </c>
      <c r="I49" s="119">
        <f t="shared" si="15"/>
        <v>1.9780699873621856</v>
      </c>
      <c r="J49" s="119">
        <f t="shared" si="15"/>
        <v>2.0196094570967915</v>
      </c>
      <c r="K49" s="119">
        <f t="shared" si="15"/>
        <v>2.0620212556958237</v>
      </c>
      <c r="T49" s="119"/>
      <c r="U49" s="119"/>
      <c r="V49" s="119"/>
      <c r="W49" s="7" t="s">
        <v>526</v>
      </c>
      <c r="X49" s="119">
        <v>12.565875</v>
      </c>
      <c r="Y49" s="119">
        <v>12.565875</v>
      </c>
      <c r="Z49" s="119">
        <v>12.565875</v>
      </c>
      <c r="AA49" s="119">
        <v>12.565875</v>
      </c>
      <c r="AB49" s="119">
        <v>12.565875</v>
      </c>
      <c r="AC49" s="119">
        <v>12.565875</v>
      </c>
      <c r="AD49" s="119">
        <v>12.565875</v>
      </c>
      <c r="AE49" s="119">
        <v>12.565875</v>
      </c>
      <c r="AF49" s="119">
        <v>12.565875</v>
      </c>
      <c r="AG49" s="119">
        <v>12.565875</v>
      </c>
      <c r="AH49" s="119"/>
      <c r="AI49" s="7" t="s">
        <v>538</v>
      </c>
      <c r="AJ49" s="119">
        <f t="shared" si="2"/>
        <v>12.565875</v>
      </c>
      <c r="AK49" s="119">
        <f t="shared" si="4"/>
        <v>12.565875</v>
      </c>
      <c r="AL49" s="119">
        <f t="shared" si="5"/>
        <v>12.565875</v>
      </c>
      <c r="AM49" s="119">
        <f t="shared" si="6"/>
        <v>12.565875</v>
      </c>
      <c r="AN49" s="119">
        <f t="shared" si="7"/>
        <v>12.565875</v>
      </c>
      <c r="AO49" s="119">
        <f t="shared" si="8"/>
        <v>12.565875</v>
      </c>
      <c r="AP49" s="119">
        <f t="shared" si="9"/>
        <v>12.565875</v>
      </c>
      <c r="AQ49" s="119">
        <f t="shared" si="10"/>
        <v>12.565875</v>
      </c>
      <c r="AR49" s="119">
        <f t="shared" si="11"/>
        <v>12.565875</v>
      </c>
      <c r="AS49" s="119">
        <f t="shared" si="12"/>
        <v>12.565875</v>
      </c>
    </row>
    <row r="50" spans="1:45">
      <c r="A50" s="7" t="s">
        <v>540</v>
      </c>
      <c r="B50" s="119">
        <v>1.7052468047094611</v>
      </c>
      <c r="C50" s="119">
        <f t="shared" si="15"/>
        <v>1.7461727280224881</v>
      </c>
      <c r="D50" s="119">
        <f t="shared" si="15"/>
        <v>1.7828423553109605</v>
      </c>
      <c r="E50" s="119">
        <f t="shared" si="15"/>
        <v>1.8202820447724903</v>
      </c>
      <c r="F50" s="119">
        <f t="shared" si="15"/>
        <v>1.8585079677127123</v>
      </c>
      <c r="G50" s="119">
        <f t="shared" si="15"/>
        <v>1.8975366350346794</v>
      </c>
      <c r="H50" s="119">
        <f t="shared" si="15"/>
        <v>1.9373849043704072</v>
      </c>
      <c r="I50" s="119">
        <f t="shared" si="15"/>
        <v>1.9780699873621856</v>
      </c>
      <c r="J50" s="119">
        <f t="shared" si="15"/>
        <v>2.0196094570967915</v>
      </c>
      <c r="K50" s="119">
        <f t="shared" si="15"/>
        <v>2.0620212556958237</v>
      </c>
      <c r="T50" s="119"/>
      <c r="U50" s="119"/>
      <c r="V50" s="119"/>
      <c r="W50" s="7" t="s">
        <v>527</v>
      </c>
      <c r="X50" s="119">
        <v>12.565875</v>
      </c>
      <c r="Y50" s="119">
        <v>12.565875</v>
      </c>
      <c r="Z50" s="119">
        <v>12.565875</v>
      </c>
      <c r="AA50" s="119">
        <v>12.565875</v>
      </c>
      <c r="AB50" s="119">
        <v>12.565875</v>
      </c>
      <c r="AC50" s="119">
        <v>12.565875</v>
      </c>
      <c r="AD50" s="119">
        <v>12.565875</v>
      </c>
      <c r="AE50" s="119">
        <v>12.565875</v>
      </c>
      <c r="AF50" s="119">
        <v>12.565875</v>
      </c>
      <c r="AG50" s="119">
        <v>12.565875</v>
      </c>
      <c r="AH50" s="119"/>
      <c r="AI50" s="7" t="s">
        <v>539</v>
      </c>
      <c r="AJ50" s="119">
        <f t="shared" si="2"/>
        <v>12.565875</v>
      </c>
      <c r="AK50" s="119">
        <f t="shared" si="4"/>
        <v>12.565875</v>
      </c>
      <c r="AL50" s="119">
        <f t="shared" si="5"/>
        <v>12.565875</v>
      </c>
      <c r="AM50" s="119">
        <f t="shared" si="6"/>
        <v>12.565875</v>
      </c>
      <c r="AN50" s="119">
        <f t="shared" si="7"/>
        <v>12.565875</v>
      </c>
      <c r="AO50" s="119">
        <f t="shared" si="8"/>
        <v>12.565875</v>
      </c>
      <c r="AP50" s="119">
        <f t="shared" si="9"/>
        <v>12.565875</v>
      </c>
      <c r="AQ50" s="119">
        <f t="shared" si="10"/>
        <v>12.565875</v>
      </c>
      <c r="AR50" s="119">
        <f t="shared" si="11"/>
        <v>12.565875</v>
      </c>
      <c r="AS50" s="119">
        <f t="shared" si="12"/>
        <v>12.565875</v>
      </c>
    </row>
    <row r="51" spans="1:45">
      <c r="A51" s="7" t="s">
        <v>514</v>
      </c>
      <c r="B51" s="119">
        <v>1.7052468047094611</v>
      </c>
      <c r="C51" s="119">
        <f t="shared" si="15"/>
        <v>1.7461727280224881</v>
      </c>
      <c r="D51" s="119">
        <f t="shared" si="15"/>
        <v>1.7828423553109605</v>
      </c>
      <c r="E51" s="119">
        <f t="shared" si="15"/>
        <v>1.8202820447724903</v>
      </c>
      <c r="F51" s="119">
        <f t="shared" si="15"/>
        <v>1.8585079677127123</v>
      </c>
      <c r="G51" s="119">
        <f t="shared" si="15"/>
        <v>1.8975366350346794</v>
      </c>
      <c r="H51" s="119">
        <f t="shared" si="15"/>
        <v>1.9373849043704072</v>
      </c>
      <c r="I51" s="119">
        <f t="shared" si="15"/>
        <v>1.9780699873621856</v>
      </c>
      <c r="J51" s="119">
        <f t="shared" si="15"/>
        <v>2.0196094570967915</v>
      </c>
      <c r="K51" s="119">
        <f t="shared" si="15"/>
        <v>2.0620212556958237</v>
      </c>
      <c r="T51" s="119"/>
      <c r="U51" s="119"/>
      <c r="V51" s="119"/>
      <c r="W51" s="7" t="s">
        <v>495</v>
      </c>
      <c r="X51" s="119">
        <v>12.565875</v>
      </c>
      <c r="Y51" s="119">
        <v>12.565875</v>
      </c>
      <c r="Z51" s="119">
        <v>12.565875</v>
      </c>
      <c r="AA51" s="119">
        <v>12.565875</v>
      </c>
      <c r="AB51" s="119">
        <v>12.565875</v>
      </c>
      <c r="AC51" s="119">
        <v>12.565875</v>
      </c>
      <c r="AD51" s="119">
        <v>12.565875</v>
      </c>
      <c r="AE51" s="119">
        <v>12.565875</v>
      </c>
      <c r="AF51" s="119">
        <v>12.565875</v>
      </c>
      <c r="AG51" s="119">
        <v>12.565875</v>
      </c>
      <c r="AH51" s="119"/>
      <c r="AI51" s="7" t="s">
        <v>540</v>
      </c>
      <c r="AJ51" s="119">
        <f t="shared" si="2"/>
        <v>12.565875</v>
      </c>
      <c r="AK51" s="119">
        <f t="shared" si="4"/>
        <v>12.565875</v>
      </c>
      <c r="AL51" s="119">
        <f t="shared" si="5"/>
        <v>12.565875</v>
      </c>
      <c r="AM51" s="119">
        <f t="shared" si="6"/>
        <v>12.565875</v>
      </c>
      <c r="AN51" s="119">
        <f t="shared" si="7"/>
        <v>12.565875</v>
      </c>
      <c r="AO51" s="119">
        <f t="shared" si="8"/>
        <v>12.565875</v>
      </c>
      <c r="AP51" s="119">
        <f t="shared" si="9"/>
        <v>12.565875</v>
      </c>
      <c r="AQ51" s="119">
        <f t="shared" si="10"/>
        <v>12.565875</v>
      </c>
      <c r="AR51" s="119">
        <f t="shared" si="11"/>
        <v>12.565875</v>
      </c>
      <c r="AS51" s="119">
        <f t="shared" si="12"/>
        <v>12.565875</v>
      </c>
    </row>
    <row r="52" spans="1:45">
      <c r="A52" s="7" t="s">
        <v>516</v>
      </c>
      <c r="B52" s="119">
        <v>1.7052468047094611</v>
      </c>
      <c r="C52" s="119">
        <f t="shared" si="15"/>
        <v>1.7461727280224881</v>
      </c>
      <c r="D52" s="119">
        <f t="shared" si="15"/>
        <v>1.7828423553109605</v>
      </c>
      <c r="E52" s="119">
        <f t="shared" si="15"/>
        <v>1.8202820447724903</v>
      </c>
      <c r="F52" s="119">
        <f t="shared" si="15"/>
        <v>1.8585079677127123</v>
      </c>
      <c r="G52" s="119">
        <f t="shared" si="15"/>
        <v>1.8975366350346794</v>
      </c>
      <c r="H52" s="119">
        <f t="shared" si="15"/>
        <v>1.9373849043704072</v>
      </c>
      <c r="I52" s="119">
        <f t="shared" si="15"/>
        <v>1.9780699873621856</v>
      </c>
      <c r="J52" s="119">
        <f t="shared" si="15"/>
        <v>2.0196094570967915</v>
      </c>
      <c r="K52" s="119">
        <f t="shared" si="15"/>
        <v>2.0620212556958237</v>
      </c>
      <c r="T52" s="119"/>
      <c r="U52" s="119"/>
      <c r="V52" s="119"/>
      <c r="W52" s="7" t="s">
        <v>504</v>
      </c>
      <c r="X52" s="119">
        <v>12.565875</v>
      </c>
      <c r="Y52" s="119">
        <v>12.565875</v>
      </c>
      <c r="Z52" s="119">
        <v>12.565875</v>
      </c>
      <c r="AA52" s="119">
        <v>12.565875</v>
      </c>
      <c r="AB52" s="119">
        <v>12.565875</v>
      </c>
      <c r="AC52" s="119">
        <v>12.565875</v>
      </c>
      <c r="AD52" s="119">
        <v>12.565875</v>
      </c>
      <c r="AE52" s="119">
        <v>12.565875</v>
      </c>
      <c r="AF52" s="119">
        <v>12.565875</v>
      </c>
      <c r="AG52" s="119">
        <v>12.565875</v>
      </c>
      <c r="AH52" s="119"/>
      <c r="AI52" s="7" t="s">
        <v>514</v>
      </c>
      <c r="AJ52" s="119">
        <f t="shared" si="2"/>
        <v>12.565875</v>
      </c>
      <c r="AK52" s="119">
        <f t="shared" si="4"/>
        <v>12.565875</v>
      </c>
      <c r="AL52" s="119">
        <f t="shared" si="5"/>
        <v>134.89873417496443</v>
      </c>
      <c r="AM52" s="119">
        <f t="shared" si="6"/>
        <v>203.14035040419677</v>
      </c>
      <c r="AN52" s="119">
        <f t="shared" si="7"/>
        <v>202.50179263840741</v>
      </c>
      <c r="AO52" s="119">
        <f t="shared" si="8"/>
        <v>202.50179263840741</v>
      </c>
      <c r="AP52" s="119">
        <f t="shared" si="9"/>
        <v>202.50179263840741</v>
      </c>
      <c r="AQ52" s="119">
        <f t="shared" si="10"/>
        <v>202.50179263840741</v>
      </c>
      <c r="AR52" s="119">
        <f t="shared" si="11"/>
        <v>202.50179263840741</v>
      </c>
      <c r="AS52" s="119">
        <f t="shared" si="12"/>
        <v>202.50179263840741</v>
      </c>
    </row>
    <row r="53" spans="1:45">
      <c r="A53" s="7" t="s">
        <v>518</v>
      </c>
      <c r="B53" s="119">
        <v>1.7052468047094611</v>
      </c>
      <c r="C53" s="119">
        <f t="shared" si="15"/>
        <v>1.7461727280224881</v>
      </c>
      <c r="D53" s="119">
        <f t="shared" si="15"/>
        <v>1.7828423553109605</v>
      </c>
      <c r="E53" s="119">
        <f t="shared" si="15"/>
        <v>1.8202820447724903</v>
      </c>
      <c r="F53" s="119">
        <f t="shared" si="15"/>
        <v>1.8585079677127123</v>
      </c>
      <c r="G53" s="119">
        <f t="shared" si="15"/>
        <v>1.8975366350346794</v>
      </c>
      <c r="H53" s="119">
        <f t="shared" si="15"/>
        <v>1.9373849043704072</v>
      </c>
      <c r="I53" s="119">
        <f t="shared" si="15"/>
        <v>1.9780699873621856</v>
      </c>
      <c r="J53" s="119">
        <f t="shared" si="15"/>
        <v>2.0196094570967915</v>
      </c>
      <c r="K53" s="119">
        <f t="shared" si="15"/>
        <v>2.0620212556958237</v>
      </c>
      <c r="T53" s="119"/>
      <c r="U53" s="119"/>
      <c r="V53" s="119"/>
      <c r="W53" s="7" t="s">
        <v>528</v>
      </c>
      <c r="X53" s="119">
        <v>12.565875</v>
      </c>
      <c r="Y53" s="119">
        <v>12.565875</v>
      </c>
      <c r="Z53" s="119">
        <v>12.565875</v>
      </c>
      <c r="AA53" s="119">
        <v>12.565875</v>
      </c>
      <c r="AB53" s="119">
        <v>12.565875</v>
      </c>
      <c r="AC53" s="119">
        <v>12.565875</v>
      </c>
      <c r="AD53" s="119">
        <v>12.565875</v>
      </c>
      <c r="AE53" s="119">
        <v>12.565875</v>
      </c>
      <c r="AF53" s="119">
        <v>12.565875</v>
      </c>
      <c r="AG53" s="119">
        <v>12.565875</v>
      </c>
      <c r="AH53" s="119"/>
      <c r="AI53" s="7" t="s">
        <v>516</v>
      </c>
      <c r="AJ53" s="119">
        <f t="shared" si="2"/>
        <v>12.565875</v>
      </c>
      <c r="AK53" s="119">
        <f t="shared" si="4"/>
        <v>154.81338566856328</v>
      </c>
      <c r="AL53" s="119">
        <f t="shared" si="5"/>
        <v>154.81338566856328</v>
      </c>
      <c r="AM53" s="119">
        <f t="shared" si="6"/>
        <v>154.81338566856328</v>
      </c>
      <c r="AN53" s="119">
        <f t="shared" si="7"/>
        <v>154.81338566856328</v>
      </c>
      <c r="AO53" s="119">
        <f t="shared" si="8"/>
        <v>154.81338566856328</v>
      </c>
      <c r="AP53" s="119">
        <f t="shared" si="9"/>
        <v>154.81338566856328</v>
      </c>
      <c r="AQ53" s="119">
        <f t="shared" si="10"/>
        <v>154.81338566856328</v>
      </c>
      <c r="AR53" s="119">
        <f t="shared" si="11"/>
        <v>154.81338566856328</v>
      </c>
      <c r="AS53" s="119">
        <f t="shared" si="12"/>
        <v>154.81338566856328</v>
      </c>
    </row>
    <row r="54" spans="1:45">
      <c r="A54" s="7" t="s">
        <v>541</v>
      </c>
      <c r="B54" s="119">
        <v>1.7052468047094611</v>
      </c>
      <c r="C54" s="119">
        <f t="shared" si="15"/>
        <v>1.7461727280224881</v>
      </c>
      <c r="D54" s="119">
        <f t="shared" si="15"/>
        <v>1.7828423553109605</v>
      </c>
      <c r="E54" s="119">
        <f t="shared" si="15"/>
        <v>1.8202820447724903</v>
      </c>
      <c r="F54" s="119">
        <f t="shared" si="15"/>
        <v>1.8585079677127123</v>
      </c>
      <c r="G54" s="119">
        <f t="shared" si="15"/>
        <v>1.8975366350346794</v>
      </c>
      <c r="H54" s="119">
        <f t="shared" si="15"/>
        <v>1.9373849043704072</v>
      </c>
      <c r="I54" s="119">
        <f t="shared" si="15"/>
        <v>1.9780699873621856</v>
      </c>
      <c r="J54" s="119">
        <f t="shared" si="15"/>
        <v>2.0196094570967915</v>
      </c>
      <c r="K54" s="119">
        <f t="shared" si="15"/>
        <v>2.0620212556958237</v>
      </c>
      <c r="T54" s="119"/>
      <c r="U54" s="119"/>
      <c r="V54" s="119"/>
      <c r="W54" s="7" t="s">
        <v>529</v>
      </c>
      <c r="X54" s="119">
        <v>12.565875</v>
      </c>
      <c r="Y54" s="119">
        <v>12.565875</v>
      </c>
      <c r="Z54" s="119">
        <v>12.565875</v>
      </c>
      <c r="AA54" s="119">
        <v>12.565875</v>
      </c>
      <c r="AB54" s="119">
        <v>12.565875</v>
      </c>
      <c r="AC54" s="119">
        <v>12.565875</v>
      </c>
      <c r="AD54" s="119">
        <v>12.565875</v>
      </c>
      <c r="AE54" s="119">
        <v>12.565875</v>
      </c>
      <c r="AF54" s="119">
        <v>12.565875</v>
      </c>
      <c r="AG54" s="119">
        <v>12.565875</v>
      </c>
      <c r="AH54" s="119"/>
      <c r="AI54" s="7" t="s">
        <v>518</v>
      </c>
      <c r="AJ54" s="119">
        <f t="shared" si="2"/>
        <v>12.565875</v>
      </c>
      <c r="AK54" s="119">
        <f t="shared" si="4"/>
        <v>12.565875</v>
      </c>
      <c r="AL54" s="119">
        <f t="shared" si="5"/>
        <v>12.565875</v>
      </c>
      <c r="AM54" s="119">
        <f t="shared" si="6"/>
        <v>273.35297789236608</v>
      </c>
      <c r="AN54" s="119">
        <f t="shared" si="7"/>
        <v>273.35297789236608</v>
      </c>
      <c r="AO54" s="119">
        <f t="shared" si="8"/>
        <v>273.35297789236608</v>
      </c>
      <c r="AP54" s="119">
        <f t="shared" si="9"/>
        <v>273.35297789236608</v>
      </c>
      <c r="AQ54" s="119">
        <f t="shared" si="10"/>
        <v>273.35297789236608</v>
      </c>
      <c r="AR54" s="119">
        <f t="shared" si="11"/>
        <v>273.35297789236608</v>
      </c>
      <c r="AS54" s="119">
        <f t="shared" si="12"/>
        <v>273.35297789236608</v>
      </c>
    </row>
    <row r="55" spans="1:45">
      <c r="A55" s="7" t="s">
        <v>520</v>
      </c>
      <c r="B55" s="119">
        <v>1.7052468047094611</v>
      </c>
      <c r="C55" s="119">
        <f t="shared" ref="C55:K63" si="16">$B55*C$3</f>
        <v>1.7461727280224881</v>
      </c>
      <c r="D55" s="119">
        <f t="shared" si="16"/>
        <v>1.7828423553109605</v>
      </c>
      <c r="E55" s="119">
        <f t="shared" si="16"/>
        <v>1.8202820447724903</v>
      </c>
      <c r="F55" s="119">
        <f t="shared" si="16"/>
        <v>1.8585079677127123</v>
      </c>
      <c r="G55" s="119">
        <f t="shared" si="16"/>
        <v>1.8975366350346794</v>
      </c>
      <c r="H55" s="119">
        <f t="shared" si="16"/>
        <v>1.9373849043704072</v>
      </c>
      <c r="I55" s="119">
        <f t="shared" si="16"/>
        <v>1.9780699873621856</v>
      </c>
      <c r="J55" s="119">
        <f t="shared" si="16"/>
        <v>2.0196094570967915</v>
      </c>
      <c r="K55" s="119">
        <f t="shared" si="16"/>
        <v>2.0620212556958237</v>
      </c>
      <c r="T55" s="119"/>
      <c r="U55" s="119"/>
      <c r="V55" s="119"/>
      <c r="W55" s="7" t="s">
        <v>530</v>
      </c>
      <c r="X55" s="119">
        <v>12.565875</v>
      </c>
      <c r="Y55" s="119">
        <v>12.565875</v>
      </c>
      <c r="Z55" s="119">
        <v>12.565875</v>
      </c>
      <c r="AA55" s="119">
        <v>12.565875</v>
      </c>
      <c r="AB55" s="119">
        <v>12.565875</v>
      </c>
      <c r="AC55" s="119">
        <v>12.565875</v>
      </c>
      <c r="AD55" s="119">
        <v>12.565875</v>
      </c>
      <c r="AE55" s="119">
        <v>12.565875</v>
      </c>
      <c r="AF55" s="119">
        <v>12.565875</v>
      </c>
      <c r="AG55" s="119">
        <v>12.565875</v>
      </c>
      <c r="AH55" s="119"/>
      <c r="AI55" s="7" t="s">
        <v>541</v>
      </c>
      <c r="AJ55" s="119">
        <f t="shared" si="2"/>
        <v>12.565875</v>
      </c>
      <c r="AK55" s="119">
        <f t="shared" si="4"/>
        <v>12.565875</v>
      </c>
      <c r="AL55" s="119">
        <f t="shared" si="5"/>
        <v>12.565875</v>
      </c>
      <c r="AM55" s="119">
        <f t="shared" si="6"/>
        <v>12.565875</v>
      </c>
      <c r="AN55" s="119">
        <f t="shared" si="7"/>
        <v>12.565875</v>
      </c>
      <c r="AO55" s="119">
        <f t="shared" si="8"/>
        <v>12.565875</v>
      </c>
      <c r="AP55" s="119">
        <f t="shared" si="9"/>
        <v>12.565875</v>
      </c>
      <c r="AQ55" s="119">
        <f t="shared" si="10"/>
        <v>12.565875</v>
      </c>
      <c r="AR55" s="119">
        <f t="shared" si="11"/>
        <v>12.565875</v>
      </c>
      <c r="AS55" s="119">
        <f t="shared" si="12"/>
        <v>12.565875</v>
      </c>
    </row>
    <row r="56" spans="1:45">
      <c r="A56" s="7" t="s">
        <v>542</v>
      </c>
      <c r="B56" s="119">
        <v>1.7052468047094611</v>
      </c>
      <c r="C56" s="119">
        <f t="shared" si="16"/>
        <v>1.7461727280224881</v>
      </c>
      <c r="D56" s="119">
        <f t="shared" si="16"/>
        <v>1.7828423553109605</v>
      </c>
      <c r="E56" s="119">
        <f t="shared" si="16"/>
        <v>1.8202820447724903</v>
      </c>
      <c r="F56" s="119">
        <f t="shared" si="16"/>
        <v>1.8585079677127123</v>
      </c>
      <c r="G56" s="119">
        <f t="shared" si="16"/>
        <v>1.8975366350346794</v>
      </c>
      <c r="H56" s="119">
        <f t="shared" si="16"/>
        <v>1.9373849043704072</v>
      </c>
      <c r="I56" s="119">
        <f t="shared" si="16"/>
        <v>1.9780699873621856</v>
      </c>
      <c r="J56" s="119">
        <f t="shared" si="16"/>
        <v>2.0196094570967915</v>
      </c>
      <c r="K56" s="119">
        <f t="shared" si="16"/>
        <v>2.0620212556958237</v>
      </c>
      <c r="T56" s="119"/>
      <c r="U56" s="119"/>
      <c r="V56" s="119"/>
      <c r="W56" s="7" t="s">
        <v>493</v>
      </c>
      <c r="X56" s="119">
        <v>12.565875</v>
      </c>
      <c r="Y56" s="119">
        <v>12.565875</v>
      </c>
      <c r="Z56" s="119">
        <v>12.565875</v>
      </c>
      <c r="AA56" s="119">
        <v>12.565875</v>
      </c>
      <c r="AB56" s="119">
        <v>12.565875</v>
      </c>
      <c r="AC56" s="119">
        <v>12.565875</v>
      </c>
      <c r="AD56" s="119">
        <v>12.565875</v>
      </c>
      <c r="AE56" s="119">
        <v>12.565875</v>
      </c>
      <c r="AF56" s="119">
        <v>12.565875</v>
      </c>
      <c r="AG56" s="119">
        <v>12.565875</v>
      </c>
      <c r="AH56" s="119"/>
      <c r="AI56" s="7" t="s">
        <v>520</v>
      </c>
      <c r="AJ56" s="119">
        <f t="shared" si="2"/>
        <v>12.565875</v>
      </c>
      <c r="AK56" s="119">
        <f t="shared" si="4"/>
        <v>12.565875</v>
      </c>
      <c r="AL56" s="119">
        <f t="shared" si="5"/>
        <v>197.4876388691323</v>
      </c>
      <c r="AM56" s="119">
        <f t="shared" si="6"/>
        <v>197.4876388691323</v>
      </c>
      <c r="AN56" s="119">
        <f t="shared" si="7"/>
        <v>197.4876388691323</v>
      </c>
      <c r="AO56" s="119">
        <f t="shared" si="8"/>
        <v>197.4876388691323</v>
      </c>
      <c r="AP56" s="119">
        <f t="shared" si="9"/>
        <v>197.4876388691323</v>
      </c>
      <c r="AQ56" s="119">
        <f t="shared" si="10"/>
        <v>197.4876388691323</v>
      </c>
      <c r="AR56" s="119">
        <f t="shared" si="11"/>
        <v>197.4876388691323</v>
      </c>
      <c r="AS56" s="119">
        <f t="shared" si="12"/>
        <v>197.4876388691323</v>
      </c>
    </row>
    <row r="57" spans="1:45">
      <c r="A57" s="7" t="s">
        <v>543</v>
      </c>
      <c r="B57" s="119">
        <v>1.7052468047094611</v>
      </c>
      <c r="C57" s="119">
        <f t="shared" si="16"/>
        <v>1.7461727280224881</v>
      </c>
      <c r="D57" s="119">
        <f t="shared" si="16"/>
        <v>1.7828423553109605</v>
      </c>
      <c r="E57" s="119">
        <f t="shared" si="16"/>
        <v>1.8202820447724903</v>
      </c>
      <c r="F57" s="119">
        <f t="shared" si="16"/>
        <v>1.8585079677127123</v>
      </c>
      <c r="G57" s="119">
        <f t="shared" si="16"/>
        <v>1.8975366350346794</v>
      </c>
      <c r="H57" s="119">
        <f t="shared" si="16"/>
        <v>1.9373849043704072</v>
      </c>
      <c r="I57" s="119">
        <f t="shared" si="16"/>
        <v>1.9780699873621856</v>
      </c>
      <c r="J57" s="119">
        <f t="shared" si="16"/>
        <v>2.0196094570967915</v>
      </c>
      <c r="K57" s="119">
        <f t="shared" si="16"/>
        <v>2.0620212556958237</v>
      </c>
      <c r="T57" s="119"/>
      <c r="U57" s="119"/>
      <c r="V57" s="119"/>
      <c r="W57" s="7" t="s">
        <v>491</v>
      </c>
      <c r="X57" s="119">
        <v>12.565875</v>
      </c>
      <c r="Y57" s="119">
        <v>12.565875</v>
      </c>
      <c r="Z57" s="119">
        <v>12.565875</v>
      </c>
      <c r="AA57" s="119">
        <v>12.565875</v>
      </c>
      <c r="AB57" s="119">
        <v>12.565875</v>
      </c>
      <c r="AC57" s="119">
        <v>12.565875</v>
      </c>
      <c r="AD57" s="119">
        <v>12.565875</v>
      </c>
      <c r="AE57" s="119">
        <v>12.565875</v>
      </c>
      <c r="AF57" s="119">
        <v>12.565875</v>
      </c>
      <c r="AG57" s="119">
        <v>12.565875</v>
      </c>
      <c r="AH57" s="119"/>
      <c r="AI57" s="7" t="s">
        <v>542</v>
      </c>
      <c r="AJ57" s="119">
        <f t="shared" si="2"/>
        <v>12.565875</v>
      </c>
      <c r="AK57" s="119">
        <f t="shared" si="4"/>
        <v>12.565875</v>
      </c>
      <c r="AL57" s="119">
        <f t="shared" si="5"/>
        <v>12.565875</v>
      </c>
      <c r="AM57" s="119">
        <f t="shared" si="6"/>
        <v>12.565875</v>
      </c>
      <c r="AN57" s="119">
        <f t="shared" si="7"/>
        <v>12.565875</v>
      </c>
      <c r="AO57" s="119">
        <f t="shared" si="8"/>
        <v>12.565875</v>
      </c>
      <c r="AP57" s="119">
        <f t="shared" si="9"/>
        <v>12.565875</v>
      </c>
      <c r="AQ57" s="119">
        <f t="shared" si="10"/>
        <v>12.565875</v>
      </c>
      <c r="AR57" s="119">
        <f t="shared" si="11"/>
        <v>12.565875</v>
      </c>
      <c r="AS57" s="119">
        <f t="shared" si="12"/>
        <v>12.565875</v>
      </c>
    </row>
    <row r="58" spans="1:45">
      <c r="A58" s="7" t="s">
        <v>544</v>
      </c>
      <c r="B58" s="119">
        <v>1.7052468047094611</v>
      </c>
      <c r="C58" s="119">
        <f t="shared" si="16"/>
        <v>1.7461727280224881</v>
      </c>
      <c r="D58" s="119">
        <f t="shared" si="16"/>
        <v>1.7828423553109605</v>
      </c>
      <c r="E58" s="119">
        <f t="shared" si="16"/>
        <v>1.8202820447724903</v>
      </c>
      <c r="F58" s="119">
        <f t="shared" si="16"/>
        <v>1.8585079677127123</v>
      </c>
      <c r="G58" s="119">
        <f t="shared" si="16"/>
        <v>1.8975366350346794</v>
      </c>
      <c r="H58" s="119">
        <f t="shared" si="16"/>
        <v>1.9373849043704072</v>
      </c>
      <c r="I58" s="119">
        <f t="shared" si="16"/>
        <v>1.9780699873621856</v>
      </c>
      <c r="J58" s="119">
        <f t="shared" si="16"/>
        <v>2.0196094570967915</v>
      </c>
      <c r="K58" s="119">
        <f t="shared" si="16"/>
        <v>2.0620212556958237</v>
      </c>
      <c r="T58" s="119"/>
      <c r="U58" s="119"/>
      <c r="V58" s="119"/>
      <c r="W58" s="7" t="s">
        <v>531</v>
      </c>
      <c r="X58" s="119">
        <v>12.565875</v>
      </c>
      <c r="Y58" s="119">
        <v>12.565875</v>
      </c>
      <c r="Z58" s="119">
        <v>12.565875</v>
      </c>
      <c r="AA58" s="119">
        <v>12.565875</v>
      </c>
      <c r="AB58" s="119">
        <v>12.565875</v>
      </c>
      <c r="AC58" s="119">
        <v>12.565875</v>
      </c>
      <c r="AD58" s="119">
        <v>12.565875</v>
      </c>
      <c r="AE58" s="119">
        <v>12.565875</v>
      </c>
      <c r="AF58" s="119">
        <v>12.565875</v>
      </c>
      <c r="AG58" s="119">
        <v>12.565875</v>
      </c>
      <c r="AH58" s="119"/>
      <c r="AI58" s="7" t="s">
        <v>543</v>
      </c>
      <c r="AJ58" s="119">
        <f t="shared" si="2"/>
        <v>12.565875</v>
      </c>
      <c r="AK58" s="119">
        <f t="shared" si="4"/>
        <v>12.565875</v>
      </c>
      <c r="AL58" s="119">
        <f t="shared" si="5"/>
        <v>12.565875</v>
      </c>
      <c r="AM58" s="119">
        <f t="shared" si="6"/>
        <v>12.565875</v>
      </c>
      <c r="AN58" s="119">
        <f t="shared" si="7"/>
        <v>12.565875</v>
      </c>
      <c r="AO58" s="119">
        <f t="shared" si="8"/>
        <v>12.565875</v>
      </c>
      <c r="AP58" s="119">
        <f t="shared" si="9"/>
        <v>12.565875</v>
      </c>
      <c r="AQ58" s="119">
        <f t="shared" si="10"/>
        <v>12.565875</v>
      </c>
      <c r="AR58" s="119">
        <f t="shared" si="11"/>
        <v>12.565875</v>
      </c>
      <c r="AS58" s="119">
        <f t="shared" si="12"/>
        <v>12.565875</v>
      </c>
    </row>
    <row r="59" spans="1:45">
      <c r="A59" s="7" t="s">
        <v>489</v>
      </c>
      <c r="B59" s="119">
        <v>1.7052468047094611</v>
      </c>
      <c r="C59" s="119">
        <f t="shared" si="16"/>
        <v>1.7461727280224881</v>
      </c>
      <c r="D59" s="119">
        <f t="shared" si="16"/>
        <v>1.7828423553109605</v>
      </c>
      <c r="E59" s="119">
        <f t="shared" si="16"/>
        <v>1.8202820447724903</v>
      </c>
      <c r="F59" s="119">
        <f t="shared" si="16"/>
        <v>1.8585079677127123</v>
      </c>
      <c r="G59" s="119">
        <f t="shared" si="16"/>
        <v>1.8975366350346794</v>
      </c>
      <c r="H59" s="119">
        <f t="shared" si="16"/>
        <v>1.9373849043704072</v>
      </c>
      <c r="I59" s="119">
        <f t="shared" si="16"/>
        <v>1.9780699873621856</v>
      </c>
      <c r="J59" s="119">
        <f t="shared" si="16"/>
        <v>2.0196094570967915</v>
      </c>
      <c r="K59" s="119">
        <f t="shared" si="16"/>
        <v>2.0620212556958237</v>
      </c>
      <c r="T59" s="119"/>
      <c r="U59" s="119"/>
      <c r="V59" s="119"/>
      <c r="W59" s="7" t="s">
        <v>506</v>
      </c>
      <c r="X59" s="119">
        <v>12.565875</v>
      </c>
      <c r="Y59" s="119">
        <v>12.565875</v>
      </c>
      <c r="Z59" s="119">
        <v>12.565875</v>
      </c>
      <c r="AA59" s="119">
        <v>12.565875</v>
      </c>
      <c r="AB59" s="119">
        <v>12.565875</v>
      </c>
      <c r="AC59" s="119">
        <v>12.565875</v>
      </c>
      <c r="AD59" s="119">
        <v>12.565875</v>
      </c>
      <c r="AE59" s="119">
        <v>12.565875</v>
      </c>
      <c r="AF59" s="119">
        <v>12.565875</v>
      </c>
      <c r="AG59" s="119">
        <v>12.565875</v>
      </c>
      <c r="AH59" s="119"/>
      <c r="AI59" s="7" t="s">
        <v>544</v>
      </c>
      <c r="AJ59" s="119">
        <f t="shared" si="2"/>
        <v>12.565875</v>
      </c>
      <c r="AK59" s="119">
        <f t="shared" si="4"/>
        <v>12.565875</v>
      </c>
      <c r="AL59" s="119">
        <f t="shared" si="5"/>
        <v>12.565875</v>
      </c>
      <c r="AM59" s="119">
        <f t="shared" si="6"/>
        <v>12.565875</v>
      </c>
      <c r="AN59" s="119">
        <f t="shared" si="7"/>
        <v>12.565875</v>
      </c>
      <c r="AO59" s="119">
        <f t="shared" si="8"/>
        <v>12.565875</v>
      </c>
      <c r="AP59" s="119">
        <f t="shared" si="9"/>
        <v>12.565875</v>
      </c>
      <c r="AQ59" s="119">
        <f t="shared" si="10"/>
        <v>12.565875</v>
      </c>
      <c r="AR59" s="119">
        <f t="shared" si="11"/>
        <v>12.565875</v>
      </c>
      <c r="AS59" s="119">
        <f t="shared" si="12"/>
        <v>12.565875</v>
      </c>
    </row>
    <row r="60" spans="1:45">
      <c r="A60" s="7" t="s">
        <v>545</v>
      </c>
      <c r="B60" s="119">
        <v>1.7052468047094611</v>
      </c>
      <c r="C60" s="119">
        <f t="shared" si="16"/>
        <v>1.7461727280224881</v>
      </c>
      <c r="D60" s="119">
        <f t="shared" si="16"/>
        <v>1.7828423553109605</v>
      </c>
      <c r="E60" s="119">
        <f t="shared" si="16"/>
        <v>1.8202820447724903</v>
      </c>
      <c r="F60" s="119">
        <f t="shared" si="16"/>
        <v>1.8585079677127123</v>
      </c>
      <c r="G60" s="119">
        <f t="shared" si="16"/>
        <v>1.8975366350346794</v>
      </c>
      <c r="H60" s="119">
        <f t="shared" si="16"/>
        <v>1.9373849043704072</v>
      </c>
      <c r="I60" s="119">
        <f t="shared" si="16"/>
        <v>1.9780699873621856</v>
      </c>
      <c r="J60" s="119">
        <f t="shared" si="16"/>
        <v>2.0196094570967915</v>
      </c>
      <c r="K60" s="119">
        <f t="shared" si="16"/>
        <v>2.0620212556958237</v>
      </c>
      <c r="T60" s="119"/>
      <c r="U60" s="119"/>
      <c r="V60" s="119"/>
      <c r="W60" s="7" t="s">
        <v>513</v>
      </c>
      <c r="X60" s="119">
        <v>12.565875</v>
      </c>
      <c r="Y60" s="119">
        <v>12.565875</v>
      </c>
      <c r="Z60" s="119">
        <v>12.565875</v>
      </c>
      <c r="AA60" s="119">
        <v>12.565875</v>
      </c>
      <c r="AB60" s="119">
        <v>12.565875</v>
      </c>
      <c r="AC60" s="119">
        <v>12.565875</v>
      </c>
      <c r="AD60" s="119">
        <v>12.565875</v>
      </c>
      <c r="AE60" s="119">
        <v>12.565875</v>
      </c>
      <c r="AF60" s="119">
        <v>12.565875</v>
      </c>
      <c r="AG60" s="119">
        <v>12.565875</v>
      </c>
      <c r="AH60" s="119"/>
      <c r="AI60" s="7" t="s">
        <v>489</v>
      </c>
      <c r="AJ60" s="119">
        <f t="shared" si="2"/>
        <v>142.70286130136989</v>
      </c>
      <c r="AK60" s="119">
        <f t="shared" si="4"/>
        <v>178.75188797764963</v>
      </c>
      <c r="AL60" s="119">
        <f t="shared" si="5"/>
        <v>178.75188797764963</v>
      </c>
      <c r="AM60" s="119">
        <f t="shared" si="6"/>
        <v>178.75188797764963</v>
      </c>
      <c r="AN60" s="119">
        <f t="shared" si="7"/>
        <v>178.75188797764963</v>
      </c>
      <c r="AO60" s="119">
        <f t="shared" si="8"/>
        <v>178.75188797764963</v>
      </c>
      <c r="AP60" s="119">
        <f t="shared" si="9"/>
        <v>178.75188797764963</v>
      </c>
      <c r="AQ60" s="119">
        <f t="shared" si="10"/>
        <v>178.75188797764963</v>
      </c>
      <c r="AR60" s="119">
        <f t="shared" si="11"/>
        <v>178.75188797764963</v>
      </c>
      <c r="AS60" s="119">
        <f t="shared" si="12"/>
        <v>178.75188797764963</v>
      </c>
    </row>
    <row r="61" spans="1:45">
      <c r="A61" s="7" t="s">
        <v>546</v>
      </c>
      <c r="B61" s="119">
        <v>1.7052468047094611</v>
      </c>
      <c r="C61" s="119">
        <f t="shared" si="16"/>
        <v>1.7461727280224881</v>
      </c>
      <c r="D61" s="119">
        <f t="shared" si="16"/>
        <v>1.7828423553109605</v>
      </c>
      <c r="E61" s="119">
        <f t="shared" si="16"/>
        <v>1.8202820447724903</v>
      </c>
      <c r="F61" s="119">
        <f t="shared" si="16"/>
        <v>1.8585079677127123</v>
      </c>
      <c r="G61" s="119">
        <f t="shared" si="16"/>
        <v>1.8975366350346794</v>
      </c>
      <c r="H61" s="119">
        <f t="shared" si="16"/>
        <v>1.9373849043704072</v>
      </c>
      <c r="I61" s="119">
        <f t="shared" si="16"/>
        <v>1.9780699873621856</v>
      </c>
      <c r="J61" s="119">
        <f t="shared" si="16"/>
        <v>2.0196094570967915</v>
      </c>
      <c r="K61" s="119">
        <f t="shared" si="16"/>
        <v>2.0620212556958237</v>
      </c>
      <c r="T61" s="119"/>
      <c r="U61" s="119"/>
      <c r="V61" s="119"/>
      <c r="W61" s="7" t="s">
        <v>532</v>
      </c>
      <c r="X61" s="119">
        <v>12.565875</v>
      </c>
      <c r="Y61" s="119">
        <v>12.565875</v>
      </c>
      <c r="Z61" s="119">
        <v>12.565875</v>
      </c>
      <c r="AA61" s="119">
        <v>12.565875</v>
      </c>
      <c r="AB61" s="119">
        <v>12.565875</v>
      </c>
      <c r="AC61" s="119">
        <v>12.565875</v>
      </c>
      <c r="AD61" s="119">
        <v>12.565875</v>
      </c>
      <c r="AE61" s="119">
        <v>12.565875</v>
      </c>
      <c r="AF61" s="119">
        <v>12.565875</v>
      </c>
      <c r="AG61" s="119">
        <v>12.565875</v>
      </c>
      <c r="AH61" s="119"/>
      <c r="AI61" s="7" t="s">
        <v>545</v>
      </c>
      <c r="AJ61" s="119">
        <f t="shared" si="2"/>
        <v>12.565875</v>
      </c>
      <c r="AK61" s="119">
        <f t="shared" si="4"/>
        <v>12.565875</v>
      </c>
      <c r="AL61" s="119">
        <f t="shared" si="5"/>
        <v>12.565875</v>
      </c>
      <c r="AM61" s="119">
        <f t="shared" si="6"/>
        <v>12.565875</v>
      </c>
      <c r="AN61" s="119">
        <f t="shared" si="7"/>
        <v>12.565875</v>
      </c>
      <c r="AO61" s="119">
        <f t="shared" si="8"/>
        <v>12.565875</v>
      </c>
      <c r="AP61" s="119">
        <f t="shared" si="9"/>
        <v>12.565875</v>
      </c>
      <c r="AQ61" s="119">
        <f t="shared" si="10"/>
        <v>12.565875</v>
      </c>
      <c r="AR61" s="119">
        <f t="shared" si="11"/>
        <v>12.565875</v>
      </c>
      <c r="AS61" s="119">
        <f t="shared" si="12"/>
        <v>12.565875</v>
      </c>
    </row>
    <row r="62" spans="1:45">
      <c r="A62" s="7" t="s">
        <v>522</v>
      </c>
      <c r="B62" s="119">
        <v>1.7052468047094611</v>
      </c>
      <c r="C62" s="119">
        <f t="shared" si="16"/>
        <v>1.7461727280224881</v>
      </c>
      <c r="D62" s="119">
        <f t="shared" si="16"/>
        <v>1.7828423553109605</v>
      </c>
      <c r="E62" s="119">
        <f t="shared" si="16"/>
        <v>1.8202820447724903</v>
      </c>
      <c r="F62" s="119">
        <f t="shared" si="16"/>
        <v>1.8585079677127123</v>
      </c>
      <c r="G62" s="119">
        <f t="shared" si="16"/>
        <v>1.8975366350346794</v>
      </c>
      <c r="H62" s="119">
        <f t="shared" si="16"/>
        <v>1.9373849043704072</v>
      </c>
      <c r="I62" s="119">
        <f t="shared" si="16"/>
        <v>1.9780699873621856</v>
      </c>
      <c r="J62" s="119">
        <f t="shared" si="16"/>
        <v>2.0196094570967915</v>
      </c>
      <c r="K62" s="119">
        <f t="shared" si="16"/>
        <v>2.0620212556958237</v>
      </c>
      <c r="T62" s="119"/>
      <c r="U62" s="119"/>
      <c r="V62" s="119"/>
      <c r="W62" s="7" t="s">
        <v>533</v>
      </c>
      <c r="X62" s="119">
        <v>12.565875</v>
      </c>
      <c r="Y62" s="119">
        <v>12.565875</v>
      </c>
      <c r="Z62" s="119">
        <v>12.565875</v>
      </c>
      <c r="AA62" s="119">
        <v>12.565875</v>
      </c>
      <c r="AB62" s="119">
        <v>12.565875</v>
      </c>
      <c r="AC62" s="119">
        <v>12.565875</v>
      </c>
      <c r="AD62" s="119">
        <v>12.565875</v>
      </c>
      <c r="AE62" s="119">
        <v>12.565875</v>
      </c>
      <c r="AF62" s="119">
        <v>12.565875</v>
      </c>
      <c r="AG62" s="119">
        <v>12.565875</v>
      </c>
      <c r="AH62" s="119"/>
      <c r="AI62" s="7" t="s">
        <v>546</v>
      </c>
      <c r="AJ62" s="119">
        <f t="shared" si="2"/>
        <v>12.565875</v>
      </c>
      <c r="AK62" s="119">
        <f t="shared" si="4"/>
        <v>12.565875</v>
      </c>
      <c r="AL62" s="119">
        <f t="shared" si="5"/>
        <v>12.565875</v>
      </c>
      <c r="AM62" s="119">
        <f t="shared" si="6"/>
        <v>12.565875</v>
      </c>
      <c r="AN62" s="119">
        <f t="shared" si="7"/>
        <v>12.565875</v>
      </c>
      <c r="AO62" s="119">
        <f t="shared" si="8"/>
        <v>12.565875</v>
      </c>
      <c r="AP62" s="119">
        <f t="shared" si="9"/>
        <v>12.565875</v>
      </c>
      <c r="AQ62" s="119">
        <f t="shared" si="10"/>
        <v>12.565875</v>
      </c>
      <c r="AR62" s="119">
        <f t="shared" si="11"/>
        <v>12.565875</v>
      </c>
      <c r="AS62" s="119">
        <f t="shared" si="12"/>
        <v>12.565875</v>
      </c>
    </row>
    <row r="63" spans="1:45">
      <c r="A63" s="7" t="s">
        <v>497</v>
      </c>
      <c r="B63" s="119">
        <v>1.7052468047094611</v>
      </c>
      <c r="C63" s="119">
        <f t="shared" si="16"/>
        <v>1.7461727280224881</v>
      </c>
      <c r="D63" s="119">
        <f t="shared" si="16"/>
        <v>1.7828423553109605</v>
      </c>
      <c r="E63" s="119">
        <f t="shared" si="16"/>
        <v>1.8202820447724903</v>
      </c>
      <c r="F63" s="119">
        <f t="shared" si="16"/>
        <v>1.8585079677127123</v>
      </c>
      <c r="G63" s="119">
        <f t="shared" si="16"/>
        <v>1.8975366350346794</v>
      </c>
      <c r="H63" s="119">
        <f t="shared" si="16"/>
        <v>1.9373849043704072</v>
      </c>
      <c r="I63" s="119">
        <f t="shared" si="16"/>
        <v>1.9780699873621856</v>
      </c>
      <c r="J63" s="119">
        <f t="shared" si="16"/>
        <v>2.0196094570967915</v>
      </c>
      <c r="K63" s="119">
        <f t="shared" si="16"/>
        <v>2.0620212556958237</v>
      </c>
      <c r="T63" s="119"/>
      <c r="U63" s="119"/>
      <c r="V63" s="119"/>
      <c r="W63" s="7" t="s">
        <v>534</v>
      </c>
      <c r="X63" s="119">
        <v>12.565875</v>
      </c>
      <c r="Y63" s="119">
        <v>12.565875</v>
      </c>
      <c r="Z63" s="119">
        <v>12.565875</v>
      </c>
      <c r="AA63" s="119">
        <v>12.565875</v>
      </c>
      <c r="AB63" s="119">
        <v>12.565875</v>
      </c>
      <c r="AC63" s="119">
        <v>12.565875</v>
      </c>
      <c r="AD63" s="119">
        <v>12.565875</v>
      </c>
      <c r="AE63" s="119">
        <v>12.565875</v>
      </c>
      <c r="AF63" s="119">
        <v>12.565875</v>
      </c>
      <c r="AG63" s="119">
        <v>12.565875</v>
      </c>
      <c r="AH63" s="119"/>
      <c r="AI63" s="7" t="s">
        <v>522</v>
      </c>
      <c r="AJ63" s="119">
        <f t="shared" si="2"/>
        <v>825.00237164702287</v>
      </c>
      <c r="AK63" s="119">
        <f t="shared" si="4"/>
        <v>825.00237164702287</v>
      </c>
      <c r="AL63" s="119">
        <f t="shared" si="5"/>
        <v>825.00237164702287</v>
      </c>
      <c r="AM63" s="119">
        <f t="shared" si="6"/>
        <v>825.00237164702287</v>
      </c>
      <c r="AN63" s="119">
        <f t="shared" si="7"/>
        <v>825.00237164702287</v>
      </c>
      <c r="AO63" s="119">
        <f t="shared" si="8"/>
        <v>825.00237164702287</v>
      </c>
      <c r="AP63" s="119">
        <f t="shared" si="9"/>
        <v>825.00237164702287</v>
      </c>
      <c r="AQ63" s="119">
        <f t="shared" si="10"/>
        <v>825.00237164702287</v>
      </c>
      <c r="AR63" s="119">
        <f t="shared" si="11"/>
        <v>825.00237164702287</v>
      </c>
      <c r="AS63" s="119">
        <f t="shared" si="12"/>
        <v>825.00237164702287</v>
      </c>
    </row>
    <row r="64" spans="1:45">
      <c r="T64" s="119"/>
      <c r="U64" s="119"/>
      <c r="V64" s="119"/>
      <c r="W64" s="7" t="s">
        <v>535</v>
      </c>
      <c r="X64" s="119">
        <v>12.565875</v>
      </c>
      <c r="Y64" s="119">
        <v>12.565875</v>
      </c>
      <c r="Z64" s="119">
        <v>12.565875</v>
      </c>
      <c r="AA64" s="119">
        <v>12.565875</v>
      </c>
      <c r="AB64" s="119">
        <v>12.565875</v>
      </c>
      <c r="AC64" s="119">
        <v>12.565875</v>
      </c>
      <c r="AD64" s="119">
        <v>12.565875</v>
      </c>
      <c r="AE64" s="119">
        <v>12.565875</v>
      </c>
      <c r="AF64" s="119">
        <v>12.565875</v>
      </c>
      <c r="AG64" s="119">
        <v>12.565875</v>
      </c>
      <c r="AH64" s="119"/>
      <c r="AI64" s="7" t="s">
        <v>497</v>
      </c>
      <c r="AJ64" s="119">
        <f t="shared" si="2"/>
        <v>789.50823088972436</v>
      </c>
      <c r="AK64" s="119">
        <f t="shared" si="4"/>
        <v>401.03705294486218</v>
      </c>
      <c r="AL64" s="119">
        <f t="shared" si="5"/>
        <v>401.03705294486218</v>
      </c>
      <c r="AM64" s="119">
        <f t="shared" si="6"/>
        <v>407.30271710526318</v>
      </c>
      <c r="AN64" s="119">
        <f t="shared" si="7"/>
        <v>413.56838126566419</v>
      </c>
      <c r="AO64" s="119">
        <f t="shared" si="8"/>
        <v>476.22502286967426</v>
      </c>
      <c r="AP64" s="119">
        <f t="shared" si="9"/>
        <v>601.5383060776943</v>
      </c>
      <c r="AQ64" s="119">
        <f t="shared" si="10"/>
        <v>726.85158928571434</v>
      </c>
      <c r="AR64" s="119">
        <f t="shared" si="11"/>
        <v>789.50823088972436</v>
      </c>
      <c r="AS64" s="119">
        <f t="shared" si="12"/>
        <v>789.50823088972436</v>
      </c>
    </row>
    <row r="65" spans="1:45">
      <c r="T65" s="119"/>
      <c r="U65" s="119"/>
      <c r="V65" s="119"/>
      <c r="W65" s="7" t="s">
        <v>536</v>
      </c>
      <c r="X65" s="119">
        <v>12.565875</v>
      </c>
      <c r="Y65" s="119">
        <v>12.565875</v>
      </c>
      <c r="Z65" s="119">
        <v>12.565875</v>
      </c>
      <c r="AA65" s="119">
        <v>12.565875</v>
      </c>
      <c r="AB65" s="119">
        <v>12.565875</v>
      </c>
      <c r="AC65" s="119">
        <v>12.565875</v>
      </c>
      <c r="AD65" s="119">
        <v>12.565875</v>
      </c>
      <c r="AE65" s="119">
        <v>12.565875</v>
      </c>
      <c r="AF65" s="119">
        <v>12.565875</v>
      </c>
      <c r="AG65" s="119">
        <v>12.565875</v>
      </c>
      <c r="AH65" s="119"/>
      <c r="AI65" s="119"/>
      <c r="AJ65" s="119"/>
      <c r="AK65" s="119"/>
      <c r="AL65" s="119"/>
      <c r="AM65" s="119"/>
      <c r="AN65" s="119"/>
      <c r="AO65" s="119"/>
      <c r="AP65" s="119"/>
      <c r="AQ65" s="119"/>
      <c r="AR65" s="119"/>
      <c r="AS65" s="119"/>
    </row>
    <row r="66" spans="1:45">
      <c r="A66" s="7" t="s">
        <v>86</v>
      </c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T66" s="119"/>
      <c r="U66" s="119"/>
      <c r="V66" s="119"/>
      <c r="W66" s="7" t="s">
        <v>501</v>
      </c>
      <c r="X66" s="119">
        <v>12.565875</v>
      </c>
      <c r="Y66" s="119">
        <v>12.565875</v>
      </c>
      <c r="Z66" s="119">
        <v>12.565875</v>
      </c>
      <c r="AA66" s="119">
        <v>12.565875</v>
      </c>
      <c r="AB66" s="119">
        <v>12.565875</v>
      </c>
      <c r="AC66" s="119">
        <v>12.565875</v>
      </c>
      <c r="AD66" s="119">
        <v>12.565875</v>
      </c>
      <c r="AE66" s="119">
        <v>12.565875</v>
      </c>
      <c r="AF66" s="119">
        <v>12.565875</v>
      </c>
      <c r="AG66" s="119">
        <v>12.565875</v>
      </c>
    </row>
    <row r="67" spans="1:45">
      <c r="A67" s="119">
        <v>0.1522</v>
      </c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T67" s="119"/>
      <c r="U67" s="119"/>
      <c r="V67" s="119"/>
      <c r="W67" s="7" t="s">
        <v>537</v>
      </c>
      <c r="X67" s="119">
        <v>12.565875</v>
      </c>
      <c r="Y67" s="119">
        <v>12.565875</v>
      </c>
      <c r="Z67" s="119">
        <v>12.565875</v>
      </c>
      <c r="AA67" s="119">
        <v>12.565875</v>
      </c>
      <c r="AB67" s="119">
        <v>12.565875</v>
      </c>
      <c r="AC67" s="119">
        <v>12.565875</v>
      </c>
      <c r="AD67" s="119">
        <v>12.565875</v>
      </c>
      <c r="AE67" s="119">
        <v>12.565875</v>
      </c>
      <c r="AF67" s="119">
        <v>12.565875</v>
      </c>
      <c r="AG67" s="119">
        <v>12.565875</v>
      </c>
    </row>
    <row r="68" spans="1:45">
      <c r="A68" s="85" t="s">
        <v>490</v>
      </c>
      <c r="B68" s="86">
        <v>122.80701754385964</v>
      </c>
      <c r="C68" s="86">
        <v>122.80701754385964</v>
      </c>
      <c r="D68" s="86">
        <v>182.14654282765738</v>
      </c>
      <c r="E68" s="86">
        <v>167.57027275002088</v>
      </c>
      <c r="F68" s="86">
        <v>167.57027275002088</v>
      </c>
      <c r="G68" s="86">
        <v>167.57027275002088</v>
      </c>
      <c r="H68" s="86">
        <v>167.57027275002088</v>
      </c>
      <c r="I68" s="86">
        <v>167.57027275002088</v>
      </c>
      <c r="J68" s="86">
        <v>167.57027275002088</v>
      </c>
      <c r="K68" s="87">
        <v>167.57027275002088</v>
      </c>
      <c r="T68" s="119"/>
      <c r="U68" s="119"/>
      <c r="V68" s="119"/>
      <c r="W68" s="7" t="s">
        <v>499</v>
      </c>
      <c r="X68" s="119">
        <v>12.565875</v>
      </c>
      <c r="Y68" s="119">
        <v>12.565875</v>
      </c>
      <c r="Z68" s="119">
        <v>12.565875</v>
      </c>
      <c r="AA68" s="119">
        <v>12.565875</v>
      </c>
      <c r="AB68" s="119">
        <v>12.565875</v>
      </c>
      <c r="AC68" s="119">
        <v>12.565875</v>
      </c>
      <c r="AD68" s="119">
        <v>12.565875</v>
      </c>
      <c r="AE68" s="119">
        <v>12.565875</v>
      </c>
      <c r="AF68" s="119">
        <v>12.565875</v>
      </c>
      <c r="AG68" s="119">
        <v>12.565875</v>
      </c>
    </row>
    <row r="69" spans="1:45">
      <c r="A69" s="85" t="s">
        <v>504</v>
      </c>
      <c r="B69" s="86">
        <v>0</v>
      </c>
      <c r="C69" s="86">
        <v>0</v>
      </c>
      <c r="D69" s="86">
        <v>0</v>
      </c>
      <c r="E69" s="86">
        <v>0</v>
      </c>
      <c r="F69" s="86">
        <v>1033.6652441915601</v>
      </c>
      <c r="G69" s="86">
        <v>1033.6652441915601</v>
      </c>
      <c r="H69" s="86">
        <v>1033.6652441915601</v>
      </c>
      <c r="I69" s="86">
        <v>1033.6652441915601</v>
      </c>
      <c r="J69" s="86">
        <v>1033.6652441915601</v>
      </c>
      <c r="K69" s="87">
        <v>1033.6652441915601</v>
      </c>
      <c r="T69" s="119"/>
      <c r="U69" s="119"/>
      <c r="V69" s="119"/>
      <c r="W69" s="7" t="s">
        <v>538</v>
      </c>
      <c r="X69" s="119">
        <v>12.565875</v>
      </c>
      <c r="Y69" s="119">
        <v>12.565875</v>
      </c>
      <c r="Z69" s="119">
        <v>12.565875</v>
      </c>
      <c r="AA69" s="119">
        <v>12.565875</v>
      </c>
      <c r="AB69" s="119">
        <v>12.565875</v>
      </c>
      <c r="AC69" s="119">
        <v>12.565875</v>
      </c>
      <c r="AD69" s="119">
        <v>12.565875</v>
      </c>
      <c r="AE69" s="119">
        <v>12.565875</v>
      </c>
      <c r="AF69" s="119">
        <v>12.565875</v>
      </c>
      <c r="AG69" s="119">
        <v>12.565875</v>
      </c>
    </row>
    <row r="70" spans="1:45">
      <c r="A70" s="85" t="s">
        <v>506</v>
      </c>
      <c r="B70" s="86">
        <v>0</v>
      </c>
      <c r="C70" s="86">
        <v>0</v>
      </c>
      <c r="D70" s="86">
        <v>379.32669511616882</v>
      </c>
      <c r="E70" s="86">
        <v>379.32669511616882</v>
      </c>
      <c r="F70" s="86">
        <v>379.32669511616882</v>
      </c>
      <c r="G70" s="86">
        <v>379.32669511616882</v>
      </c>
      <c r="H70" s="86">
        <v>379.32669511616882</v>
      </c>
      <c r="I70" s="86">
        <v>379.32669511616882</v>
      </c>
      <c r="J70" s="86">
        <v>379.32669511616882</v>
      </c>
      <c r="K70" s="87">
        <v>379.32669511616882</v>
      </c>
      <c r="T70" s="119"/>
      <c r="U70" s="119"/>
      <c r="V70" s="119"/>
      <c r="W70" s="7" t="s">
        <v>539</v>
      </c>
      <c r="X70" s="119">
        <v>12.565875</v>
      </c>
      <c r="Y70" s="119">
        <v>12.565875</v>
      </c>
      <c r="Z70" s="119">
        <v>12.565875</v>
      </c>
      <c r="AA70" s="119">
        <v>12.565875</v>
      </c>
      <c r="AB70" s="119">
        <v>12.565875</v>
      </c>
      <c r="AC70" s="119">
        <v>12.565875</v>
      </c>
      <c r="AD70" s="119">
        <v>12.565875</v>
      </c>
      <c r="AE70" s="119">
        <v>12.565875</v>
      </c>
      <c r="AF70" s="119">
        <v>12.565875</v>
      </c>
      <c r="AG70" s="119">
        <v>12.565875</v>
      </c>
    </row>
    <row r="71" spans="1:45">
      <c r="A71" s="85" t="s">
        <v>498</v>
      </c>
      <c r="B71" s="86">
        <v>0</v>
      </c>
      <c r="C71" s="86">
        <v>0</v>
      </c>
      <c r="D71" s="86">
        <v>0</v>
      </c>
      <c r="E71" s="86">
        <v>0</v>
      </c>
      <c r="F71" s="86">
        <v>758.65339023233764</v>
      </c>
      <c r="G71" s="86">
        <v>599.47165210323101</v>
      </c>
      <c r="H71" s="86">
        <v>599.47165210323101</v>
      </c>
      <c r="I71" s="86">
        <v>599.47165210323101</v>
      </c>
      <c r="J71" s="86">
        <v>599.47165210323101</v>
      </c>
      <c r="K71" s="87">
        <v>599.47165210323101</v>
      </c>
      <c r="T71" s="119"/>
      <c r="U71" s="119"/>
      <c r="V71" s="119"/>
      <c r="W71" s="7" t="s">
        <v>540</v>
      </c>
      <c r="X71" s="119">
        <v>12.565875</v>
      </c>
      <c r="Y71" s="119">
        <v>12.565875</v>
      </c>
      <c r="Z71" s="119">
        <v>12.565875</v>
      </c>
      <c r="AA71" s="119">
        <v>12.565875</v>
      </c>
      <c r="AB71" s="119">
        <v>12.565875</v>
      </c>
      <c r="AC71" s="119">
        <v>12.565875</v>
      </c>
      <c r="AD71" s="119">
        <v>12.565875</v>
      </c>
      <c r="AE71" s="119">
        <v>12.565875</v>
      </c>
      <c r="AF71" s="119">
        <v>12.565875</v>
      </c>
      <c r="AG71" s="119">
        <v>12.565875</v>
      </c>
    </row>
    <row r="72" spans="1:45">
      <c r="A72" s="85" t="s">
        <v>507</v>
      </c>
      <c r="B72" s="86">
        <v>0</v>
      </c>
      <c r="C72" s="86">
        <v>0</v>
      </c>
      <c r="D72" s="86">
        <v>0</v>
      </c>
      <c r="E72" s="86">
        <v>355.61877667140823</v>
      </c>
      <c r="F72" s="86">
        <v>355.61877667140823</v>
      </c>
      <c r="G72" s="86">
        <v>355.61877667140823</v>
      </c>
      <c r="H72" s="86">
        <v>355.61877667140823</v>
      </c>
      <c r="I72" s="86">
        <v>355.61877667140823</v>
      </c>
      <c r="J72" s="86">
        <v>355.61877667140823</v>
      </c>
      <c r="K72" s="87">
        <v>355.61877667140823</v>
      </c>
      <c r="T72" s="119"/>
      <c r="U72" s="119"/>
      <c r="V72" s="119"/>
      <c r="W72" s="7" t="s">
        <v>514</v>
      </c>
      <c r="X72" s="119">
        <v>12.565875</v>
      </c>
      <c r="Y72" s="119">
        <v>12.565875</v>
      </c>
      <c r="Z72" s="119">
        <v>12.565875</v>
      </c>
      <c r="AA72" s="119">
        <v>12.565875</v>
      </c>
      <c r="AB72" s="119">
        <v>12.565875</v>
      </c>
      <c r="AC72" s="119">
        <v>12.565875</v>
      </c>
      <c r="AD72" s="119">
        <v>12.565875</v>
      </c>
      <c r="AE72" s="119">
        <v>12.565875</v>
      </c>
      <c r="AF72" s="119">
        <v>12.565875</v>
      </c>
      <c r="AG72" s="119">
        <v>12.565875</v>
      </c>
    </row>
    <row r="73" spans="1:45">
      <c r="A73" s="85" t="s">
        <v>509</v>
      </c>
      <c r="B73" s="86">
        <v>0</v>
      </c>
      <c r="C73" s="86">
        <v>160.0284495021337</v>
      </c>
      <c r="D73" s="86">
        <v>160.0284495021337</v>
      </c>
      <c r="E73" s="86">
        <v>160.0284495021337</v>
      </c>
      <c r="F73" s="86">
        <v>160.0284495021337</v>
      </c>
      <c r="G73" s="86">
        <v>160.0284495021337</v>
      </c>
      <c r="H73" s="86">
        <v>160.0284495021337</v>
      </c>
      <c r="I73" s="86">
        <v>160.0284495021337</v>
      </c>
      <c r="J73" s="86">
        <v>160.0284495021337</v>
      </c>
      <c r="K73" s="87">
        <v>160.0284495021337</v>
      </c>
      <c r="T73" s="119"/>
      <c r="U73" s="119"/>
      <c r="V73" s="119"/>
      <c r="W73" s="7" t="s">
        <v>516</v>
      </c>
      <c r="X73" s="119">
        <v>12.565875</v>
      </c>
      <c r="Y73" s="119">
        <v>12.565875</v>
      </c>
      <c r="Z73" s="119">
        <v>12.565875</v>
      </c>
      <c r="AA73" s="119">
        <v>12.565875</v>
      </c>
      <c r="AB73" s="119">
        <v>12.565875</v>
      </c>
      <c r="AC73" s="119">
        <v>12.565875</v>
      </c>
      <c r="AD73" s="119">
        <v>12.565875</v>
      </c>
      <c r="AE73" s="119">
        <v>12.565875</v>
      </c>
      <c r="AF73" s="119">
        <v>12.565875</v>
      </c>
      <c r="AG73" s="119">
        <v>12.565875</v>
      </c>
    </row>
    <row r="74" spans="1:45">
      <c r="A74" s="85" t="s">
        <v>511</v>
      </c>
      <c r="B74" s="86">
        <v>0</v>
      </c>
      <c r="C74" s="86">
        <v>0</v>
      </c>
      <c r="D74" s="86">
        <v>0</v>
      </c>
      <c r="E74" s="86">
        <v>0</v>
      </c>
      <c r="F74" s="86">
        <v>0</v>
      </c>
      <c r="G74" s="86">
        <v>142.24751066856328</v>
      </c>
      <c r="H74" s="86">
        <v>142.24751066856328</v>
      </c>
      <c r="I74" s="86">
        <v>142.24751066856328</v>
      </c>
      <c r="J74" s="86">
        <v>142.24751066856328</v>
      </c>
      <c r="K74" s="87">
        <v>142.24751066856328</v>
      </c>
      <c r="T74" s="119"/>
      <c r="U74" s="119"/>
      <c r="V74" s="119"/>
      <c r="W74" s="7" t="s">
        <v>518</v>
      </c>
      <c r="X74" s="119">
        <v>12.565875</v>
      </c>
      <c r="Y74" s="119">
        <v>12.565875</v>
      </c>
      <c r="Z74" s="119">
        <v>12.565875</v>
      </c>
      <c r="AA74" s="119">
        <v>12.565875</v>
      </c>
      <c r="AB74" s="119">
        <v>12.565875</v>
      </c>
      <c r="AC74" s="119">
        <v>12.565875</v>
      </c>
      <c r="AD74" s="119">
        <v>12.565875</v>
      </c>
      <c r="AE74" s="119">
        <v>12.565875</v>
      </c>
      <c r="AF74" s="119">
        <v>12.565875</v>
      </c>
      <c r="AG74" s="119">
        <v>12.565875</v>
      </c>
    </row>
    <row r="75" spans="1:45">
      <c r="A75" s="85" t="s">
        <v>513</v>
      </c>
      <c r="B75" s="86">
        <v>71.123755334281654</v>
      </c>
      <c r="C75" s="86">
        <v>71.123755334281654</v>
      </c>
      <c r="D75" s="86">
        <v>71.123755334281654</v>
      </c>
      <c r="E75" s="86">
        <v>71.123755334281654</v>
      </c>
      <c r="F75" s="86">
        <v>71.123755334281654</v>
      </c>
      <c r="G75" s="86">
        <v>71.123755334281654</v>
      </c>
      <c r="H75" s="86">
        <v>71.123755334281654</v>
      </c>
      <c r="I75" s="86">
        <v>71.123755334281654</v>
      </c>
      <c r="J75" s="86">
        <v>71.123755334281654</v>
      </c>
      <c r="K75" s="87">
        <v>71.123755334281654</v>
      </c>
      <c r="T75" s="119"/>
      <c r="U75" s="119"/>
      <c r="V75" s="119"/>
      <c r="W75" s="7" t="s">
        <v>541</v>
      </c>
      <c r="X75" s="119">
        <v>12.565875</v>
      </c>
      <c r="Y75" s="119">
        <v>12.565875</v>
      </c>
      <c r="Z75" s="119">
        <v>12.565875</v>
      </c>
      <c r="AA75" s="119">
        <v>12.565875</v>
      </c>
      <c r="AB75" s="119">
        <v>12.565875</v>
      </c>
      <c r="AC75" s="119">
        <v>12.565875</v>
      </c>
      <c r="AD75" s="119">
        <v>12.565875</v>
      </c>
      <c r="AE75" s="119">
        <v>12.565875</v>
      </c>
      <c r="AF75" s="119">
        <v>12.565875</v>
      </c>
      <c r="AG75" s="119">
        <v>12.565875</v>
      </c>
    </row>
    <row r="76" spans="1:45">
      <c r="A76" s="85" t="s">
        <v>514</v>
      </c>
      <c r="B76" s="86">
        <v>0</v>
      </c>
      <c r="C76" s="86">
        <v>0</v>
      </c>
      <c r="D76" s="86">
        <v>122.33285917496444</v>
      </c>
      <c r="E76" s="86">
        <v>190.57447540419676</v>
      </c>
      <c r="F76" s="86">
        <v>189.9359176384074</v>
      </c>
      <c r="G76" s="86">
        <v>189.9359176384074</v>
      </c>
      <c r="H76" s="86">
        <v>189.9359176384074</v>
      </c>
      <c r="I76" s="86">
        <v>189.9359176384074</v>
      </c>
      <c r="J76" s="86">
        <v>189.9359176384074</v>
      </c>
      <c r="K76" s="87">
        <v>189.9359176384074</v>
      </c>
      <c r="T76" s="119"/>
      <c r="U76" s="119"/>
      <c r="V76" s="119"/>
      <c r="W76" s="7" t="s">
        <v>520</v>
      </c>
      <c r="X76" s="119">
        <v>12.565875</v>
      </c>
      <c r="Y76" s="119">
        <v>12.565875</v>
      </c>
      <c r="Z76" s="119">
        <v>12.565875</v>
      </c>
      <c r="AA76" s="119">
        <v>12.565875</v>
      </c>
      <c r="AB76" s="119">
        <v>12.565875</v>
      </c>
      <c r="AC76" s="119">
        <v>12.565875</v>
      </c>
      <c r="AD76" s="119">
        <v>12.565875</v>
      </c>
      <c r="AE76" s="119">
        <v>12.565875</v>
      </c>
      <c r="AF76" s="119">
        <v>12.565875</v>
      </c>
      <c r="AG76" s="119">
        <v>12.565875</v>
      </c>
    </row>
    <row r="77" spans="1:45">
      <c r="A77" s="85" t="s">
        <v>516</v>
      </c>
      <c r="B77" s="86">
        <v>0</v>
      </c>
      <c r="C77" s="86">
        <v>142.24751066856328</v>
      </c>
      <c r="D77" s="86">
        <v>142.24751066856328</v>
      </c>
      <c r="E77" s="86">
        <v>142.24751066856328</v>
      </c>
      <c r="F77" s="86">
        <v>142.24751066856328</v>
      </c>
      <c r="G77" s="86">
        <v>142.24751066856328</v>
      </c>
      <c r="H77" s="86">
        <v>142.24751066856328</v>
      </c>
      <c r="I77" s="86">
        <v>142.24751066856328</v>
      </c>
      <c r="J77" s="86">
        <v>142.24751066856328</v>
      </c>
      <c r="K77" s="87">
        <v>142.24751066856328</v>
      </c>
      <c r="T77" s="119"/>
      <c r="U77" s="119"/>
      <c r="V77" s="119"/>
      <c r="W77" s="7" t="s">
        <v>542</v>
      </c>
      <c r="X77" s="119">
        <v>12.565875</v>
      </c>
      <c r="Y77" s="119">
        <v>12.565875</v>
      </c>
      <c r="Z77" s="119">
        <v>12.565875</v>
      </c>
      <c r="AA77" s="119">
        <v>12.565875</v>
      </c>
      <c r="AB77" s="119">
        <v>12.565875</v>
      </c>
      <c r="AC77" s="119">
        <v>12.565875</v>
      </c>
      <c r="AD77" s="119">
        <v>12.565875</v>
      </c>
      <c r="AE77" s="119">
        <v>12.565875</v>
      </c>
      <c r="AF77" s="119">
        <v>12.565875</v>
      </c>
      <c r="AG77" s="119">
        <v>12.565875</v>
      </c>
    </row>
    <row r="78" spans="1:45">
      <c r="A78" s="85" t="s">
        <v>518</v>
      </c>
      <c r="B78" s="86">
        <v>0</v>
      </c>
      <c r="C78" s="86">
        <v>0</v>
      </c>
      <c r="D78" s="86">
        <v>0</v>
      </c>
      <c r="E78" s="86">
        <v>260.78710289236608</v>
      </c>
      <c r="F78" s="86">
        <v>260.78710289236608</v>
      </c>
      <c r="G78" s="86">
        <v>260.78710289236608</v>
      </c>
      <c r="H78" s="86">
        <v>260.78710289236608</v>
      </c>
      <c r="I78" s="86">
        <v>260.78710289236608</v>
      </c>
      <c r="J78" s="86">
        <v>260.78710289236608</v>
      </c>
      <c r="K78" s="87">
        <v>260.78710289236608</v>
      </c>
      <c r="T78" s="119"/>
      <c r="U78" s="119"/>
      <c r="V78" s="119"/>
      <c r="W78" s="7" t="s">
        <v>543</v>
      </c>
      <c r="X78" s="119">
        <v>12.565875</v>
      </c>
      <c r="Y78" s="119">
        <v>12.565875</v>
      </c>
      <c r="Z78" s="119">
        <v>12.565875</v>
      </c>
      <c r="AA78" s="119">
        <v>12.565875</v>
      </c>
      <c r="AB78" s="119">
        <v>12.565875</v>
      </c>
      <c r="AC78" s="119">
        <v>12.565875</v>
      </c>
      <c r="AD78" s="119">
        <v>12.565875</v>
      </c>
      <c r="AE78" s="119">
        <v>12.565875</v>
      </c>
      <c r="AF78" s="119">
        <v>12.565875</v>
      </c>
      <c r="AG78" s="119">
        <v>12.565875</v>
      </c>
    </row>
    <row r="79" spans="1:45">
      <c r="A79" s="85" t="s">
        <v>520</v>
      </c>
      <c r="B79" s="86">
        <v>0</v>
      </c>
      <c r="C79" s="86">
        <v>0</v>
      </c>
      <c r="D79" s="86">
        <v>184.92176386913229</v>
      </c>
      <c r="E79" s="86">
        <v>184.92176386913229</v>
      </c>
      <c r="F79" s="86">
        <v>184.92176386913229</v>
      </c>
      <c r="G79" s="86">
        <v>184.92176386913229</v>
      </c>
      <c r="H79" s="86">
        <v>184.92176386913229</v>
      </c>
      <c r="I79" s="86">
        <v>184.92176386913229</v>
      </c>
      <c r="J79" s="86">
        <v>184.92176386913229</v>
      </c>
      <c r="K79" s="87">
        <v>184.92176386913229</v>
      </c>
      <c r="T79" s="119"/>
      <c r="U79" s="119"/>
      <c r="V79" s="119"/>
      <c r="W79" s="7" t="s">
        <v>544</v>
      </c>
      <c r="X79" s="119">
        <v>12.565875</v>
      </c>
      <c r="Y79" s="119">
        <v>12.565875</v>
      </c>
      <c r="Z79" s="119">
        <v>12.565875</v>
      </c>
      <c r="AA79" s="119">
        <v>12.565875</v>
      </c>
      <c r="AB79" s="119">
        <v>12.565875</v>
      </c>
      <c r="AC79" s="119">
        <v>12.565875</v>
      </c>
      <c r="AD79" s="119">
        <v>12.565875</v>
      </c>
      <c r="AE79" s="119">
        <v>12.565875</v>
      </c>
      <c r="AF79" s="119">
        <v>12.565875</v>
      </c>
      <c r="AG79" s="119">
        <v>12.565875</v>
      </c>
    </row>
    <row r="80" spans="1:45" ht="15.75" thickBot="1">
      <c r="A80" s="88" t="s">
        <v>522</v>
      </c>
      <c r="B80" s="89">
        <v>812.43649664702286</v>
      </c>
      <c r="C80" s="89">
        <v>812.43649664702286</v>
      </c>
      <c r="D80" s="89">
        <v>812.43649664702286</v>
      </c>
      <c r="E80" s="89">
        <v>812.43649664702286</v>
      </c>
      <c r="F80" s="89">
        <v>812.43649664702286</v>
      </c>
      <c r="G80" s="89">
        <v>812.43649664702286</v>
      </c>
      <c r="H80" s="89">
        <v>812.43649664702286</v>
      </c>
      <c r="I80" s="89">
        <v>812.43649664702286</v>
      </c>
      <c r="J80" s="89">
        <v>812.43649664702286</v>
      </c>
      <c r="K80" s="90">
        <v>812.43649664702286</v>
      </c>
      <c r="T80" s="119"/>
      <c r="U80" s="119"/>
      <c r="V80" s="119"/>
      <c r="W80" s="7" t="s">
        <v>489</v>
      </c>
      <c r="X80" s="119">
        <v>12.565875</v>
      </c>
      <c r="Y80" s="119">
        <v>12.565875</v>
      </c>
      <c r="Z80" s="119">
        <v>12.565875</v>
      </c>
      <c r="AA80" s="119">
        <v>12.565875</v>
      </c>
      <c r="AB80" s="119">
        <v>12.565875</v>
      </c>
      <c r="AC80" s="119">
        <v>12.565875</v>
      </c>
      <c r="AD80" s="119">
        <v>12.565875</v>
      </c>
      <c r="AE80" s="119">
        <v>12.565875</v>
      </c>
      <c r="AF80" s="119">
        <v>12.565875</v>
      </c>
      <c r="AG80" s="119">
        <v>12.565875</v>
      </c>
    </row>
    <row r="81" spans="1:33">
      <c r="T81" s="119"/>
      <c r="U81" s="119"/>
      <c r="V81" s="119"/>
      <c r="W81" s="7" t="s">
        <v>545</v>
      </c>
      <c r="X81" s="119">
        <v>12.565875</v>
      </c>
      <c r="Y81" s="119">
        <v>12.565875</v>
      </c>
      <c r="Z81" s="119">
        <v>12.565875</v>
      </c>
      <c r="AA81" s="119">
        <v>12.565875</v>
      </c>
      <c r="AB81" s="119">
        <v>12.565875</v>
      </c>
      <c r="AC81" s="119">
        <v>12.565875</v>
      </c>
      <c r="AD81" s="119">
        <v>12.565875</v>
      </c>
      <c r="AE81" s="119">
        <v>12.565875</v>
      </c>
      <c r="AF81" s="119">
        <v>12.565875</v>
      </c>
      <c r="AG81" s="119">
        <v>12.565875</v>
      </c>
    </row>
    <row r="82" spans="1:33">
      <c r="A82" s="5" t="s">
        <v>490</v>
      </c>
      <c r="B82" s="77">
        <f t="shared" ref="B82:K82" si="17">B68*$A$67*B$3</f>
        <v>18.691228070175438</v>
      </c>
      <c r="C82" s="4">
        <f t="shared" si="17"/>
        <v>19.13981754385965</v>
      </c>
      <c r="D82" s="4">
        <f t="shared" si="17"/>
        <v>28.984197732920535</v>
      </c>
      <c r="E82" s="4">
        <f t="shared" si="17"/>
        <v>27.224697932084677</v>
      </c>
      <c r="F82" s="4">
        <f t="shared" si="17"/>
        <v>27.796416588658452</v>
      </c>
      <c r="G82" s="4">
        <f t="shared" si="17"/>
        <v>28.38014133702028</v>
      </c>
      <c r="H82" s="4">
        <f t="shared" si="17"/>
        <v>28.976124305097702</v>
      </c>
      <c r="I82" s="4">
        <f t="shared" si="17"/>
        <v>29.584622915504752</v>
      </c>
      <c r="J82" s="4">
        <f t="shared" si="17"/>
        <v>30.205899996730349</v>
      </c>
      <c r="K82" s="4">
        <f t="shared" si="17"/>
        <v>30.84022389666168</v>
      </c>
      <c r="T82" s="119"/>
      <c r="U82" s="119"/>
      <c r="V82" s="119"/>
      <c r="W82" s="7" t="s">
        <v>546</v>
      </c>
      <c r="X82" s="119">
        <v>12.565875</v>
      </c>
      <c r="Y82" s="119">
        <v>12.565875</v>
      </c>
      <c r="Z82" s="119">
        <v>12.565875</v>
      </c>
      <c r="AA82" s="119">
        <v>12.565875</v>
      </c>
      <c r="AB82" s="119">
        <v>12.565875</v>
      </c>
      <c r="AC82" s="119">
        <v>12.565875</v>
      </c>
      <c r="AD82" s="119">
        <v>12.565875</v>
      </c>
      <c r="AE82" s="119">
        <v>12.565875</v>
      </c>
      <c r="AF82" s="119">
        <v>12.565875</v>
      </c>
      <c r="AG82" s="119">
        <v>12.565875</v>
      </c>
    </row>
    <row r="83" spans="1:33">
      <c r="A83" s="5" t="s">
        <v>504</v>
      </c>
      <c r="B83" s="4">
        <f t="shared" ref="B83:K83" si="18">B69*$A$67*B$3</f>
        <v>0</v>
      </c>
      <c r="C83" s="4">
        <f t="shared" si="18"/>
        <v>0</v>
      </c>
      <c r="D83" s="4">
        <f t="shared" si="18"/>
        <v>0</v>
      </c>
      <c r="E83" s="4">
        <f t="shared" si="18"/>
        <v>0</v>
      </c>
      <c r="F83" s="4">
        <f t="shared" si="18"/>
        <v>171.46352553610907</v>
      </c>
      <c r="G83" s="4">
        <f t="shared" si="18"/>
        <v>175.06425957236738</v>
      </c>
      <c r="H83" s="4">
        <f t="shared" si="18"/>
        <v>178.74060902338707</v>
      </c>
      <c r="I83" s="4">
        <f t="shared" si="18"/>
        <v>182.49416181287819</v>
      </c>
      <c r="J83" s="4">
        <f t="shared" si="18"/>
        <v>186.3265392109486</v>
      </c>
      <c r="K83" s="4">
        <f t="shared" si="18"/>
        <v>190.2393965343785</v>
      </c>
      <c r="T83" s="119"/>
      <c r="U83" s="119"/>
      <c r="V83" s="119"/>
      <c r="W83" s="7" t="s">
        <v>522</v>
      </c>
      <c r="X83" s="119">
        <v>12.565875</v>
      </c>
      <c r="Y83" s="119">
        <v>12.565875</v>
      </c>
      <c r="Z83" s="119">
        <v>12.565875</v>
      </c>
      <c r="AA83" s="119">
        <v>12.565875</v>
      </c>
      <c r="AB83" s="119">
        <v>12.565875</v>
      </c>
      <c r="AC83" s="119">
        <v>12.565875</v>
      </c>
      <c r="AD83" s="119">
        <v>12.565875</v>
      </c>
      <c r="AE83" s="119">
        <v>12.565875</v>
      </c>
      <c r="AF83" s="119">
        <v>12.565875</v>
      </c>
      <c r="AG83" s="119">
        <v>12.565875</v>
      </c>
    </row>
    <row r="84" spans="1:33">
      <c r="A84" s="5" t="s">
        <v>506</v>
      </c>
      <c r="B84" s="4">
        <f t="shared" ref="B84:K84" si="19">B70*$A$67*B$3</f>
        <v>0</v>
      </c>
      <c r="C84" s="4">
        <f t="shared" si="19"/>
        <v>0</v>
      </c>
      <c r="D84" s="4">
        <f t="shared" si="19"/>
        <v>60.360629227121862</v>
      </c>
      <c r="E84" s="4">
        <f t="shared" si="19"/>
        <v>61.628202440891414</v>
      </c>
      <c r="F84" s="4">
        <f t="shared" si="19"/>
        <v>62.922394692150128</v>
      </c>
      <c r="G84" s="4">
        <f t="shared" si="19"/>
        <v>64.24376498068527</v>
      </c>
      <c r="H84" s="4">
        <f t="shared" si="19"/>
        <v>65.592884045279661</v>
      </c>
      <c r="I84" s="4">
        <f t="shared" si="19"/>
        <v>66.970334610230523</v>
      </c>
      <c r="J84" s="4">
        <f t="shared" si="19"/>
        <v>68.376711637045361</v>
      </c>
      <c r="K84" s="4">
        <f t="shared" si="19"/>
        <v>69.812622581423298</v>
      </c>
      <c r="T84" s="119"/>
      <c r="U84" s="119"/>
      <c r="V84" s="119"/>
      <c r="W84" s="7" t="s">
        <v>497</v>
      </c>
      <c r="X84" s="119">
        <v>12.565875</v>
      </c>
      <c r="Y84" s="119">
        <v>12.565875</v>
      </c>
      <c r="Z84" s="119">
        <v>12.565875</v>
      </c>
      <c r="AA84" s="119">
        <v>12.565875</v>
      </c>
      <c r="AB84" s="119">
        <v>12.565875</v>
      </c>
      <c r="AC84" s="119">
        <v>12.565875</v>
      </c>
      <c r="AD84" s="119">
        <v>12.565875</v>
      </c>
      <c r="AE84" s="119">
        <v>12.565875</v>
      </c>
      <c r="AF84" s="119">
        <v>12.565875</v>
      </c>
      <c r="AG84" s="119">
        <v>12.565875</v>
      </c>
    </row>
    <row r="85" spans="1:33">
      <c r="A85" s="5" t="s">
        <v>498</v>
      </c>
      <c r="B85" s="4">
        <f t="shared" ref="B85:K85" si="20">B71*$A$67*B$3</f>
        <v>0</v>
      </c>
      <c r="C85" s="4">
        <f t="shared" si="20"/>
        <v>0</v>
      </c>
      <c r="D85" s="4">
        <f t="shared" si="20"/>
        <v>0</v>
      </c>
      <c r="E85" s="4">
        <f t="shared" si="20"/>
        <v>0</v>
      </c>
      <c r="F85" s="4">
        <f t="shared" si="20"/>
        <v>125.84478938430026</v>
      </c>
      <c r="G85" s="4">
        <f t="shared" si="20"/>
        <v>101.52809287126153</v>
      </c>
      <c r="H85" s="4">
        <f t="shared" si="20"/>
        <v>103.66018282155802</v>
      </c>
      <c r="I85" s="4">
        <f t="shared" si="20"/>
        <v>105.83704666081073</v>
      </c>
      <c r="J85" s="4">
        <f t="shared" si="20"/>
        <v>108.05962464068774</v>
      </c>
      <c r="K85" s="4">
        <f t="shared" si="20"/>
        <v>110.32887675814217</v>
      </c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19"/>
    </row>
    <row r="86" spans="1:33">
      <c r="A86" s="5" t="s">
        <v>507</v>
      </c>
      <c r="B86" s="4">
        <f t="shared" ref="B86:K86" si="21">B72*$A$67*B$3</f>
        <v>0</v>
      </c>
      <c r="C86" s="4">
        <f t="shared" si="21"/>
        <v>0</v>
      </c>
      <c r="D86" s="4">
        <f t="shared" si="21"/>
        <v>0</v>
      </c>
      <c r="E86" s="4">
        <f t="shared" si="21"/>
        <v>57.776439788335693</v>
      </c>
      <c r="F86" s="4">
        <f t="shared" si="21"/>
        <v>58.989745023890734</v>
      </c>
      <c r="G86" s="4">
        <f t="shared" si="21"/>
        <v>60.228529669392437</v>
      </c>
      <c r="H86" s="4">
        <f t="shared" si="21"/>
        <v>61.493328792449674</v>
      </c>
      <c r="I86" s="4">
        <f t="shared" si="21"/>
        <v>62.784688697091113</v>
      </c>
      <c r="J86" s="4">
        <f t="shared" si="21"/>
        <v>64.10316715973002</v>
      </c>
      <c r="K86" s="4">
        <f t="shared" si="21"/>
        <v>65.449333670084343</v>
      </c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119"/>
      <c r="AE86" s="119"/>
      <c r="AF86" s="119"/>
      <c r="AG86" s="119"/>
    </row>
    <row r="87" spans="1:33">
      <c r="A87" s="5" t="s">
        <v>509</v>
      </c>
      <c r="B87" s="4">
        <f t="shared" ref="B87:K87" si="22">B73*$A$67*B$3</f>
        <v>0</v>
      </c>
      <c r="C87" s="4">
        <f t="shared" si="22"/>
        <v>24.940881934566143</v>
      </c>
      <c r="D87" s="4">
        <f t="shared" si="22"/>
        <v>25.464640455192033</v>
      </c>
      <c r="E87" s="4">
        <f t="shared" si="22"/>
        <v>25.99939790475106</v>
      </c>
      <c r="F87" s="4">
        <f t="shared" si="22"/>
        <v>26.54538526075083</v>
      </c>
      <c r="G87" s="4">
        <f t="shared" si="22"/>
        <v>27.102838351226598</v>
      </c>
      <c r="H87" s="4">
        <f t="shared" si="22"/>
        <v>27.67199795660235</v>
      </c>
      <c r="I87" s="4">
        <f t="shared" si="22"/>
        <v>28.253109913690999</v>
      </c>
      <c r="J87" s="4">
        <f t="shared" si="22"/>
        <v>28.846425221878508</v>
      </c>
      <c r="K87" s="4">
        <f t="shared" si="22"/>
        <v>29.452200151537951</v>
      </c>
      <c r="T87" s="119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</row>
    <row r="88" spans="1:33">
      <c r="A88" s="5" t="s">
        <v>511</v>
      </c>
      <c r="B88" s="4">
        <f t="shared" ref="B88:K88" si="23">B74*$A$67*B$3</f>
        <v>0</v>
      </c>
      <c r="C88" s="4">
        <f t="shared" si="23"/>
        <v>0</v>
      </c>
      <c r="D88" s="4">
        <f t="shared" si="23"/>
        <v>0</v>
      </c>
      <c r="E88" s="4">
        <f t="shared" si="23"/>
        <v>0</v>
      </c>
      <c r="F88" s="4">
        <f t="shared" si="23"/>
        <v>0</v>
      </c>
      <c r="G88" s="4">
        <f t="shared" si="23"/>
        <v>24.091411867756975</v>
      </c>
      <c r="H88" s="4">
        <f t="shared" si="23"/>
        <v>24.597331516979867</v>
      </c>
      <c r="I88" s="4">
        <f t="shared" si="23"/>
        <v>25.113875478836441</v>
      </c>
      <c r="J88" s="4">
        <f t="shared" si="23"/>
        <v>25.641266863892007</v>
      </c>
      <c r="K88" s="4">
        <f t="shared" si="23"/>
        <v>26.179733468033731</v>
      </c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</row>
    <row r="89" spans="1:33">
      <c r="A89" s="5" t="s">
        <v>513</v>
      </c>
      <c r="B89" s="4">
        <f t="shared" ref="B89:K89" si="24">B75*$A$67*B$3</f>
        <v>10.825035561877668</v>
      </c>
      <c r="C89" s="4">
        <f t="shared" si="24"/>
        <v>11.084836415362732</v>
      </c>
      <c r="D89" s="4">
        <f t="shared" si="24"/>
        <v>11.317617980085348</v>
      </c>
      <c r="E89" s="4">
        <f t="shared" si="24"/>
        <v>11.55528795766714</v>
      </c>
      <c r="F89" s="4">
        <f t="shared" si="24"/>
        <v>11.797949004778149</v>
      </c>
      <c r="G89" s="4">
        <f t="shared" si="24"/>
        <v>12.045705933878489</v>
      </c>
      <c r="H89" s="4">
        <f t="shared" si="24"/>
        <v>12.298665758489935</v>
      </c>
      <c r="I89" s="4">
        <f t="shared" si="24"/>
        <v>12.556937739418224</v>
      </c>
      <c r="J89" s="4">
        <f t="shared" si="24"/>
        <v>12.820633431946005</v>
      </c>
      <c r="K89" s="4">
        <f t="shared" si="24"/>
        <v>13.089866734016869</v>
      </c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</row>
    <row r="90" spans="1:33">
      <c r="A90" s="5" t="s">
        <v>514</v>
      </c>
      <c r="B90" s="4">
        <f t="shared" ref="B90:K90" si="25">B76*$A$67*B$3</f>
        <v>0</v>
      </c>
      <c r="C90" s="4">
        <f t="shared" si="25"/>
        <v>0</v>
      </c>
      <c r="D90" s="4">
        <f t="shared" si="25"/>
        <v>19.466302925746799</v>
      </c>
      <c r="E90" s="4">
        <f t="shared" si="25"/>
        <v>30.962129745916471</v>
      </c>
      <c r="F90" s="4">
        <f t="shared" si="25"/>
        <v>31.506411042859838</v>
      </c>
      <c r="G90" s="4">
        <f t="shared" si="25"/>
        <v>32.168045674759895</v>
      </c>
      <c r="H90" s="4">
        <f t="shared" si="25"/>
        <v>32.843574633929848</v>
      </c>
      <c r="I90" s="4">
        <f t="shared" si="25"/>
        <v>33.533289701242374</v>
      </c>
      <c r="J90" s="4">
        <f t="shared" si="25"/>
        <v>34.237488784968463</v>
      </c>
      <c r="K90" s="4">
        <f t="shared" si="25"/>
        <v>34.956476049452789</v>
      </c>
      <c r="T90" s="119"/>
      <c r="U90" s="119"/>
      <c r="V90" s="119"/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  <c r="AG90" s="119"/>
    </row>
    <row r="91" spans="1:33">
      <c r="A91" s="5" t="s">
        <v>516</v>
      </c>
      <c r="B91" s="4">
        <f t="shared" ref="B91:K91" si="26">B77*$A$67*B$3</f>
        <v>0</v>
      </c>
      <c r="C91" s="4">
        <f t="shared" si="26"/>
        <v>22.16967283072546</v>
      </c>
      <c r="D91" s="4">
        <f t="shared" si="26"/>
        <v>22.635235960170693</v>
      </c>
      <c r="E91" s="4">
        <f t="shared" si="26"/>
        <v>23.110575915334277</v>
      </c>
      <c r="F91" s="4">
        <f t="shared" si="26"/>
        <v>23.595898009556294</v>
      </c>
      <c r="G91" s="4">
        <f t="shared" si="26"/>
        <v>24.091411867756975</v>
      </c>
      <c r="H91" s="4">
        <f t="shared" si="26"/>
        <v>24.597331516979867</v>
      </c>
      <c r="I91" s="4">
        <f t="shared" si="26"/>
        <v>25.113875478836441</v>
      </c>
      <c r="J91" s="4">
        <f t="shared" si="26"/>
        <v>25.641266863892007</v>
      </c>
      <c r="K91" s="4">
        <f t="shared" si="26"/>
        <v>26.179733468033731</v>
      </c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</row>
    <row r="92" spans="1:33">
      <c r="A92" s="5" t="s">
        <v>518</v>
      </c>
      <c r="B92" s="4">
        <f t="shared" ref="B92:K92" si="27">B78*$A$67*B$3</f>
        <v>0</v>
      </c>
      <c r="C92" s="4">
        <f t="shared" si="27"/>
        <v>0</v>
      </c>
      <c r="D92" s="4">
        <f t="shared" si="27"/>
        <v>0</v>
      </c>
      <c r="E92" s="4">
        <f t="shared" si="27"/>
        <v>42.369389178112847</v>
      </c>
      <c r="F92" s="4">
        <f t="shared" si="27"/>
        <v>43.259146350853207</v>
      </c>
      <c r="G92" s="4">
        <f t="shared" si="27"/>
        <v>44.167588424221123</v>
      </c>
      <c r="H92" s="4">
        <f t="shared" si="27"/>
        <v>45.095107781129762</v>
      </c>
      <c r="I92" s="4">
        <f t="shared" si="27"/>
        <v>46.042105044533486</v>
      </c>
      <c r="J92" s="4">
        <f t="shared" si="27"/>
        <v>47.00898925046868</v>
      </c>
      <c r="K92" s="4">
        <f t="shared" si="27"/>
        <v>47.996178024728515</v>
      </c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  <c r="AG92" s="119"/>
    </row>
    <row r="93" spans="1:33">
      <c r="A93" s="5" t="s">
        <v>520</v>
      </c>
      <c r="B93" s="4">
        <f t="shared" ref="B93:K93" si="28">B79*$A$67*B$3</f>
        <v>0</v>
      </c>
      <c r="C93" s="4">
        <f t="shared" si="28"/>
        <v>0</v>
      </c>
      <c r="D93" s="4">
        <f t="shared" si="28"/>
        <v>29.425806748221905</v>
      </c>
      <c r="E93" s="4">
        <f t="shared" si="28"/>
        <v>30.04374868993456</v>
      </c>
      <c r="F93" s="4">
        <f t="shared" si="28"/>
        <v>30.674667412423183</v>
      </c>
      <c r="G93" s="4">
        <f t="shared" si="28"/>
        <v>31.318835428084068</v>
      </c>
      <c r="H93" s="4">
        <f t="shared" si="28"/>
        <v>31.976530972073828</v>
      </c>
      <c r="I93" s="4">
        <f t="shared" si="28"/>
        <v>32.648038122487378</v>
      </c>
      <c r="J93" s="4">
        <f t="shared" si="28"/>
        <v>33.333646923059611</v>
      </c>
      <c r="K93" s="4">
        <f t="shared" si="28"/>
        <v>34.033653508443855</v>
      </c>
      <c r="T93" s="119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</row>
    <row r="94" spans="1:33" ht="15.75" thickBot="1">
      <c r="A94" s="68" t="s">
        <v>522</v>
      </c>
      <c r="B94" s="4">
        <f t="shared" ref="B94:K94" si="29">B80*$A$67*B$3</f>
        <v>123.65283478967689</v>
      </c>
      <c r="C94" s="4">
        <f t="shared" si="29"/>
        <v>126.62050282462914</v>
      </c>
      <c r="D94" s="4">
        <f t="shared" si="29"/>
        <v>129.27953338394633</v>
      </c>
      <c r="E94" s="4">
        <f t="shared" si="29"/>
        <v>131.9944035850092</v>
      </c>
      <c r="F94" s="4">
        <f t="shared" si="29"/>
        <v>134.76628606029436</v>
      </c>
      <c r="G94" s="4">
        <f t="shared" si="29"/>
        <v>137.59637806756055</v>
      </c>
      <c r="H94" s="4">
        <f t="shared" si="29"/>
        <v>140.4859020069793</v>
      </c>
      <c r="I94" s="4">
        <f t="shared" si="29"/>
        <v>143.43610594912587</v>
      </c>
      <c r="J94" s="4">
        <f t="shared" si="29"/>
        <v>146.4482641740575</v>
      </c>
      <c r="K94" s="4">
        <f t="shared" si="29"/>
        <v>149.52367772171266</v>
      </c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</row>
    <row r="95" spans="1:33"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</row>
    <row r="96" spans="1:33"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</row>
    <row r="97" spans="1:33">
      <c r="A97" s="84" t="s">
        <v>87</v>
      </c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</row>
    <row r="98" spans="1:33">
      <c r="A98" s="119">
        <v>0.1172</v>
      </c>
      <c r="B98" s="119"/>
      <c r="C98" s="119"/>
      <c r="D98" s="119"/>
      <c r="E98" s="119"/>
      <c r="F98" s="119"/>
      <c r="G98" s="119"/>
      <c r="H98" s="119"/>
      <c r="I98" s="119"/>
      <c r="J98" s="119"/>
      <c r="K98" s="119"/>
    </row>
    <row r="99" spans="1:33">
      <c r="A99" s="85" t="s">
        <v>495</v>
      </c>
      <c r="B99" s="86">
        <v>1.8486842105263162</v>
      </c>
      <c r="C99" s="86">
        <v>2.6823308270676698</v>
      </c>
      <c r="D99" s="86">
        <v>3.8571428571428577</v>
      </c>
      <c r="E99" s="86">
        <v>69.646616541353396</v>
      </c>
      <c r="F99" s="86">
        <v>135.43609022556393</v>
      </c>
      <c r="G99" s="86">
        <v>135.43609022556393</v>
      </c>
      <c r="H99" s="86">
        <v>135.43609022556393</v>
      </c>
      <c r="I99" s="86">
        <v>135.43609022556393</v>
      </c>
      <c r="J99" s="86">
        <v>135.43609022556393</v>
      </c>
      <c r="K99" s="87">
        <v>135.43609022556393</v>
      </c>
    </row>
    <row r="100" spans="1:33">
      <c r="A100" s="85" t="s">
        <v>497</v>
      </c>
      <c r="B100" s="86">
        <v>776.94235588972435</v>
      </c>
      <c r="C100" s="86">
        <v>388.47117794486218</v>
      </c>
      <c r="D100" s="86">
        <v>388.47117794486218</v>
      </c>
      <c r="E100" s="86">
        <v>394.73684210526318</v>
      </c>
      <c r="F100" s="86">
        <v>401.00250626566418</v>
      </c>
      <c r="G100" s="86">
        <v>463.65914786967426</v>
      </c>
      <c r="H100" s="86">
        <v>588.9724310776943</v>
      </c>
      <c r="I100" s="86">
        <v>714.28571428571433</v>
      </c>
      <c r="J100" s="86">
        <v>776.94235588972435</v>
      </c>
      <c r="K100" s="87">
        <v>776.94235588972435</v>
      </c>
    </row>
    <row r="101" spans="1:33">
      <c r="A101" s="85" t="s">
        <v>499</v>
      </c>
      <c r="B101" s="86">
        <v>24.027459954233411</v>
      </c>
      <c r="C101" s="86">
        <v>62.35697940503433</v>
      </c>
      <c r="D101" s="86">
        <v>153.89016018306637</v>
      </c>
      <c r="E101" s="86">
        <v>405.60640732265449</v>
      </c>
      <c r="F101" s="86">
        <v>497.13958810068652</v>
      </c>
      <c r="G101" s="86">
        <v>497.13958810068652</v>
      </c>
      <c r="H101" s="86">
        <v>497.13958810068652</v>
      </c>
      <c r="I101" s="86">
        <v>497.13958810068652</v>
      </c>
      <c r="J101" s="86">
        <v>497.13958810068652</v>
      </c>
      <c r="K101" s="87">
        <v>497.13958810068652</v>
      </c>
    </row>
    <row r="102" spans="1:33" ht="15.75" thickBot="1">
      <c r="A102" s="88" t="s">
        <v>501</v>
      </c>
      <c r="B102" s="89">
        <v>24.198427102238359</v>
      </c>
      <c r="C102" s="89">
        <v>120.99213551119179</v>
      </c>
      <c r="D102" s="89">
        <v>193.58741681790687</v>
      </c>
      <c r="E102" s="89">
        <v>217.78584392014523</v>
      </c>
      <c r="F102" s="89">
        <v>217.78584392014523</v>
      </c>
      <c r="G102" s="89">
        <v>217.78584392014523</v>
      </c>
      <c r="H102" s="89">
        <v>217.78584392014523</v>
      </c>
      <c r="I102" s="89">
        <v>217.78584392014523</v>
      </c>
      <c r="J102" s="89">
        <v>217.78584392014523</v>
      </c>
      <c r="K102" s="90">
        <v>217.78584392014523</v>
      </c>
    </row>
    <row r="104" spans="1:33">
      <c r="A104" s="5" t="s">
        <v>495</v>
      </c>
      <c r="B104" s="77">
        <f t="shared" ref="B104:K104" si="30">B99*$A$98*B$3</f>
        <v>0.21666578947368426</v>
      </c>
      <c r="C104" s="4">
        <f t="shared" si="30"/>
        <v>0.32191403308270689</v>
      </c>
      <c r="D104" s="4">
        <f t="shared" si="30"/>
        <v>0.47262755108571436</v>
      </c>
      <c r="E104" s="4">
        <f t="shared" si="30"/>
        <v>8.713227943132198</v>
      </c>
      <c r="F104" s="4">
        <f t="shared" si="30"/>
        <v>17.299725122894603</v>
      </c>
      <c r="G104" s="4">
        <f t="shared" si="30"/>
        <v>17.663019350475388</v>
      </c>
      <c r="H104" s="4">
        <f t="shared" si="30"/>
        <v>18.033942756835369</v>
      </c>
      <c r="I104" s="4">
        <f t="shared" si="30"/>
        <v>18.412655554728911</v>
      </c>
      <c r="J104" s="4">
        <f t="shared" si="30"/>
        <v>18.799321321378216</v>
      </c>
      <c r="K104" s="4">
        <f t="shared" si="30"/>
        <v>19.194107069127156</v>
      </c>
    </row>
    <row r="105" spans="1:33">
      <c r="A105" s="5" t="s">
        <v>497</v>
      </c>
      <c r="B105" s="4">
        <f t="shared" ref="B105:K105" si="31">B100*$A$98*B$3</f>
        <v>91.057644110275689</v>
      </c>
      <c r="C105" s="4">
        <f t="shared" si="31"/>
        <v>46.62151378446115</v>
      </c>
      <c r="D105" s="4">
        <f t="shared" si="31"/>
        <v>47.600565573934837</v>
      </c>
      <c r="E105" s="4">
        <f t="shared" si="31"/>
        <v>49.384051280842101</v>
      </c>
      <c r="F105" s="4">
        <f t="shared" si="31"/>
        <v>51.221451538021363</v>
      </c>
      <c r="G105" s="4">
        <f t="shared" si="31"/>
        <v>60.468524210994786</v>
      </c>
      <c r="H105" s="4">
        <f t="shared" si="31"/>
        <v>78.424407332783957</v>
      </c>
      <c r="I105" s="4">
        <f t="shared" si="31"/>
        <v>97.107770926511222</v>
      </c>
      <c r="J105" s="4">
        <f t="shared" si="31"/>
        <v>107.8441423717546</v>
      </c>
      <c r="K105" s="4">
        <f t="shared" si="31"/>
        <v>110.10886936156143</v>
      </c>
    </row>
    <row r="106" spans="1:33">
      <c r="A106" s="5" t="s">
        <v>499</v>
      </c>
      <c r="B106" s="4">
        <f t="shared" ref="B106:K106" si="32">B101*$A$98*B$3</f>
        <v>2.8160183066361557</v>
      </c>
      <c r="C106" s="4">
        <f t="shared" si="32"/>
        <v>7.4836356979405041</v>
      </c>
      <c r="D106" s="4">
        <f t="shared" si="32"/>
        <v>18.856633585354693</v>
      </c>
      <c r="E106" s="4">
        <f t="shared" si="32"/>
        <v>50.743901968285584</v>
      </c>
      <c r="F106" s="4">
        <f t="shared" si="32"/>
        <v>63.501376978080962</v>
      </c>
      <c r="G106" s="4">
        <f t="shared" si="32"/>
        <v>64.834905894620661</v>
      </c>
      <c r="H106" s="4">
        <f t="shared" si="32"/>
        <v>66.196438918407694</v>
      </c>
      <c r="I106" s="4">
        <f t="shared" si="32"/>
        <v>67.586564135694246</v>
      </c>
      <c r="J106" s="4">
        <f t="shared" si="32"/>
        <v>69.005881982543812</v>
      </c>
      <c r="K106" s="4">
        <f t="shared" si="32"/>
        <v>70.455005504177223</v>
      </c>
    </row>
    <row r="107" spans="1:33" ht="15.75" thickBot="1">
      <c r="A107" s="68" t="s">
        <v>501</v>
      </c>
      <c r="B107" s="4">
        <f t="shared" ref="B107:K107" si="33">B102*$A$98*B$3</f>
        <v>2.8360556563823356</v>
      </c>
      <c r="C107" s="4">
        <f t="shared" si="33"/>
        <v>14.520604960677558</v>
      </c>
      <c r="D107" s="4">
        <f t="shared" si="33"/>
        <v>23.720860263762859</v>
      </c>
      <c r="E107" s="4">
        <f t="shared" si="33"/>
        <v>27.246373120464611</v>
      </c>
      <c r="F107" s="4">
        <f t="shared" si="33"/>
        <v>27.818546955994361</v>
      </c>
      <c r="G107" s="4">
        <f t="shared" si="33"/>
        <v>28.402736442070243</v>
      </c>
      <c r="H107" s="4">
        <f t="shared" si="33"/>
        <v>28.999193907353714</v>
      </c>
      <c r="I107" s="4">
        <f t="shared" si="33"/>
        <v>29.608176979408142</v>
      </c>
      <c r="J107" s="4">
        <f t="shared" si="33"/>
        <v>30.229948695975708</v>
      </c>
      <c r="K107" s="4">
        <f t="shared" si="33"/>
        <v>30.864777618591194</v>
      </c>
    </row>
    <row r="110" spans="1:33">
      <c r="A110" s="84" t="s">
        <v>88</v>
      </c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</row>
    <row r="111" spans="1:33">
      <c r="A111" s="119">
        <v>0.12889999999999999</v>
      </c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</row>
    <row r="112" spans="1:33">
      <c r="A112" s="85" t="s">
        <v>489</v>
      </c>
      <c r="B112" s="74">
        <v>130.13698630136989</v>
      </c>
      <c r="C112" s="74">
        <v>166.18601297764963</v>
      </c>
      <c r="D112" s="74">
        <v>166.18601297764963</v>
      </c>
      <c r="E112" s="74">
        <v>166.18601297764963</v>
      </c>
      <c r="F112" s="74">
        <v>166.18601297764963</v>
      </c>
      <c r="G112" s="74">
        <v>166.18601297764963</v>
      </c>
      <c r="H112" s="74">
        <v>166.18601297764963</v>
      </c>
      <c r="I112" s="74">
        <v>166.18601297764963</v>
      </c>
      <c r="J112" s="74">
        <v>166.18601297764963</v>
      </c>
      <c r="K112" s="74">
        <v>166.18601297764963</v>
      </c>
      <c r="L112" s="119"/>
      <c r="M112" s="119"/>
      <c r="N112" s="119"/>
      <c r="O112" s="119"/>
    </row>
    <row r="113" spans="1:42">
      <c r="A113" s="85" t="s">
        <v>491</v>
      </c>
      <c r="B113" s="74">
        <v>0</v>
      </c>
      <c r="C113" s="74">
        <v>6.2656641604010028</v>
      </c>
      <c r="D113" s="74">
        <v>12.531328320802006</v>
      </c>
      <c r="E113" s="74">
        <v>25.062656641604011</v>
      </c>
      <c r="F113" s="74">
        <v>37.593984962406019</v>
      </c>
      <c r="G113" s="74">
        <v>50.125313283208023</v>
      </c>
      <c r="H113" s="74">
        <v>206.76691729323309</v>
      </c>
      <c r="I113" s="74">
        <v>363.40852130325817</v>
      </c>
      <c r="J113" s="74">
        <v>363.40852130325817</v>
      </c>
      <c r="K113" s="74">
        <v>363.40852130325817</v>
      </c>
      <c r="L113" s="119"/>
      <c r="M113" s="119"/>
      <c r="N113" s="119"/>
      <c r="O113" s="119"/>
    </row>
    <row r="114" spans="1:42" ht="15.75" thickBot="1">
      <c r="A114" s="88" t="s">
        <v>493</v>
      </c>
      <c r="B114" s="74">
        <v>0</v>
      </c>
      <c r="C114" s="74">
        <v>0</v>
      </c>
      <c r="D114" s="74">
        <v>2.7995520716685327</v>
      </c>
      <c r="E114" s="74">
        <v>5.5991041433370654</v>
      </c>
      <c r="F114" s="74">
        <v>44.792833146696523</v>
      </c>
      <c r="G114" s="74">
        <v>83.986562150055988</v>
      </c>
      <c r="H114" s="74">
        <v>83.986562150055988</v>
      </c>
      <c r="I114" s="74">
        <v>83.986562150055988</v>
      </c>
      <c r="J114" s="74">
        <v>83.986562150055988</v>
      </c>
      <c r="K114" s="74">
        <v>83.986562150055988</v>
      </c>
      <c r="L114" s="119"/>
      <c r="M114" s="119"/>
      <c r="N114" s="119"/>
      <c r="O114" s="119"/>
    </row>
    <row r="116" spans="1:42">
      <c r="A116" s="5" t="s">
        <v>489</v>
      </c>
      <c r="B116" s="119">
        <f t="shared" ref="B116:K116" si="34">B112*$A$111*B$3</f>
        <v>16.774657534246575</v>
      </c>
      <c r="C116" s="119">
        <f t="shared" si="34"/>
        <v>21.935490122566691</v>
      </c>
      <c r="D116" s="119">
        <f t="shared" si="34"/>
        <v>22.396135415140591</v>
      </c>
      <c r="E116" s="119">
        <f t="shared" si="34"/>
        <v>22.866454258858539</v>
      </c>
      <c r="F116" s="119">
        <f t="shared" si="34"/>
        <v>23.346649798294568</v>
      </c>
      <c r="G116" s="119">
        <f t="shared" si="34"/>
        <v>23.83692944405875</v>
      </c>
      <c r="H116" s="119">
        <f t="shared" si="34"/>
        <v>24.337504962383981</v>
      </c>
      <c r="I116" s="119">
        <f t="shared" si="34"/>
        <v>24.848592566594043</v>
      </c>
      <c r="J116" s="119">
        <f t="shared" si="34"/>
        <v>25.370413010492516</v>
      </c>
      <c r="K116" s="119">
        <f t="shared" si="34"/>
        <v>25.903191683712855</v>
      </c>
      <c r="L116" s="119"/>
      <c r="M116" s="119"/>
      <c r="N116" s="119"/>
      <c r="O116" s="119"/>
    </row>
    <row r="117" spans="1:42">
      <c r="A117" s="5" t="s">
        <v>491</v>
      </c>
      <c r="B117" s="119">
        <f t="shared" ref="B117:K117" si="35">B113*$A$111*B$3</f>
        <v>0</v>
      </c>
      <c r="C117" s="119">
        <f t="shared" si="35"/>
        <v>0.82702756892230567</v>
      </c>
      <c r="D117" s="119">
        <f t="shared" si="35"/>
        <v>1.6887902957393481</v>
      </c>
      <c r="E117" s="119">
        <f t="shared" si="35"/>
        <v>3.4485097838997487</v>
      </c>
      <c r="F117" s="119">
        <f t="shared" si="35"/>
        <v>5.2813927340424653</v>
      </c>
      <c r="G117" s="119">
        <f t="shared" si="35"/>
        <v>7.1897359752764745</v>
      </c>
      <c r="H117" s="119">
        <f t="shared" si="35"/>
        <v>30.280471776873778</v>
      </c>
      <c r="I117" s="119">
        <f t="shared" si="35"/>
        <v>54.337847808573073</v>
      </c>
      <c r="J117" s="119">
        <f t="shared" si="35"/>
        <v>55.478942612553098</v>
      </c>
      <c r="K117" s="119">
        <f t="shared" si="35"/>
        <v>56.644000407416705</v>
      </c>
      <c r="L117" s="119"/>
      <c r="M117" s="119"/>
      <c r="N117" s="119"/>
      <c r="O117" s="119"/>
    </row>
    <row r="118" spans="1:42" ht="15.75" thickBot="1">
      <c r="A118" s="68" t="s">
        <v>493</v>
      </c>
      <c r="B118" s="119">
        <f t="shared" ref="B118:K118" si="36">B114*$A$111*B$3</f>
        <v>0</v>
      </c>
      <c r="C118" s="119">
        <f t="shared" si="36"/>
        <v>0</v>
      </c>
      <c r="D118" s="119">
        <f t="shared" si="36"/>
        <v>0.37728293840985433</v>
      </c>
      <c r="E118" s="119">
        <f t="shared" si="36"/>
        <v>0.77041176023292246</v>
      </c>
      <c r="F118" s="119">
        <f t="shared" si="36"/>
        <v>6.2927232575825096</v>
      </c>
      <c r="G118" s="119">
        <f t="shared" si="36"/>
        <v>12.046632086234517</v>
      </c>
      <c r="H118" s="119">
        <f t="shared" si="36"/>
        <v>12.299611360045441</v>
      </c>
      <c r="I118" s="119">
        <f t="shared" si="36"/>
        <v>12.557903198606395</v>
      </c>
      <c r="J118" s="119">
        <f t="shared" si="36"/>
        <v>12.821619165777127</v>
      </c>
      <c r="K118" s="119">
        <f t="shared" si="36"/>
        <v>13.090873168258446</v>
      </c>
      <c r="L118" s="119"/>
      <c r="M118" s="119"/>
      <c r="N118" s="119"/>
      <c r="O118" s="119"/>
    </row>
    <row r="121" spans="1:42">
      <c r="A121" s="119"/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 t="s">
        <v>547</v>
      </c>
      <c r="M121" s="119">
        <v>8.9560165853492107E-2</v>
      </c>
      <c r="N121" s="119"/>
      <c r="O121" s="119"/>
      <c r="T121" t="s">
        <v>953</v>
      </c>
    </row>
    <row r="122" spans="1:42">
      <c r="A122" s="155"/>
      <c r="B122" s="155"/>
      <c r="C122" s="155"/>
      <c r="D122" s="155"/>
      <c r="E122" s="155"/>
      <c r="F122" s="155"/>
      <c r="G122" s="155"/>
      <c r="H122" s="155"/>
      <c r="I122" s="155"/>
      <c r="J122" s="155"/>
      <c r="K122" s="155"/>
      <c r="L122" s="155"/>
      <c r="M122" s="119" t="s">
        <v>92</v>
      </c>
      <c r="N122" s="155"/>
      <c r="O122" s="155"/>
      <c r="P122" s="155"/>
      <c r="Q122" s="155"/>
      <c r="T122" s="155"/>
      <c r="U122" s="155"/>
      <c r="V122" s="155"/>
      <c r="W122" s="155"/>
      <c r="X122" s="155"/>
      <c r="Y122" s="155"/>
      <c r="Z122" s="155"/>
      <c r="AA122" s="155"/>
      <c r="AB122" s="155"/>
      <c r="AC122" s="155"/>
      <c r="AD122" s="155"/>
      <c r="AE122" s="155"/>
      <c r="AF122" s="155"/>
      <c r="AG122" s="155"/>
      <c r="AH122" s="155"/>
      <c r="AI122" s="155"/>
      <c r="AJ122" s="155"/>
      <c r="AK122" s="155"/>
      <c r="AL122" s="155"/>
      <c r="AM122" s="155"/>
      <c r="AN122" s="155"/>
      <c r="AO122" s="155"/>
      <c r="AP122" s="155"/>
    </row>
    <row r="123" spans="1:42">
      <c r="A123" s="119"/>
      <c r="B123" s="123">
        <v>2025</v>
      </c>
      <c r="C123" s="123">
        <v>2026</v>
      </c>
      <c r="D123" s="123">
        <v>2027</v>
      </c>
      <c r="E123" s="123">
        <v>2028</v>
      </c>
      <c r="F123" s="123">
        <v>2029</v>
      </c>
      <c r="G123" s="123">
        <v>2030</v>
      </c>
      <c r="H123" s="123">
        <v>2031</v>
      </c>
      <c r="I123" s="123">
        <v>2032</v>
      </c>
      <c r="J123" s="123">
        <v>2033</v>
      </c>
      <c r="K123" s="123">
        <v>2034</v>
      </c>
      <c r="L123" s="119" t="s">
        <v>13</v>
      </c>
      <c r="M123" t="s">
        <v>11</v>
      </c>
      <c r="N123" s="119" t="s">
        <v>9</v>
      </c>
      <c r="O123" s="119" t="s">
        <v>8</v>
      </c>
      <c r="P123" t="s">
        <v>7</v>
      </c>
      <c r="Q123" t="s">
        <v>954</v>
      </c>
    </row>
    <row r="124" spans="1:42">
      <c r="A124" s="7" t="s">
        <v>488</v>
      </c>
      <c r="B124" s="4">
        <f t="shared" ref="B124:K133" si="37">SUMIFS(B$116:B$118,$A$116:$A$118,$A124)+SUMIFS(B$104:B$107,$A$104:$A$107,$A124)+SUMIFS(B$82:B$94,$A$82:$A$94,$A124)+SUMIFS(B$5:B$63,$A$5:$A$63,$A124)</f>
        <v>1.7052468047094611</v>
      </c>
      <c r="C124" s="4">
        <f t="shared" si="37"/>
        <v>1.7461727280224881</v>
      </c>
      <c r="D124" s="4">
        <f t="shared" si="37"/>
        <v>1.7828423553109605</v>
      </c>
      <c r="E124" s="4">
        <f t="shared" si="37"/>
        <v>1.8202820447724903</v>
      </c>
      <c r="F124" s="4">
        <f t="shared" si="37"/>
        <v>1.8585079677127123</v>
      </c>
      <c r="G124" s="4">
        <f t="shared" si="37"/>
        <v>1.8975366350346794</v>
      </c>
      <c r="H124" s="4">
        <f t="shared" si="37"/>
        <v>1.9373849043704072</v>
      </c>
      <c r="I124" s="4">
        <f t="shared" si="37"/>
        <v>1.9780699873621856</v>
      </c>
      <c r="J124" s="4">
        <f t="shared" si="37"/>
        <v>2.0196094570967915</v>
      </c>
      <c r="K124" s="4">
        <f t="shared" si="37"/>
        <v>2.0620212556958237</v>
      </c>
      <c r="L124" s="4">
        <f t="shared" ref="L124:L155" si="38">NPV($M$121,B124:K124)/((1-(1+$M$121)^-10)/$M$121)</f>
        <v>1.8533204143941524</v>
      </c>
      <c r="M124" s="4">
        <v>16000</v>
      </c>
      <c r="N124" s="119">
        <f>SUMIFS('O&amp;R KW'!C$2:C$27,'O&amp;R KW'!B$2:B$27,'O&amp;R'!A124)*1000</f>
        <v>0</v>
      </c>
      <c r="O124" s="155">
        <f>SUMIFS('O&amp;R KW'!$C$29:$C$32,'O&amp;R KW'!$B$29:$B$32,'O&amp;R'!A124)*1000</f>
        <v>0</v>
      </c>
      <c r="P124" s="155">
        <f>SUMIFS('O&amp;R KW'!$C$34:$C$36,'O&amp;R KW'!$B$34:$B$36,'O&amp;R'!A124)*1000</f>
        <v>0</v>
      </c>
      <c r="Q124" s="4">
        <f>SUM(M124:P124)</f>
        <v>16000</v>
      </c>
      <c r="T124">
        <v>1.7052468047094611</v>
      </c>
      <c r="U124">
        <v>1.7461727280224881</v>
      </c>
      <c r="V124">
        <v>1.7828423553109605</v>
      </c>
      <c r="W124">
        <v>1.8202820447724903</v>
      </c>
      <c r="X124">
        <v>1.8585079677127123</v>
      </c>
      <c r="Y124">
        <v>1.8975366350346794</v>
      </c>
      <c r="Z124">
        <v>1.9373849043704072</v>
      </c>
      <c r="AA124">
        <v>1.9780699873621856</v>
      </c>
      <c r="AB124">
        <v>2.0196094570967915</v>
      </c>
      <c r="AC124">
        <v>2.0620212556958237</v>
      </c>
      <c r="AG124" s="177">
        <f t="shared" ref="AG124:AG155" si="39">T124-B124</f>
        <v>0</v>
      </c>
      <c r="AH124" s="177">
        <f t="shared" ref="AH124:AH155" si="40">U124-C124</f>
        <v>0</v>
      </c>
      <c r="AI124" s="177">
        <f t="shared" ref="AI124:AI155" si="41">V124-D124</f>
        <v>0</v>
      </c>
      <c r="AJ124" s="177">
        <f t="shared" ref="AJ124:AJ155" si="42">W124-E124</f>
        <v>0</v>
      </c>
      <c r="AK124" s="177">
        <f t="shared" ref="AK124:AK155" si="43">X124-F124</f>
        <v>0</v>
      </c>
      <c r="AL124" s="177">
        <f t="shared" ref="AL124:AL155" si="44">Y124-G124</f>
        <v>0</v>
      </c>
      <c r="AM124" s="177">
        <f t="shared" ref="AM124:AM155" si="45">Z124-H124</f>
        <v>0</v>
      </c>
      <c r="AN124" s="177">
        <f t="shared" ref="AN124:AN155" si="46">AA124-I124</f>
        <v>0</v>
      </c>
      <c r="AO124" s="177">
        <f t="shared" ref="AO124:AO155" si="47">AB124-J124</f>
        <v>0</v>
      </c>
      <c r="AP124" s="177">
        <f t="shared" ref="AP124:AP155" si="48">AC124-K124</f>
        <v>0</v>
      </c>
    </row>
    <row r="125" spans="1:42">
      <c r="A125" s="7" t="s">
        <v>490</v>
      </c>
      <c r="B125" s="4">
        <f t="shared" si="37"/>
        <v>20.396474874884898</v>
      </c>
      <c r="C125" s="4">
        <f t="shared" si="37"/>
        <v>20.885990271882136</v>
      </c>
      <c r="D125" s="4">
        <f t="shared" si="37"/>
        <v>30.767040088231496</v>
      </c>
      <c r="E125" s="4">
        <f t="shared" si="37"/>
        <v>29.044979976857167</v>
      </c>
      <c r="F125" s="4">
        <f t="shared" si="37"/>
        <v>29.654924556371164</v>
      </c>
      <c r="G125" s="4">
        <f t="shared" si="37"/>
        <v>30.27767797205496</v>
      </c>
      <c r="H125" s="4">
        <f t="shared" si="37"/>
        <v>30.91350920946811</v>
      </c>
      <c r="I125" s="4">
        <f t="shared" si="37"/>
        <v>31.562692902866939</v>
      </c>
      <c r="J125" s="4">
        <f t="shared" si="37"/>
        <v>32.225509453827144</v>
      </c>
      <c r="K125" s="4">
        <f t="shared" si="37"/>
        <v>32.902245152357501</v>
      </c>
      <c r="L125" s="4">
        <f t="shared" si="38"/>
        <v>27.964642424209767</v>
      </c>
      <c r="M125" s="4">
        <v>16000</v>
      </c>
      <c r="N125" s="155">
        <f>SUMIFS('O&amp;R KW'!C$2:C$27,'O&amp;R KW'!B$2:B$27,'O&amp;R'!A125)*1000</f>
        <v>11988.999999999998</v>
      </c>
      <c r="O125" s="155">
        <f>SUMIFS('O&amp;R KW'!C$29:C$32,'O&amp;R KW'!B$29:B$32,'O&amp;R'!A125)*1000</f>
        <v>0</v>
      </c>
      <c r="P125" s="155">
        <f>SUMIFS('O&amp;R KW'!$C$34:$C$36,'O&amp;R KW'!$B$34:$B$36,'O&amp;R'!A125)*1000</f>
        <v>0</v>
      </c>
      <c r="Q125" s="4">
        <f t="shared" ref="Q125:Q182" si="49">SUM(M125:P125)</f>
        <v>27989</v>
      </c>
      <c r="T125">
        <v>20.39695204186798</v>
      </c>
      <c r="U125">
        <v>20.886478890872809</v>
      </c>
      <c r="V125">
        <v>30.767780023678078</v>
      </c>
      <c r="W125">
        <v>29.045674994163083</v>
      </c>
      <c r="X125">
        <v>29.6556341690405</v>
      </c>
      <c r="Y125">
        <v>30.278402486590352</v>
      </c>
      <c r="Z125">
        <v>30.914248938808747</v>
      </c>
      <c r="AA125">
        <v>31.563448166523727</v>
      </c>
      <c r="AB125">
        <v>32.22628057802072</v>
      </c>
      <c r="AC125">
        <v>32.903032470159154</v>
      </c>
      <c r="AG125" s="177">
        <f t="shared" si="39"/>
        <v>4.7716698308164496E-4</v>
      </c>
      <c r="AH125" s="177">
        <f t="shared" si="40"/>
        <v>4.8861899067276227E-4</v>
      </c>
      <c r="AI125" s="177">
        <f t="shared" si="41"/>
        <v>7.3993544658179644E-4</v>
      </c>
      <c r="AJ125" s="177">
        <f t="shared" si="42"/>
        <v>6.9501730591525757E-4</v>
      </c>
      <c r="AK125" s="177">
        <f t="shared" si="43"/>
        <v>7.0961266933622369E-4</v>
      </c>
      <c r="AL125" s="177">
        <f t="shared" si="44"/>
        <v>7.2451453539201793E-4</v>
      </c>
      <c r="AM125" s="177">
        <f t="shared" si="45"/>
        <v>7.3972934063704088E-4</v>
      </c>
      <c r="AN125" s="177">
        <f t="shared" si="46"/>
        <v>7.5526365678868501E-4</v>
      </c>
      <c r="AO125" s="177">
        <f t="shared" si="47"/>
        <v>7.7112419357661111E-4</v>
      </c>
      <c r="AP125" s="177">
        <f t="shared" si="48"/>
        <v>7.8731780165242071E-4</v>
      </c>
    </row>
    <row r="126" spans="1:42">
      <c r="A126" s="7" t="s">
        <v>492</v>
      </c>
      <c r="B126" s="4">
        <f t="shared" si="37"/>
        <v>1.7052468047094611</v>
      </c>
      <c r="C126" s="4">
        <f t="shared" si="37"/>
        <v>1.7461727280224881</v>
      </c>
      <c r="D126" s="4">
        <f t="shared" si="37"/>
        <v>1.7828423553109605</v>
      </c>
      <c r="E126" s="4">
        <f t="shared" si="37"/>
        <v>1.8202820447724903</v>
      </c>
      <c r="F126" s="4">
        <f t="shared" si="37"/>
        <v>1.8585079677127123</v>
      </c>
      <c r="G126" s="4">
        <f t="shared" si="37"/>
        <v>1.8975366350346794</v>
      </c>
      <c r="H126" s="4">
        <f t="shared" si="37"/>
        <v>1.9373849043704072</v>
      </c>
      <c r="I126" s="4">
        <f t="shared" si="37"/>
        <v>1.9780699873621856</v>
      </c>
      <c r="J126" s="4">
        <f t="shared" si="37"/>
        <v>2.0196094570967915</v>
      </c>
      <c r="K126" s="4">
        <f t="shared" si="37"/>
        <v>2.0620212556958237</v>
      </c>
      <c r="L126" s="4">
        <f t="shared" si="38"/>
        <v>1.8533204143941524</v>
      </c>
      <c r="M126" s="4">
        <v>16000</v>
      </c>
      <c r="N126" s="155">
        <f>SUMIFS('O&amp;R KW'!C$2:C$27,'O&amp;R KW'!B$2:B$27,'O&amp;R'!A126)*1000</f>
        <v>0</v>
      </c>
      <c r="O126" s="155">
        <f>SUMIFS('O&amp;R KW'!C$29:C$32,'O&amp;R KW'!B$29:B$32,'O&amp;R'!A126)*1000</f>
        <v>0</v>
      </c>
      <c r="P126" s="155">
        <f>SUMIFS('O&amp;R KW'!$C$34:$C$36,'O&amp;R KW'!$B$34:$B$36,'O&amp;R'!A126)*1000</f>
        <v>0</v>
      </c>
      <c r="Q126" s="4">
        <f t="shared" si="49"/>
        <v>16000</v>
      </c>
      <c r="T126">
        <v>1.7052468047094611</v>
      </c>
      <c r="U126">
        <v>1.7461727280224881</v>
      </c>
      <c r="V126">
        <v>1.7828423553109605</v>
      </c>
      <c r="W126">
        <v>1.8202820447724903</v>
      </c>
      <c r="X126">
        <v>1.8585079677127123</v>
      </c>
      <c r="Y126">
        <v>1.8975366350346794</v>
      </c>
      <c r="Z126">
        <v>1.9373849043704072</v>
      </c>
      <c r="AA126">
        <v>1.9780699873621856</v>
      </c>
      <c r="AB126">
        <v>2.0196094570967915</v>
      </c>
      <c r="AC126">
        <v>2.0620212556958237</v>
      </c>
      <c r="AG126" s="177">
        <f t="shared" si="39"/>
        <v>0</v>
      </c>
      <c r="AH126" s="177">
        <f t="shared" si="40"/>
        <v>0</v>
      </c>
      <c r="AI126" s="177">
        <f t="shared" si="41"/>
        <v>0</v>
      </c>
      <c r="AJ126" s="177">
        <f t="shared" si="42"/>
        <v>0</v>
      </c>
      <c r="AK126" s="177">
        <f t="shared" si="43"/>
        <v>0</v>
      </c>
      <c r="AL126" s="177">
        <f t="shared" si="44"/>
        <v>0</v>
      </c>
      <c r="AM126" s="177">
        <f t="shared" si="45"/>
        <v>0</v>
      </c>
      <c r="AN126" s="177">
        <f t="shared" si="46"/>
        <v>0</v>
      </c>
      <c r="AO126" s="177">
        <f t="shared" si="47"/>
        <v>0</v>
      </c>
      <c r="AP126" s="177">
        <f t="shared" si="48"/>
        <v>0</v>
      </c>
    </row>
    <row r="127" spans="1:42">
      <c r="A127" s="7" t="s">
        <v>494</v>
      </c>
      <c r="B127" s="4">
        <f t="shared" si="37"/>
        <v>1.7052468047094611</v>
      </c>
      <c r="C127" s="4">
        <f t="shared" si="37"/>
        <v>1.7461727280224881</v>
      </c>
      <c r="D127" s="4">
        <f t="shared" si="37"/>
        <v>1.7828423553109605</v>
      </c>
      <c r="E127" s="4">
        <f t="shared" si="37"/>
        <v>1.8202820447724903</v>
      </c>
      <c r="F127" s="4">
        <f t="shared" si="37"/>
        <v>1.8585079677127123</v>
      </c>
      <c r="G127" s="4">
        <f t="shared" si="37"/>
        <v>1.8975366350346794</v>
      </c>
      <c r="H127" s="4">
        <f t="shared" si="37"/>
        <v>1.9373849043704072</v>
      </c>
      <c r="I127" s="4">
        <f t="shared" si="37"/>
        <v>1.9780699873621856</v>
      </c>
      <c r="J127" s="4">
        <f t="shared" si="37"/>
        <v>2.0196094570967915</v>
      </c>
      <c r="K127" s="4">
        <f t="shared" si="37"/>
        <v>2.0620212556958237</v>
      </c>
      <c r="L127" s="4">
        <f t="shared" si="38"/>
        <v>1.8533204143941524</v>
      </c>
      <c r="M127" s="4">
        <v>16000</v>
      </c>
      <c r="N127" s="155">
        <f>SUMIFS('O&amp;R KW'!C$2:C$27,'O&amp;R KW'!B$2:B$27,'O&amp;R'!A127)*1000</f>
        <v>0</v>
      </c>
      <c r="O127" s="155">
        <f>SUMIFS('O&amp;R KW'!C$29:C$32,'O&amp;R KW'!B$29:B$32,'O&amp;R'!A127)*1000</f>
        <v>0</v>
      </c>
      <c r="P127" s="155">
        <f>SUMIFS('O&amp;R KW'!$C$34:$C$36,'O&amp;R KW'!$B$34:$B$36,'O&amp;R'!A127)*1000</f>
        <v>0</v>
      </c>
      <c r="Q127" s="4">
        <f t="shared" si="49"/>
        <v>16000</v>
      </c>
      <c r="T127">
        <v>1.7052468047094611</v>
      </c>
      <c r="U127">
        <v>1.7461727280224881</v>
      </c>
      <c r="V127">
        <v>1.7828423553109605</v>
      </c>
      <c r="W127">
        <v>1.8202820447724903</v>
      </c>
      <c r="X127">
        <v>1.8585079677127123</v>
      </c>
      <c r="Y127">
        <v>1.8975366350346794</v>
      </c>
      <c r="Z127">
        <v>1.9373849043704072</v>
      </c>
      <c r="AA127">
        <v>1.9780699873621856</v>
      </c>
      <c r="AB127">
        <v>2.0196094570967915</v>
      </c>
      <c r="AC127">
        <v>2.0620212556958237</v>
      </c>
      <c r="AG127" s="177">
        <f t="shared" si="39"/>
        <v>0</v>
      </c>
      <c r="AH127" s="177">
        <f t="shared" si="40"/>
        <v>0</v>
      </c>
      <c r="AI127" s="177">
        <f t="shared" si="41"/>
        <v>0</v>
      </c>
      <c r="AJ127" s="177">
        <f t="shared" si="42"/>
        <v>0</v>
      </c>
      <c r="AK127" s="177">
        <f t="shared" si="43"/>
        <v>0</v>
      </c>
      <c r="AL127" s="177">
        <f t="shared" si="44"/>
        <v>0</v>
      </c>
      <c r="AM127" s="177">
        <f t="shared" si="45"/>
        <v>0</v>
      </c>
      <c r="AN127" s="177">
        <f t="shared" si="46"/>
        <v>0</v>
      </c>
      <c r="AO127" s="177">
        <f t="shared" si="47"/>
        <v>0</v>
      </c>
      <c r="AP127" s="177">
        <f t="shared" si="48"/>
        <v>0</v>
      </c>
    </row>
    <row r="128" spans="1:42">
      <c r="A128" s="7" t="s">
        <v>496</v>
      </c>
      <c r="B128" s="4">
        <f t="shared" si="37"/>
        <v>1.7052468047094611</v>
      </c>
      <c r="C128" s="4">
        <f t="shared" si="37"/>
        <v>1.7461727280224881</v>
      </c>
      <c r="D128" s="4">
        <f t="shared" si="37"/>
        <v>1.7828423553109605</v>
      </c>
      <c r="E128" s="4">
        <f t="shared" si="37"/>
        <v>1.8202820447724903</v>
      </c>
      <c r="F128" s="4">
        <f t="shared" si="37"/>
        <v>1.8585079677127123</v>
      </c>
      <c r="G128" s="4">
        <f t="shared" si="37"/>
        <v>1.8975366350346794</v>
      </c>
      <c r="H128" s="4">
        <f t="shared" si="37"/>
        <v>1.9373849043704072</v>
      </c>
      <c r="I128" s="4">
        <f t="shared" si="37"/>
        <v>1.9780699873621856</v>
      </c>
      <c r="J128" s="4">
        <f t="shared" si="37"/>
        <v>2.0196094570967915</v>
      </c>
      <c r="K128" s="4">
        <f t="shared" si="37"/>
        <v>2.0620212556958237</v>
      </c>
      <c r="L128" s="4">
        <f t="shared" si="38"/>
        <v>1.8533204143941524</v>
      </c>
      <c r="M128" s="4">
        <v>16000</v>
      </c>
      <c r="N128" s="155">
        <f>SUMIFS('O&amp;R KW'!C$2:C$27,'O&amp;R KW'!B$2:B$27,'O&amp;R'!A128)*1000</f>
        <v>0</v>
      </c>
      <c r="O128" s="155">
        <f>SUMIFS('O&amp;R KW'!C$29:C$32,'O&amp;R KW'!B$29:B$32,'O&amp;R'!A128)*1000</f>
        <v>0</v>
      </c>
      <c r="P128" s="155">
        <f>SUMIFS('O&amp;R KW'!$C$34:$C$36,'O&amp;R KW'!$B$34:$B$36,'O&amp;R'!A128)*1000</f>
        <v>0</v>
      </c>
      <c r="Q128" s="4">
        <f t="shared" si="49"/>
        <v>16000</v>
      </c>
      <c r="T128">
        <v>1.7052468047094611</v>
      </c>
      <c r="U128">
        <v>1.7461727280224881</v>
      </c>
      <c r="V128">
        <v>1.7828423553109605</v>
      </c>
      <c r="W128">
        <v>1.8202820447724903</v>
      </c>
      <c r="X128">
        <v>1.8585079677127123</v>
      </c>
      <c r="Y128">
        <v>1.8975366350346794</v>
      </c>
      <c r="Z128">
        <v>1.9373849043704072</v>
      </c>
      <c r="AA128">
        <v>1.9780699873621856</v>
      </c>
      <c r="AB128">
        <v>2.0196094570967915</v>
      </c>
      <c r="AC128">
        <v>2.0620212556958237</v>
      </c>
      <c r="AG128" s="177">
        <f t="shared" si="39"/>
        <v>0</v>
      </c>
      <c r="AH128" s="177">
        <f t="shared" si="40"/>
        <v>0</v>
      </c>
      <c r="AI128" s="177">
        <f t="shared" si="41"/>
        <v>0</v>
      </c>
      <c r="AJ128" s="177">
        <f t="shared" si="42"/>
        <v>0</v>
      </c>
      <c r="AK128" s="177">
        <f t="shared" si="43"/>
        <v>0</v>
      </c>
      <c r="AL128" s="177">
        <f t="shared" si="44"/>
        <v>0</v>
      </c>
      <c r="AM128" s="177">
        <f t="shared" si="45"/>
        <v>0</v>
      </c>
      <c r="AN128" s="177">
        <f t="shared" si="46"/>
        <v>0</v>
      </c>
      <c r="AO128" s="177">
        <f t="shared" si="47"/>
        <v>0</v>
      </c>
      <c r="AP128" s="177">
        <f t="shared" si="48"/>
        <v>0</v>
      </c>
    </row>
    <row r="129" spans="1:42">
      <c r="A129" s="7" t="s">
        <v>498</v>
      </c>
      <c r="B129" s="4">
        <f t="shared" si="37"/>
        <v>1.7052468047094611</v>
      </c>
      <c r="C129" s="4">
        <f t="shared" si="37"/>
        <v>1.7461727280224881</v>
      </c>
      <c r="D129" s="4">
        <f t="shared" si="37"/>
        <v>1.7828423553109605</v>
      </c>
      <c r="E129" s="4">
        <f t="shared" si="37"/>
        <v>1.8202820447724903</v>
      </c>
      <c r="F129" s="4">
        <f t="shared" si="37"/>
        <v>127.70329735201297</v>
      </c>
      <c r="G129" s="4">
        <f t="shared" si="37"/>
        <v>103.42562950629622</v>
      </c>
      <c r="H129" s="4">
        <f t="shared" si="37"/>
        <v>105.59756772592843</v>
      </c>
      <c r="I129" s="4">
        <f t="shared" si="37"/>
        <v>107.81511664817292</v>
      </c>
      <c r="J129" s="4">
        <f t="shared" si="37"/>
        <v>110.07923409778454</v>
      </c>
      <c r="K129" s="4">
        <f t="shared" si="37"/>
        <v>112.390898013838</v>
      </c>
      <c r="L129" s="4">
        <f t="shared" si="38"/>
        <v>56.210410239611313</v>
      </c>
      <c r="M129" s="4">
        <v>16000</v>
      </c>
      <c r="N129" s="155">
        <f>SUMIFS('O&amp;R KW'!C$2:C$27,'O&amp;R KW'!B$2:B$27,'O&amp;R'!A129)*1000</f>
        <v>4921</v>
      </c>
      <c r="O129" s="155">
        <f>SUMIFS('O&amp;R KW'!C$29:C$32,'O&amp;R KW'!B$29:B$32,'O&amp;R'!A129)*1000</f>
        <v>0</v>
      </c>
      <c r="P129" s="155">
        <f>SUMIFS('O&amp;R KW'!$C$34:$C$36,'O&amp;R KW'!$B$34:$B$36,'O&amp;R'!A129)*1000</f>
        <v>0</v>
      </c>
      <c r="Q129" s="4">
        <f t="shared" si="49"/>
        <v>20921</v>
      </c>
      <c r="T129">
        <v>1.7052468047094611</v>
      </c>
      <c r="U129">
        <v>1.7461727280224881</v>
      </c>
      <c r="V129">
        <v>1.7828423553109605</v>
      </c>
      <c r="W129">
        <v>1.8202820447724903</v>
      </c>
      <c r="X129">
        <v>127.70651003436114</v>
      </c>
      <c r="Y129">
        <v>103.42822140949228</v>
      </c>
      <c r="Z129">
        <v>105.6002140590916</v>
      </c>
      <c r="AA129">
        <v>107.81781855433252</v>
      </c>
      <c r="AB129">
        <v>110.08199274397349</v>
      </c>
      <c r="AC129">
        <v>112.3937145915969</v>
      </c>
      <c r="AG129" s="177">
        <f t="shared" si="39"/>
        <v>0</v>
      </c>
      <c r="AH129" s="177">
        <f t="shared" si="40"/>
        <v>0</v>
      </c>
      <c r="AI129" s="177">
        <f t="shared" si="41"/>
        <v>0</v>
      </c>
      <c r="AJ129" s="177">
        <f t="shared" si="42"/>
        <v>0</v>
      </c>
      <c r="AK129" s="177">
        <f t="shared" si="43"/>
        <v>3.2126823481775091E-3</v>
      </c>
      <c r="AL129" s="177">
        <f t="shared" si="44"/>
        <v>2.5919031960626171E-3</v>
      </c>
      <c r="AM129" s="177">
        <f t="shared" si="45"/>
        <v>2.6463331631703113E-3</v>
      </c>
      <c r="AN129" s="177">
        <f t="shared" si="46"/>
        <v>2.7019061596007532E-3</v>
      </c>
      <c r="AO129" s="177">
        <f t="shared" si="47"/>
        <v>2.7586461889512748E-3</v>
      </c>
      <c r="AP129" s="177">
        <f t="shared" si="48"/>
        <v>2.8165777589066465E-3</v>
      </c>
    </row>
    <row r="130" spans="1:42">
      <c r="A130" s="7" t="s">
        <v>500</v>
      </c>
      <c r="B130" s="4">
        <f t="shared" si="37"/>
        <v>1.7052468047094611</v>
      </c>
      <c r="C130" s="4">
        <f t="shared" si="37"/>
        <v>1.7461727280224881</v>
      </c>
      <c r="D130" s="4">
        <f t="shared" si="37"/>
        <v>1.7828423553109605</v>
      </c>
      <c r="E130" s="4">
        <f t="shared" si="37"/>
        <v>1.8202820447724903</v>
      </c>
      <c r="F130" s="4">
        <f t="shared" si="37"/>
        <v>1.8585079677127123</v>
      </c>
      <c r="G130" s="4">
        <f t="shared" si="37"/>
        <v>1.8975366350346794</v>
      </c>
      <c r="H130" s="4">
        <f t="shared" si="37"/>
        <v>1.9373849043704072</v>
      </c>
      <c r="I130" s="4">
        <f t="shared" si="37"/>
        <v>1.9780699873621856</v>
      </c>
      <c r="J130" s="4">
        <f t="shared" si="37"/>
        <v>2.0196094570967915</v>
      </c>
      <c r="K130" s="4">
        <f t="shared" si="37"/>
        <v>2.0620212556958237</v>
      </c>
      <c r="L130" s="4">
        <f t="shared" si="38"/>
        <v>1.8533204143941524</v>
      </c>
      <c r="M130" s="4">
        <v>16000</v>
      </c>
      <c r="N130" s="155">
        <f>SUMIFS('O&amp;R KW'!C$2:C$27,'O&amp;R KW'!B$2:B$27,'O&amp;R'!A130)*1000</f>
        <v>0</v>
      </c>
      <c r="O130" s="155">
        <f>SUMIFS('O&amp;R KW'!C$29:C$32,'O&amp;R KW'!B$29:B$32,'O&amp;R'!A130)*1000</f>
        <v>0</v>
      </c>
      <c r="P130" s="155">
        <f>SUMIFS('O&amp;R KW'!$C$34:$C$36,'O&amp;R KW'!$B$34:$B$36,'O&amp;R'!A130)*1000</f>
        <v>0</v>
      </c>
      <c r="Q130" s="4">
        <f t="shared" si="49"/>
        <v>16000</v>
      </c>
      <c r="T130">
        <v>1.7052468047094611</v>
      </c>
      <c r="U130">
        <v>1.7461727280224881</v>
      </c>
      <c r="V130">
        <v>1.7828423553109605</v>
      </c>
      <c r="W130">
        <v>1.8202820447724903</v>
      </c>
      <c r="X130">
        <v>1.8585079677127123</v>
      </c>
      <c r="Y130">
        <v>1.8975366350346794</v>
      </c>
      <c r="Z130">
        <v>1.9373849043704072</v>
      </c>
      <c r="AA130">
        <v>1.9780699873621856</v>
      </c>
      <c r="AB130">
        <v>2.0196094570967915</v>
      </c>
      <c r="AC130">
        <v>2.0620212556958237</v>
      </c>
      <c r="AG130" s="177">
        <f t="shared" si="39"/>
        <v>0</v>
      </c>
      <c r="AH130" s="177">
        <f t="shared" si="40"/>
        <v>0</v>
      </c>
      <c r="AI130" s="177">
        <f t="shared" si="41"/>
        <v>0</v>
      </c>
      <c r="AJ130" s="177">
        <f t="shared" si="42"/>
        <v>0</v>
      </c>
      <c r="AK130" s="177">
        <f t="shared" si="43"/>
        <v>0</v>
      </c>
      <c r="AL130" s="177">
        <f t="shared" si="44"/>
        <v>0</v>
      </c>
      <c r="AM130" s="177">
        <f t="shared" si="45"/>
        <v>0</v>
      </c>
      <c r="AN130" s="177">
        <f t="shared" si="46"/>
        <v>0</v>
      </c>
      <c r="AO130" s="177">
        <f t="shared" si="47"/>
        <v>0</v>
      </c>
      <c r="AP130" s="177">
        <f t="shared" si="48"/>
        <v>0</v>
      </c>
    </row>
    <row r="131" spans="1:42">
      <c r="A131" s="7" t="s">
        <v>502</v>
      </c>
      <c r="B131" s="4">
        <f t="shared" si="37"/>
        <v>1.7052468047094611</v>
      </c>
      <c r="C131" s="4">
        <f t="shared" si="37"/>
        <v>1.7461727280224881</v>
      </c>
      <c r="D131" s="4">
        <f t="shared" si="37"/>
        <v>1.7828423553109605</v>
      </c>
      <c r="E131" s="4">
        <f t="shared" si="37"/>
        <v>1.8202820447724903</v>
      </c>
      <c r="F131" s="4">
        <f t="shared" si="37"/>
        <v>1.8585079677127123</v>
      </c>
      <c r="G131" s="4">
        <f t="shared" si="37"/>
        <v>1.8975366350346794</v>
      </c>
      <c r="H131" s="4">
        <f t="shared" si="37"/>
        <v>1.9373849043704072</v>
      </c>
      <c r="I131" s="4">
        <f t="shared" si="37"/>
        <v>1.9780699873621856</v>
      </c>
      <c r="J131" s="4">
        <f t="shared" si="37"/>
        <v>2.0196094570967915</v>
      </c>
      <c r="K131" s="4">
        <f t="shared" si="37"/>
        <v>2.0620212556958237</v>
      </c>
      <c r="L131" s="4">
        <f t="shared" si="38"/>
        <v>1.8533204143941524</v>
      </c>
      <c r="M131" s="4">
        <v>16000</v>
      </c>
      <c r="N131" s="155">
        <f>SUMIFS('O&amp;R KW'!C$2:C$27,'O&amp;R KW'!B$2:B$27,'O&amp;R'!A131)*1000</f>
        <v>0</v>
      </c>
      <c r="O131" s="155">
        <f>SUMIFS('O&amp;R KW'!C$29:C$32,'O&amp;R KW'!B$29:B$32,'O&amp;R'!A131)*1000</f>
        <v>0</v>
      </c>
      <c r="P131" s="155">
        <f>SUMIFS('O&amp;R KW'!$C$34:$C$36,'O&amp;R KW'!$B$34:$B$36,'O&amp;R'!A131)*1000</f>
        <v>0</v>
      </c>
      <c r="Q131" s="4">
        <f t="shared" si="49"/>
        <v>16000</v>
      </c>
      <c r="T131">
        <v>1.7052468047094611</v>
      </c>
      <c r="U131">
        <v>1.7461727280224881</v>
      </c>
      <c r="V131">
        <v>1.7828423553109605</v>
      </c>
      <c r="W131">
        <v>1.8202820447724903</v>
      </c>
      <c r="X131">
        <v>1.8585079677127123</v>
      </c>
      <c r="Y131">
        <v>1.8975366350346794</v>
      </c>
      <c r="Z131">
        <v>1.9373849043704072</v>
      </c>
      <c r="AA131">
        <v>1.9780699873621856</v>
      </c>
      <c r="AB131">
        <v>2.0196094570967915</v>
      </c>
      <c r="AC131">
        <v>2.0620212556958237</v>
      </c>
      <c r="AG131" s="177">
        <f t="shared" si="39"/>
        <v>0</v>
      </c>
      <c r="AH131" s="177">
        <f t="shared" si="40"/>
        <v>0</v>
      </c>
      <c r="AI131" s="177">
        <f t="shared" si="41"/>
        <v>0</v>
      </c>
      <c r="AJ131" s="177">
        <f t="shared" si="42"/>
        <v>0</v>
      </c>
      <c r="AK131" s="177">
        <f t="shared" si="43"/>
        <v>0</v>
      </c>
      <c r="AL131" s="177">
        <f t="shared" si="44"/>
        <v>0</v>
      </c>
      <c r="AM131" s="177">
        <f t="shared" si="45"/>
        <v>0</v>
      </c>
      <c r="AN131" s="177">
        <f t="shared" si="46"/>
        <v>0</v>
      </c>
      <c r="AO131" s="177">
        <f t="shared" si="47"/>
        <v>0</v>
      </c>
      <c r="AP131" s="177">
        <f t="shared" si="48"/>
        <v>0</v>
      </c>
    </row>
    <row r="132" spans="1:42">
      <c r="A132" s="7" t="s">
        <v>503</v>
      </c>
      <c r="B132" s="4">
        <f t="shared" si="37"/>
        <v>1.7052468047094611</v>
      </c>
      <c r="C132" s="4">
        <f t="shared" si="37"/>
        <v>1.7461727280224881</v>
      </c>
      <c r="D132" s="4">
        <f t="shared" si="37"/>
        <v>1.7828423553109605</v>
      </c>
      <c r="E132" s="4">
        <f t="shared" si="37"/>
        <v>1.8202820447724903</v>
      </c>
      <c r="F132" s="4">
        <f t="shared" si="37"/>
        <v>1.8585079677127123</v>
      </c>
      <c r="G132" s="4">
        <f t="shared" si="37"/>
        <v>1.8975366350346794</v>
      </c>
      <c r="H132" s="4">
        <f t="shared" si="37"/>
        <v>1.9373849043704072</v>
      </c>
      <c r="I132" s="4">
        <f t="shared" si="37"/>
        <v>1.9780699873621856</v>
      </c>
      <c r="J132" s="4">
        <f t="shared" si="37"/>
        <v>2.0196094570967915</v>
      </c>
      <c r="K132" s="4">
        <f t="shared" si="37"/>
        <v>2.0620212556958237</v>
      </c>
      <c r="L132" s="4">
        <f t="shared" si="38"/>
        <v>1.8533204143941524</v>
      </c>
      <c r="M132" s="4">
        <v>16000</v>
      </c>
      <c r="N132" s="155">
        <f>SUMIFS('O&amp;R KW'!C$2:C$27,'O&amp;R KW'!B$2:B$27,'O&amp;R'!A132)*1000</f>
        <v>0</v>
      </c>
      <c r="O132" s="155">
        <f>SUMIFS('O&amp;R KW'!C$29:C$32,'O&amp;R KW'!B$29:B$32,'O&amp;R'!A132)*1000</f>
        <v>0</v>
      </c>
      <c r="P132" s="155">
        <f>SUMIFS('O&amp;R KW'!$C$34:$C$36,'O&amp;R KW'!$B$34:$B$36,'O&amp;R'!A132)*1000</f>
        <v>0</v>
      </c>
      <c r="Q132" s="4">
        <f t="shared" si="49"/>
        <v>16000</v>
      </c>
      <c r="T132">
        <v>1.7052468047094611</v>
      </c>
      <c r="U132">
        <v>1.7461727280224881</v>
      </c>
      <c r="V132">
        <v>1.7828423553109605</v>
      </c>
      <c r="W132">
        <v>1.8202820447724903</v>
      </c>
      <c r="X132">
        <v>1.8585079677127123</v>
      </c>
      <c r="Y132">
        <v>1.8975366350346794</v>
      </c>
      <c r="Z132">
        <v>1.9373849043704072</v>
      </c>
      <c r="AA132">
        <v>1.9780699873621856</v>
      </c>
      <c r="AB132">
        <v>2.0196094570967915</v>
      </c>
      <c r="AC132">
        <v>2.0620212556958237</v>
      </c>
      <c r="AG132" s="177">
        <f t="shared" si="39"/>
        <v>0</v>
      </c>
      <c r="AH132" s="177">
        <f t="shared" si="40"/>
        <v>0</v>
      </c>
      <c r="AI132" s="177">
        <f t="shared" si="41"/>
        <v>0</v>
      </c>
      <c r="AJ132" s="177">
        <f t="shared" si="42"/>
        <v>0</v>
      </c>
      <c r="AK132" s="177">
        <f t="shared" si="43"/>
        <v>0</v>
      </c>
      <c r="AL132" s="177">
        <f t="shared" si="44"/>
        <v>0</v>
      </c>
      <c r="AM132" s="177">
        <f t="shared" si="45"/>
        <v>0</v>
      </c>
      <c r="AN132" s="177">
        <f t="shared" si="46"/>
        <v>0</v>
      </c>
      <c r="AO132" s="177">
        <f t="shared" si="47"/>
        <v>0</v>
      </c>
      <c r="AP132" s="177">
        <f t="shared" si="48"/>
        <v>0</v>
      </c>
    </row>
    <row r="133" spans="1:42">
      <c r="A133" s="7" t="s">
        <v>505</v>
      </c>
      <c r="B133" s="4">
        <f t="shared" si="37"/>
        <v>1.7052468047094611</v>
      </c>
      <c r="C133" s="4">
        <f t="shared" si="37"/>
        <v>1.7461727280224881</v>
      </c>
      <c r="D133" s="4">
        <f t="shared" si="37"/>
        <v>1.7828423553109605</v>
      </c>
      <c r="E133" s="4">
        <f t="shared" si="37"/>
        <v>1.8202820447724903</v>
      </c>
      <c r="F133" s="4">
        <f t="shared" si="37"/>
        <v>1.8585079677127123</v>
      </c>
      <c r="G133" s="4">
        <f t="shared" si="37"/>
        <v>1.8975366350346794</v>
      </c>
      <c r="H133" s="4">
        <f t="shared" si="37"/>
        <v>1.9373849043704072</v>
      </c>
      <c r="I133" s="4">
        <f t="shared" si="37"/>
        <v>1.9780699873621856</v>
      </c>
      <c r="J133" s="4">
        <f t="shared" si="37"/>
        <v>2.0196094570967915</v>
      </c>
      <c r="K133" s="4">
        <f t="shared" si="37"/>
        <v>2.0620212556958237</v>
      </c>
      <c r="L133" s="4">
        <f t="shared" si="38"/>
        <v>1.8533204143941524</v>
      </c>
      <c r="M133" s="4">
        <v>16000</v>
      </c>
      <c r="N133" s="155">
        <f>SUMIFS('O&amp;R KW'!C$2:C$27,'O&amp;R KW'!B$2:B$27,'O&amp;R'!A133)*1000</f>
        <v>0</v>
      </c>
      <c r="O133" s="155">
        <f>SUMIFS('O&amp;R KW'!C$29:C$32,'O&amp;R KW'!B$29:B$32,'O&amp;R'!A133)*1000</f>
        <v>0</v>
      </c>
      <c r="P133" s="155">
        <f>SUMIFS('O&amp;R KW'!$C$34:$C$36,'O&amp;R KW'!$B$34:$B$36,'O&amp;R'!A133)*1000</f>
        <v>0</v>
      </c>
      <c r="Q133" s="4">
        <f t="shared" si="49"/>
        <v>16000</v>
      </c>
      <c r="T133">
        <v>1.7052468047094611</v>
      </c>
      <c r="U133">
        <v>1.7461727280224881</v>
      </c>
      <c r="V133">
        <v>1.7828423553109605</v>
      </c>
      <c r="W133">
        <v>1.8202820447724903</v>
      </c>
      <c r="X133">
        <v>1.8585079677127123</v>
      </c>
      <c r="Y133">
        <v>1.8975366350346794</v>
      </c>
      <c r="Z133">
        <v>1.9373849043704072</v>
      </c>
      <c r="AA133">
        <v>1.9780699873621856</v>
      </c>
      <c r="AB133">
        <v>2.0196094570967915</v>
      </c>
      <c r="AC133">
        <v>2.0620212556958237</v>
      </c>
      <c r="AG133" s="177">
        <f t="shared" si="39"/>
        <v>0</v>
      </c>
      <c r="AH133" s="177">
        <f t="shared" si="40"/>
        <v>0</v>
      </c>
      <c r="AI133" s="177">
        <f t="shared" si="41"/>
        <v>0</v>
      </c>
      <c r="AJ133" s="177">
        <f t="shared" si="42"/>
        <v>0</v>
      </c>
      <c r="AK133" s="177">
        <f t="shared" si="43"/>
        <v>0</v>
      </c>
      <c r="AL133" s="177">
        <f t="shared" si="44"/>
        <v>0</v>
      </c>
      <c r="AM133" s="177">
        <f t="shared" si="45"/>
        <v>0</v>
      </c>
      <c r="AN133" s="177">
        <f t="shared" si="46"/>
        <v>0</v>
      </c>
      <c r="AO133" s="177">
        <f t="shared" si="47"/>
        <v>0</v>
      </c>
      <c r="AP133" s="177">
        <f t="shared" si="48"/>
        <v>0</v>
      </c>
    </row>
    <row r="134" spans="1:42">
      <c r="A134" s="7" t="s">
        <v>507</v>
      </c>
      <c r="B134" s="4">
        <f t="shared" ref="B134:K143" si="50">SUMIFS(B$116:B$118,$A$116:$A$118,$A134)+SUMIFS(B$104:B$107,$A$104:$A$107,$A134)+SUMIFS(B$82:B$94,$A$82:$A$94,$A134)+SUMIFS(B$5:B$63,$A$5:$A$63,$A134)</f>
        <v>1.7052468047094611</v>
      </c>
      <c r="C134" s="4">
        <f t="shared" si="50"/>
        <v>1.7461727280224881</v>
      </c>
      <c r="D134" s="4">
        <f t="shared" si="50"/>
        <v>1.7828423553109605</v>
      </c>
      <c r="E134" s="4">
        <f t="shared" si="50"/>
        <v>59.596721833108184</v>
      </c>
      <c r="F134" s="4">
        <f t="shared" si="50"/>
        <v>60.848252991603445</v>
      </c>
      <c r="G134" s="4">
        <f t="shared" si="50"/>
        <v>62.126066304427113</v>
      </c>
      <c r="H134" s="4">
        <f t="shared" si="50"/>
        <v>63.430713696820078</v>
      </c>
      <c r="I134" s="4">
        <f t="shared" si="50"/>
        <v>64.762758684453303</v>
      </c>
      <c r="J134" s="4">
        <f t="shared" si="50"/>
        <v>66.122776616826812</v>
      </c>
      <c r="K134" s="4">
        <f t="shared" si="50"/>
        <v>67.511354925780168</v>
      </c>
      <c r="L134" s="4">
        <f t="shared" si="38"/>
        <v>38.888302198696564</v>
      </c>
      <c r="M134" s="4">
        <v>16000</v>
      </c>
      <c r="N134" s="155">
        <f>SUMIFS('O&amp;R KW'!C$2:C$27,'O&amp;R KW'!B$2:B$27,'O&amp;R'!A134)*1000</f>
        <v>2109</v>
      </c>
      <c r="O134" s="155">
        <f>SUMIFS('O&amp;R KW'!C$29:C$32,'O&amp;R KW'!B$29:B$32,'O&amp;R'!A134)*1000</f>
        <v>0</v>
      </c>
      <c r="P134" s="155">
        <f>SUMIFS('O&amp;R KW'!$C$34:$C$36,'O&amp;R KW'!$B$34:$B$36,'O&amp;R'!A134)*1000</f>
        <v>0</v>
      </c>
      <c r="Q134" s="4">
        <f t="shared" si="49"/>
        <v>18109</v>
      </c>
      <c r="T134">
        <v>1.7052468047094611</v>
      </c>
      <c r="U134">
        <v>1.7461727280224881</v>
      </c>
      <c r="V134">
        <v>1.7828423553109605</v>
      </c>
      <c r="W134">
        <v>59.598196803579008</v>
      </c>
      <c r="X134">
        <v>60.849758936454158</v>
      </c>
      <c r="Y134">
        <v>62.127603874119693</v>
      </c>
      <c r="Z134">
        <v>63.432283555476197</v>
      </c>
      <c r="AA134">
        <v>64.7643615101412</v>
      </c>
      <c r="AB134">
        <v>66.124413101854159</v>
      </c>
      <c r="AC134">
        <v>67.513025776993089</v>
      </c>
      <c r="AG134" s="177">
        <f t="shared" si="39"/>
        <v>0</v>
      </c>
      <c r="AH134" s="177">
        <f t="shared" si="40"/>
        <v>0</v>
      </c>
      <c r="AI134" s="177">
        <f t="shared" si="41"/>
        <v>0</v>
      </c>
      <c r="AJ134" s="177">
        <f t="shared" si="42"/>
        <v>1.4749704708236777E-3</v>
      </c>
      <c r="AK134" s="177">
        <f t="shared" si="43"/>
        <v>1.5059448507130924E-3</v>
      </c>
      <c r="AL134" s="177">
        <f t="shared" si="44"/>
        <v>1.5375696925801208E-3</v>
      </c>
      <c r="AM134" s="177">
        <f t="shared" si="45"/>
        <v>1.5698586561185834E-3</v>
      </c>
      <c r="AN134" s="177">
        <f t="shared" si="46"/>
        <v>1.602825687896825E-3</v>
      </c>
      <c r="AO134" s="177">
        <f t="shared" si="47"/>
        <v>1.6364850273475895E-3</v>
      </c>
      <c r="AP134" s="177">
        <f t="shared" si="48"/>
        <v>1.6708512129213204E-3</v>
      </c>
    </row>
    <row r="135" spans="1:42">
      <c r="A135" s="7" t="s">
        <v>508</v>
      </c>
      <c r="B135" s="4">
        <f t="shared" si="50"/>
        <v>1.7052468047094611</v>
      </c>
      <c r="C135" s="4">
        <f t="shared" si="50"/>
        <v>1.7461727280224881</v>
      </c>
      <c r="D135" s="4">
        <f t="shared" si="50"/>
        <v>1.7828423553109605</v>
      </c>
      <c r="E135" s="4">
        <f t="shared" si="50"/>
        <v>1.8202820447724903</v>
      </c>
      <c r="F135" s="4">
        <f t="shared" si="50"/>
        <v>1.8585079677127123</v>
      </c>
      <c r="G135" s="4">
        <f t="shared" si="50"/>
        <v>1.8975366350346794</v>
      </c>
      <c r="H135" s="4">
        <f t="shared" si="50"/>
        <v>1.9373849043704072</v>
      </c>
      <c r="I135" s="4">
        <f t="shared" si="50"/>
        <v>1.9780699873621856</v>
      </c>
      <c r="J135" s="4">
        <f t="shared" si="50"/>
        <v>2.0196094570967915</v>
      </c>
      <c r="K135" s="4">
        <f t="shared" si="50"/>
        <v>2.0620212556958237</v>
      </c>
      <c r="L135" s="4">
        <f t="shared" si="38"/>
        <v>1.8533204143941524</v>
      </c>
      <c r="M135" s="4">
        <v>16000</v>
      </c>
      <c r="N135" s="155">
        <f>SUMIFS('O&amp;R KW'!C$2:C$27,'O&amp;R KW'!B$2:B$27,'O&amp;R'!A135)*1000</f>
        <v>0</v>
      </c>
      <c r="O135" s="155">
        <f>SUMIFS('O&amp;R KW'!C$29:C$32,'O&amp;R KW'!B$29:B$32,'O&amp;R'!A135)*1000</f>
        <v>0</v>
      </c>
      <c r="P135" s="155">
        <f>SUMIFS('O&amp;R KW'!$C$34:$C$36,'O&amp;R KW'!$B$34:$B$36,'O&amp;R'!A135)*1000</f>
        <v>0</v>
      </c>
      <c r="Q135" s="4">
        <f t="shared" si="49"/>
        <v>16000</v>
      </c>
      <c r="T135">
        <v>1.7052468047094611</v>
      </c>
      <c r="U135">
        <v>1.7461727280224881</v>
      </c>
      <c r="V135">
        <v>1.7828423553109605</v>
      </c>
      <c r="W135">
        <v>1.8202820447724903</v>
      </c>
      <c r="X135">
        <v>1.8585079677127123</v>
      </c>
      <c r="Y135">
        <v>1.8975366350346794</v>
      </c>
      <c r="Z135">
        <v>1.9373849043704072</v>
      </c>
      <c r="AA135">
        <v>1.9780699873621856</v>
      </c>
      <c r="AB135">
        <v>2.0196094570967915</v>
      </c>
      <c r="AC135">
        <v>2.0620212556958237</v>
      </c>
      <c r="AG135" s="177">
        <f t="shared" si="39"/>
        <v>0</v>
      </c>
      <c r="AH135" s="177">
        <f t="shared" si="40"/>
        <v>0</v>
      </c>
      <c r="AI135" s="177">
        <f t="shared" si="41"/>
        <v>0</v>
      </c>
      <c r="AJ135" s="177">
        <f t="shared" si="42"/>
        <v>0</v>
      </c>
      <c r="AK135" s="177">
        <f t="shared" si="43"/>
        <v>0</v>
      </c>
      <c r="AL135" s="177">
        <f t="shared" si="44"/>
        <v>0</v>
      </c>
      <c r="AM135" s="177">
        <f t="shared" si="45"/>
        <v>0</v>
      </c>
      <c r="AN135" s="177">
        <f t="shared" si="46"/>
        <v>0</v>
      </c>
      <c r="AO135" s="177">
        <f t="shared" si="47"/>
        <v>0</v>
      </c>
      <c r="AP135" s="177">
        <f t="shared" si="48"/>
        <v>0</v>
      </c>
    </row>
    <row r="136" spans="1:42">
      <c r="A136" s="7" t="s">
        <v>509</v>
      </c>
      <c r="B136" s="4">
        <f t="shared" si="50"/>
        <v>1.7052468047094611</v>
      </c>
      <c r="C136" s="4">
        <f t="shared" si="50"/>
        <v>26.687054662588629</v>
      </c>
      <c r="D136" s="4">
        <f t="shared" si="50"/>
        <v>27.247482810502994</v>
      </c>
      <c r="E136" s="4">
        <f t="shared" si="50"/>
        <v>27.81967994952355</v>
      </c>
      <c r="F136" s="4">
        <f t="shared" si="50"/>
        <v>28.403893228463541</v>
      </c>
      <c r="G136" s="4">
        <f t="shared" si="50"/>
        <v>29.000374986261278</v>
      </c>
      <c r="H136" s="4">
        <f t="shared" si="50"/>
        <v>29.609382860972758</v>
      </c>
      <c r="I136" s="4">
        <f t="shared" si="50"/>
        <v>30.231179901053185</v>
      </c>
      <c r="J136" s="4">
        <f t="shared" si="50"/>
        <v>30.8660346789753</v>
      </c>
      <c r="K136" s="4">
        <f t="shared" si="50"/>
        <v>31.514221407233777</v>
      </c>
      <c r="L136" s="4">
        <f t="shared" si="38"/>
        <v>24.848106072256581</v>
      </c>
      <c r="M136" s="4">
        <v>16000</v>
      </c>
      <c r="N136" s="155">
        <f>SUMIFS('O&amp;R KW'!C$2:C$27,'O&amp;R KW'!B$2:B$27,'O&amp;R'!A136)*1000</f>
        <v>2812.0000000000005</v>
      </c>
      <c r="O136" s="155">
        <f>SUMIFS('O&amp;R KW'!C$29:C$32,'O&amp;R KW'!B$29:B$32,'O&amp;R'!A136)*1000</f>
        <v>0</v>
      </c>
      <c r="P136" s="155">
        <f>SUMIFS('O&amp;R KW'!$C$34:$C$36,'O&amp;R KW'!$B$34:$B$36,'O&amp;R'!A136)*1000</f>
        <v>0</v>
      </c>
      <c r="Q136" s="4">
        <f t="shared" si="49"/>
        <v>18812</v>
      </c>
      <c r="T136">
        <v>1.7052468047094611</v>
      </c>
      <c r="U136">
        <v>26.687691376524356</v>
      </c>
      <c r="V136">
        <v>27.248132895431368</v>
      </c>
      <c r="W136">
        <v>27.820343686235422</v>
      </c>
      <c r="X136">
        <v>28.404570903646359</v>
      </c>
      <c r="Y136">
        <v>29.001066892622934</v>
      </c>
      <c r="Z136">
        <v>29.610089297368013</v>
      </c>
      <c r="AA136">
        <v>30.231901172612741</v>
      </c>
      <c r="AB136">
        <v>30.866771097237603</v>
      </c>
      <c r="AC136">
        <v>31.514973290279588</v>
      </c>
      <c r="AG136" s="177">
        <f t="shared" si="39"/>
        <v>0</v>
      </c>
      <c r="AH136" s="177">
        <f t="shared" si="40"/>
        <v>6.3671393572661827E-4</v>
      </c>
      <c r="AI136" s="177">
        <f t="shared" si="41"/>
        <v>6.5008492837392851E-4</v>
      </c>
      <c r="AJ136" s="177">
        <f t="shared" si="42"/>
        <v>6.6373671187136551E-4</v>
      </c>
      <c r="AK136" s="177">
        <f t="shared" si="43"/>
        <v>6.7767518281769412E-4</v>
      </c>
      <c r="AL136" s="177">
        <f t="shared" si="44"/>
        <v>6.9190636165572528E-4</v>
      </c>
      <c r="AM136" s="177">
        <f t="shared" si="45"/>
        <v>7.064363952551389E-4</v>
      </c>
      <c r="AN136" s="177">
        <f t="shared" si="46"/>
        <v>7.2127155955570288E-4</v>
      </c>
      <c r="AO136" s="177">
        <f t="shared" si="47"/>
        <v>7.3641826230286256E-4</v>
      </c>
      <c r="AP136" s="177">
        <f t="shared" si="48"/>
        <v>7.5188304581175203E-4</v>
      </c>
    </row>
    <row r="137" spans="1:42">
      <c r="A137" s="7" t="s">
        <v>510</v>
      </c>
      <c r="B137" s="4">
        <f t="shared" si="50"/>
        <v>1.7052468047094611</v>
      </c>
      <c r="C137" s="4">
        <f t="shared" si="50"/>
        <v>1.7461727280224881</v>
      </c>
      <c r="D137" s="4">
        <f t="shared" si="50"/>
        <v>1.7828423553109605</v>
      </c>
      <c r="E137" s="4">
        <f t="shared" si="50"/>
        <v>1.8202820447724903</v>
      </c>
      <c r="F137" s="4">
        <f t="shared" si="50"/>
        <v>1.8585079677127123</v>
      </c>
      <c r="G137" s="4">
        <f t="shared" si="50"/>
        <v>1.8975366350346794</v>
      </c>
      <c r="H137" s="4">
        <f t="shared" si="50"/>
        <v>1.9373849043704072</v>
      </c>
      <c r="I137" s="4">
        <f t="shared" si="50"/>
        <v>1.9780699873621856</v>
      </c>
      <c r="J137" s="4">
        <f t="shared" si="50"/>
        <v>2.0196094570967915</v>
      </c>
      <c r="K137" s="4">
        <f t="shared" si="50"/>
        <v>2.0620212556958237</v>
      </c>
      <c r="L137" s="4">
        <f t="shared" si="38"/>
        <v>1.8533204143941524</v>
      </c>
      <c r="M137" s="4">
        <v>16000</v>
      </c>
      <c r="N137" s="155">
        <f>SUMIFS('O&amp;R KW'!C$2:C$27,'O&amp;R KW'!B$2:B$27,'O&amp;R'!A137)*1000</f>
        <v>0</v>
      </c>
      <c r="O137" s="155">
        <f>SUMIFS('O&amp;R KW'!C$29:C$32,'O&amp;R KW'!B$29:B$32,'O&amp;R'!A137)*1000</f>
        <v>0</v>
      </c>
      <c r="P137" s="155">
        <f>SUMIFS('O&amp;R KW'!$C$34:$C$36,'O&amp;R KW'!$B$34:$B$36,'O&amp;R'!A137)*1000</f>
        <v>0</v>
      </c>
      <c r="Q137" s="4">
        <f t="shared" si="49"/>
        <v>16000</v>
      </c>
      <c r="T137">
        <v>1.7052468047094611</v>
      </c>
      <c r="U137">
        <v>1.7461727280224881</v>
      </c>
      <c r="V137">
        <v>1.7828423553109605</v>
      </c>
      <c r="W137">
        <v>1.8202820447724903</v>
      </c>
      <c r="X137">
        <v>1.8585079677127123</v>
      </c>
      <c r="Y137">
        <v>1.8975366350346794</v>
      </c>
      <c r="Z137">
        <v>1.9373849043704072</v>
      </c>
      <c r="AA137">
        <v>1.9780699873621856</v>
      </c>
      <c r="AB137">
        <v>2.0196094570967915</v>
      </c>
      <c r="AC137">
        <v>2.0620212556958237</v>
      </c>
      <c r="AG137" s="177">
        <f t="shared" si="39"/>
        <v>0</v>
      </c>
      <c r="AH137" s="177">
        <f t="shared" si="40"/>
        <v>0</v>
      </c>
      <c r="AI137" s="177">
        <f t="shared" si="41"/>
        <v>0</v>
      </c>
      <c r="AJ137" s="177">
        <f t="shared" si="42"/>
        <v>0</v>
      </c>
      <c r="AK137" s="177">
        <f t="shared" si="43"/>
        <v>0</v>
      </c>
      <c r="AL137" s="177">
        <f t="shared" si="44"/>
        <v>0</v>
      </c>
      <c r="AM137" s="177">
        <f t="shared" si="45"/>
        <v>0</v>
      </c>
      <c r="AN137" s="177">
        <f t="shared" si="46"/>
        <v>0</v>
      </c>
      <c r="AO137" s="177">
        <f t="shared" si="47"/>
        <v>0</v>
      </c>
      <c r="AP137" s="177">
        <f t="shared" si="48"/>
        <v>0</v>
      </c>
    </row>
    <row r="138" spans="1:42">
      <c r="A138" s="7" t="s">
        <v>512</v>
      </c>
      <c r="B138" s="4">
        <f t="shared" si="50"/>
        <v>1.7052468047094611</v>
      </c>
      <c r="C138" s="4">
        <f t="shared" si="50"/>
        <v>1.7461727280224881</v>
      </c>
      <c r="D138" s="4">
        <f t="shared" si="50"/>
        <v>1.7828423553109605</v>
      </c>
      <c r="E138" s="4">
        <f t="shared" si="50"/>
        <v>1.8202820447724903</v>
      </c>
      <c r="F138" s="4">
        <f t="shared" si="50"/>
        <v>1.8585079677127123</v>
      </c>
      <c r="G138" s="4">
        <f t="shared" si="50"/>
        <v>1.8975366350346794</v>
      </c>
      <c r="H138" s="4">
        <f t="shared" si="50"/>
        <v>1.9373849043704072</v>
      </c>
      <c r="I138" s="4">
        <f t="shared" si="50"/>
        <v>1.9780699873621856</v>
      </c>
      <c r="J138" s="4">
        <f t="shared" si="50"/>
        <v>2.0196094570967915</v>
      </c>
      <c r="K138" s="4">
        <f t="shared" si="50"/>
        <v>2.0620212556958237</v>
      </c>
      <c r="L138" s="4">
        <f t="shared" si="38"/>
        <v>1.8533204143941524</v>
      </c>
      <c r="M138" s="4">
        <v>16000</v>
      </c>
      <c r="N138" s="155">
        <f>SUMIFS('O&amp;R KW'!C$2:C$27,'O&amp;R KW'!B$2:B$27,'O&amp;R'!A138)*1000</f>
        <v>0</v>
      </c>
      <c r="O138" s="155">
        <f>SUMIFS('O&amp;R KW'!C$29:C$32,'O&amp;R KW'!B$29:B$32,'O&amp;R'!A138)*1000</f>
        <v>0</v>
      </c>
      <c r="P138" s="155">
        <f>SUMIFS('O&amp;R KW'!$C$34:$C$36,'O&amp;R KW'!$B$34:$B$36,'O&amp;R'!A138)*1000</f>
        <v>0</v>
      </c>
      <c r="Q138" s="4">
        <f t="shared" si="49"/>
        <v>16000</v>
      </c>
      <c r="T138">
        <v>1.7052468047094611</v>
      </c>
      <c r="U138">
        <v>1.7461727280224881</v>
      </c>
      <c r="V138">
        <v>1.7828423553109605</v>
      </c>
      <c r="W138">
        <v>1.8202820447724903</v>
      </c>
      <c r="X138">
        <v>1.8585079677127123</v>
      </c>
      <c r="Y138">
        <v>1.8975366350346794</v>
      </c>
      <c r="Z138">
        <v>1.9373849043704072</v>
      </c>
      <c r="AA138">
        <v>1.9780699873621856</v>
      </c>
      <c r="AB138">
        <v>2.0196094570967915</v>
      </c>
      <c r="AC138">
        <v>2.0620212556958237</v>
      </c>
      <c r="AG138" s="177">
        <f t="shared" si="39"/>
        <v>0</v>
      </c>
      <c r="AH138" s="177">
        <f t="shared" si="40"/>
        <v>0</v>
      </c>
      <c r="AI138" s="177">
        <f t="shared" si="41"/>
        <v>0</v>
      </c>
      <c r="AJ138" s="177">
        <f t="shared" si="42"/>
        <v>0</v>
      </c>
      <c r="AK138" s="177">
        <f t="shared" si="43"/>
        <v>0</v>
      </c>
      <c r="AL138" s="177">
        <f t="shared" si="44"/>
        <v>0</v>
      </c>
      <c r="AM138" s="177">
        <f t="shared" si="45"/>
        <v>0</v>
      </c>
      <c r="AN138" s="177">
        <f t="shared" si="46"/>
        <v>0</v>
      </c>
      <c r="AO138" s="177">
        <f t="shared" si="47"/>
        <v>0</v>
      </c>
      <c r="AP138" s="177">
        <f t="shared" si="48"/>
        <v>0</v>
      </c>
    </row>
    <row r="139" spans="1:42">
      <c r="A139" s="7" t="s">
        <v>511</v>
      </c>
      <c r="B139" s="4">
        <f t="shared" si="50"/>
        <v>1.7052468047094611</v>
      </c>
      <c r="C139" s="4">
        <f t="shared" si="50"/>
        <v>1.7461727280224881</v>
      </c>
      <c r="D139" s="4">
        <f t="shared" si="50"/>
        <v>1.7828423553109605</v>
      </c>
      <c r="E139" s="4">
        <f t="shared" si="50"/>
        <v>1.8202820447724903</v>
      </c>
      <c r="F139" s="4">
        <f t="shared" si="50"/>
        <v>1.8585079677127123</v>
      </c>
      <c r="G139" s="4">
        <f t="shared" si="50"/>
        <v>25.988948502791654</v>
      </c>
      <c r="H139" s="4">
        <f t="shared" si="50"/>
        <v>26.534716421350275</v>
      </c>
      <c r="I139" s="4">
        <f t="shared" si="50"/>
        <v>27.091945466198627</v>
      </c>
      <c r="J139" s="4">
        <f t="shared" si="50"/>
        <v>27.660876320988798</v>
      </c>
      <c r="K139" s="4">
        <f t="shared" si="50"/>
        <v>28.241754723729557</v>
      </c>
      <c r="L139" s="4">
        <f t="shared" si="38"/>
        <v>11.727225728859844</v>
      </c>
      <c r="M139" s="4">
        <v>16000</v>
      </c>
      <c r="N139" s="155">
        <f>SUMIFS('O&amp;R KW'!C$2:C$27,'O&amp;R KW'!B$2:B$27,'O&amp;R'!A139)*1000</f>
        <v>2812.0000000000005</v>
      </c>
      <c r="O139" s="155">
        <f>SUMIFS('O&amp;R KW'!C$29:C$32,'O&amp;R KW'!B$29:B$32,'O&amp;R'!A139)*1000</f>
        <v>0</v>
      </c>
      <c r="P139" s="155">
        <f>SUMIFS('O&amp;R KW'!$C$34:$C$36,'O&amp;R KW'!$B$34:$B$36,'O&amp;R'!A139)*1000</f>
        <v>0</v>
      </c>
      <c r="Q139" s="4">
        <f t="shared" si="49"/>
        <v>18812</v>
      </c>
      <c r="T139">
        <v>1.7052468047094611</v>
      </c>
      <c r="U139">
        <v>1.7461727280224881</v>
      </c>
      <c r="V139">
        <v>1.7828423553109605</v>
      </c>
      <c r="W139">
        <v>1.8202820447724903</v>
      </c>
      <c r="X139">
        <v>1.8585079677127123</v>
      </c>
      <c r="Y139">
        <v>25.989563530668686</v>
      </c>
      <c r="Z139">
        <v>26.535344364812726</v>
      </c>
      <c r="AA139">
        <v>27.09258659647379</v>
      </c>
      <c r="AB139">
        <v>27.661530914999737</v>
      </c>
      <c r="AC139">
        <v>28.242423064214726</v>
      </c>
      <c r="AG139" s="177">
        <f t="shared" si="39"/>
        <v>0</v>
      </c>
      <c r="AH139" s="177">
        <f t="shared" si="40"/>
        <v>0</v>
      </c>
      <c r="AI139" s="177">
        <f t="shared" si="41"/>
        <v>0</v>
      </c>
      <c r="AJ139" s="177">
        <f t="shared" si="42"/>
        <v>0</v>
      </c>
      <c r="AK139" s="177">
        <f t="shared" si="43"/>
        <v>0</v>
      </c>
      <c r="AL139" s="177">
        <f t="shared" si="44"/>
        <v>6.1502787703204831E-4</v>
      </c>
      <c r="AM139" s="177">
        <f t="shared" si="45"/>
        <v>6.2794346245098609E-4</v>
      </c>
      <c r="AN139" s="177">
        <f t="shared" si="46"/>
        <v>6.4113027516299326E-4</v>
      </c>
      <c r="AO139" s="177">
        <f t="shared" si="47"/>
        <v>6.545940109390358E-4</v>
      </c>
      <c r="AP139" s="177">
        <f t="shared" si="48"/>
        <v>6.6834048516994926E-4</v>
      </c>
    </row>
    <row r="140" spans="1:42">
      <c r="A140" s="7" t="s">
        <v>515</v>
      </c>
      <c r="B140" s="4">
        <f t="shared" si="50"/>
        <v>1.7052468047094611</v>
      </c>
      <c r="C140" s="4">
        <f t="shared" si="50"/>
        <v>1.7461727280224881</v>
      </c>
      <c r="D140" s="4">
        <f t="shared" si="50"/>
        <v>1.7828423553109605</v>
      </c>
      <c r="E140" s="4">
        <f t="shared" si="50"/>
        <v>1.8202820447724903</v>
      </c>
      <c r="F140" s="4">
        <f t="shared" si="50"/>
        <v>1.8585079677127123</v>
      </c>
      <c r="G140" s="4">
        <f t="shared" si="50"/>
        <v>1.8975366350346794</v>
      </c>
      <c r="H140" s="4">
        <f t="shared" si="50"/>
        <v>1.9373849043704072</v>
      </c>
      <c r="I140" s="4">
        <f t="shared" si="50"/>
        <v>1.9780699873621856</v>
      </c>
      <c r="J140" s="4">
        <f t="shared" si="50"/>
        <v>2.0196094570967915</v>
      </c>
      <c r="K140" s="4">
        <f t="shared" si="50"/>
        <v>2.0620212556958237</v>
      </c>
      <c r="L140" s="4">
        <f t="shared" si="38"/>
        <v>1.8533204143941524</v>
      </c>
      <c r="M140" s="4">
        <v>16000</v>
      </c>
      <c r="N140" s="155">
        <f>SUMIFS('O&amp;R KW'!C$2:C$27,'O&amp;R KW'!B$2:B$27,'O&amp;R'!A140)*1000</f>
        <v>0</v>
      </c>
      <c r="O140" s="155">
        <f>SUMIFS('O&amp;R KW'!C$29:C$32,'O&amp;R KW'!B$29:B$32,'O&amp;R'!A140)*1000</f>
        <v>0</v>
      </c>
      <c r="P140" s="155">
        <f>SUMIFS('O&amp;R KW'!$C$34:$C$36,'O&amp;R KW'!$B$34:$B$36,'O&amp;R'!A140)*1000</f>
        <v>0</v>
      </c>
      <c r="Q140" s="4">
        <f t="shared" si="49"/>
        <v>16000</v>
      </c>
      <c r="T140">
        <v>1.7052468047094611</v>
      </c>
      <c r="U140">
        <v>1.7461727280224881</v>
      </c>
      <c r="V140">
        <v>1.7828423553109605</v>
      </c>
      <c r="W140">
        <v>1.8202820447724903</v>
      </c>
      <c r="X140">
        <v>1.8585079677127123</v>
      </c>
      <c r="Y140">
        <v>1.8975366350346794</v>
      </c>
      <c r="Z140">
        <v>1.9373849043704072</v>
      </c>
      <c r="AA140">
        <v>1.9780699873621856</v>
      </c>
      <c r="AB140">
        <v>2.0196094570967915</v>
      </c>
      <c r="AC140">
        <v>2.0620212556958237</v>
      </c>
      <c r="AG140" s="177">
        <f t="shared" si="39"/>
        <v>0</v>
      </c>
      <c r="AH140" s="177">
        <f t="shared" si="40"/>
        <v>0</v>
      </c>
      <c r="AI140" s="177">
        <f t="shared" si="41"/>
        <v>0</v>
      </c>
      <c r="AJ140" s="177">
        <f t="shared" si="42"/>
        <v>0</v>
      </c>
      <c r="AK140" s="177">
        <f t="shared" si="43"/>
        <v>0</v>
      </c>
      <c r="AL140" s="177">
        <f t="shared" si="44"/>
        <v>0</v>
      </c>
      <c r="AM140" s="177">
        <f t="shared" si="45"/>
        <v>0</v>
      </c>
      <c r="AN140" s="177">
        <f t="shared" si="46"/>
        <v>0</v>
      </c>
      <c r="AO140" s="177">
        <f t="shared" si="47"/>
        <v>0</v>
      </c>
      <c r="AP140" s="177">
        <f t="shared" si="48"/>
        <v>0</v>
      </c>
    </row>
    <row r="141" spans="1:42">
      <c r="A141" s="7" t="s">
        <v>517</v>
      </c>
      <c r="B141" s="4">
        <f t="shared" si="50"/>
        <v>1.7052468047094611</v>
      </c>
      <c r="C141" s="4">
        <f t="shared" si="50"/>
        <v>1.7461727280224881</v>
      </c>
      <c r="D141" s="4">
        <f t="shared" si="50"/>
        <v>1.7828423553109605</v>
      </c>
      <c r="E141" s="4">
        <f t="shared" si="50"/>
        <v>1.8202820447724903</v>
      </c>
      <c r="F141" s="4">
        <f t="shared" si="50"/>
        <v>1.8585079677127123</v>
      </c>
      <c r="G141" s="4">
        <f t="shared" si="50"/>
        <v>1.8975366350346794</v>
      </c>
      <c r="H141" s="4">
        <f t="shared" si="50"/>
        <v>1.9373849043704072</v>
      </c>
      <c r="I141" s="4">
        <f t="shared" si="50"/>
        <v>1.9780699873621856</v>
      </c>
      <c r="J141" s="4">
        <f t="shared" si="50"/>
        <v>2.0196094570967915</v>
      </c>
      <c r="K141" s="4">
        <f t="shared" si="50"/>
        <v>2.0620212556958237</v>
      </c>
      <c r="L141" s="4">
        <f t="shared" si="38"/>
        <v>1.8533204143941524</v>
      </c>
      <c r="M141" s="4">
        <v>16000</v>
      </c>
      <c r="N141" s="155">
        <f>SUMIFS('O&amp;R KW'!C$2:C$27,'O&amp;R KW'!B$2:B$27,'O&amp;R'!A141)*1000</f>
        <v>0</v>
      </c>
      <c r="O141" s="155">
        <f>SUMIFS('O&amp;R KW'!C$29:C$32,'O&amp;R KW'!B$29:B$32,'O&amp;R'!A141)*1000</f>
        <v>0</v>
      </c>
      <c r="P141" s="155">
        <f>SUMIFS('O&amp;R KW'!$C$34:$C$36,'O&amp;R KW'!$B$34:$B$36,'O&amp;R'!A141)*1000</f>
        <v>0</v>
      </c>
      <c r="Q141" s="4">
        <f t="shared" si="49"/>
        <v>16000</v>
      </c>
      <c r="T141">
        <v>1.7052468047094611</v>
      </c>
      <c r="U141">
        <v>1.7461727280224881</v>
      </c>
      <c r="V141">
        <v>1.7828423553109605</v>
      </c>
      <c r="W141">
        <v>1.8202820447724903</v>
      </c>
      <c r="X141">
        <v>1.8585079677127123</v>
      </c>
      <c r="Y141">
        <v>1.8975366350346794</v>
      </c>
      <c r="Z141">
        <v>1.9373849043704072</v>
      </c>
      <c r="AA141">
        <v>1.9780699873621856</v>
      </c>
      <c r="AB141">
        <v>2.0196094570967915</v>
      </c>
      <c r="AC141">
        <v>2.0620212556958237</v>
      </c>
      <c r="AG141" s="177">
        <f t="shared" si="39"/>
        <v>0</v>
      </c>
      <c r="AH141" s="177">
        <f t="shared" si="40"/>
        <v>0</v>
      </c>
      <c r="AI141" s="177">
        <f t="shared" si="41"/>
        <v>0</v>
      </c>
      <c r="AJ141" s="177">
        <f t="shared" si="42"/>
        <v>0</v>
      </c>
      <c r="AK141" s="177">
        <f t="shared" si="43"/>
        <v>0</v>
      </c>
      <c r="AL141" s="177">
        <f t="shared" si="44"/>
        <v>0</v>
      </c>
      <c r="AM141" s="177">
        <f t="shared" si="45"/>
        <v>0</v>
      </c>
      <c r="AN141" s="177">
        <f t="shared" si="46"/>
        <v>0</v>
      </c>
      <c r="AO141" s="177">
        <f t="shared" si="47"/>
        <v>0</v>
      </c>
      <c r="AP141" s="177">
        <f t="shared" si="48"/>
        <v>0</v>
      </c>
    </row>
    <row r="142" spans="1:42">
      <c r="A142" s="7" t="s">
        <v>519</v>
      </c>
      <c r="B142" s="4">
        <f t="shared" si="50"/>
        <v>1.7052468047094611</v>
      </c>
      <c r="C142" s="4">
        <f t="shared" si="50"/>
        <v>1.7461727280224881</v>
      </c>
      <c r="D142" s="4">
        <f t="shared" si="50"/>
        <v>1.7828423553109605</v>
      </c>
      <c r="E142" s="4">
        <f t="shared" si="50"/>
        <v>1.8202820447724903</v>
      </c>
      <c r="F142" s="4">
        <f t="shared" si="50"/>
        <v>1.8585079677127123</v>
      </c>
      <c r="G142" s="4">
        <f t="shared" si="50"/>
        <v>1.8975366350346794</v>
      </c>
      <c r="H142" s="4">
        <f t="shared" si="50"/>
        <v>1.9373849043704072</v>
      </c>
      <c r="I142" s="4">
        <f t="shared" si="50"/>
        <v>1.9780699873621856</v>
      </c>
      <c r="J142" s="4">
        <f t="shared" si="50"/>
        <v>2.0196094570967915</v>
      </c>
      <c r="K142" s="4">
        <f t="shared" si="50"/>
        <v>2.0620212556958237</v>
      </c>
      <c r="L142" s="4">
        <f t="shared" si="38"/>
        <v>1.8533204143941524</v>
      </c>
      <c r="M142" s="4">
        <v>16000</v>
      </c>
      <c r="N142" s="155">
        <f>SUMIFS('O&amp;R KW'!C$2:C$27,'O&amp;R KW'!B$2:B$27,'O&amp;R'!A142)*1000</f>
        <v>0</v>
      </c>
      <c r="O142" s="155">
        <f>SUMIFS('O&amp;R KW'!C$29:C$32,'O&amp;R KW'!B$29:B$32,'O&amp;R'!A142)*1000</f>
        <v>0</v>
      </c>
      <c r="P142" s="155">
        <f>SUMIFS('O&amp;R KW'!$C$34:$C$36,'O&amp;R KW'!$B$34:$B$36,'O&amp;R'!A142)*1000</f>
        <v>0</v>
      </c>
      <c r="Q142" s="4">
        <f t="shared" si="49"/>
        <v>16000</v>
      </c>
      <c r="T142">
        <v>1.7052468047094611</v>
      </c>
      <c r="U142">
        <v>1.7461727280224881</v>
      </c>
      <c r="V142">
        <v>1.7828423553109605</v>
      </c>
      <c r="W142">
        <v>1.8202820447724903</v>
      </c>
      <c r="X142">
        <v>1.8585079677127123</v>
      </c>
      <c r="Y142">
        <v>1.8975366350346794</v>
      </c>
      <c r="Z142">
        <v>1.9373849043704072</v>
      </c>
      <c r="AA142">
        <v>1.9780699873621856</v>
      </c>
      <c r="AB142">
        <v>2.0196094570967915</v>
      </c>
      <c r="AC142">
        <v>2.0620212556958237</v>
      </c>
      <c r="AG142" s="177">
        <f t="shared" si="39"/>
        <v>0</v>
      </c>
      <c r="AH142" s="177">
        <f t="shared" si="40"/>
        <v>0</v>
      </c>
      <c r="AI142" s="177">
        <f t="shared" si="41"/>
        <v>0</v>
      </c>
      <c r="AJ142" s="177">
        <f t="shared" si="42"/>
        <v>0</v>
      </c>
      <c r="AK142" s="177">
        <f t="shared" si="43"/>
        <v>0</v>
      </c>
      <c r="AL142" s="177">
        <f t="shared" si="44"/>
        <v>0</v>
      </c>
      <c r="AM142" s="177">
        <f t="shared" si="45"/>
        <v>0</v>
      </c>
      <c r="AN142" s="177">
        <f t="shared" si="46"/>
        <v>0</v>
      </c>
      <c r="AO142" s="177">
        <f t="shared" si="47"/>
        <v>0</v>
      </c>
      <c r="AP142" s="177">
        <f t="shared" si="48"/>
        <v>0</v>
      </c>
    </row>
    <row r="143" spans="1:42">
      <c r="A143" s="7" t="s">
        <v>521</v>
      </c>
      <c r="B143" s="4">
        <f t="shared" si="50"/>
        <v>1.7052468047094611</v>
      </c>
      <c r="C143" s="4">
        <f t="shared" si="50"/>
        <v>1.7461727280224881</v>
      </c>
      <c r="D143" s="4">
        <f t="shared" si="50"/>
        <v>1.7828423553109605</v>
      </c>
      <c r="E143" s="4">
        <f t="shared" si="50"/>
        <v>1.8202820447724903</v>
      </c>
      <c r="F143" s="4">
        <f t="shared" si="50"/>
        <v>1.8585079677127123</v>
      </c>
      <c r="G143" s="4">
        <f t="shared" si="50"/>
        <v>1.8975366350346794</v>
      </c>
      <c r="H143" s="4">
        <f t="shared" si="50"/>
        <v>1.9373849043704072</v>
      </c>
      <c r="I143" s="4">
        <f t="shared" si="50"/>
        <v>1.9780699873621856</v>
      </c>
      <c r="J143" s="4">
        <f t="shared" si="50"/>
        <v>2.0196094570967915</v>
      </c>
      <c r="K143" s="4">
        <f t="shared" si="50"/>
        <v>2.0620212556958237</v>
      </c>
      <c r="L143" s="4">
        <f t="shared" si="38"/>
        <v>1.8533204143941524</v>
      </c>
      <c r="M143" s="4">
        <v>16000</v>
      </c>
      <c r="N143" s="155">
        <f>SUMIFS('O&amp;R KW'!C$2:C$27,'O&amp;R KW'!B$2:B$27,'O&amp;R'!A143)*1000</f>
        <v>0</v>
      </c>
      <c r="O143" s="155">
        <f>SUMIFS('O&amp;R KW'!C$29:C$32,'O&amp;R KW'!B$29:B$32,'O&amp;R'!A143)*1000</f>
        <v>0</v>
      </c>
      <c r="P143" s="155">
        <f>SUMIFS('O&amp;R KW'!$C$34:$C$36,'O&amp;R KW'!$B$34:$B$36,'O&amp;R'!A143)*1000</f>
        <v>0</v>
      </c>
      <c r="Q143" s="4">
        <f t="shared" si="49"/>
        <v>16000</v>
      </c>
      <c r="T143">
        <v>1.7052468047094611</v>
      </c>
      <c r="U143">
        <v>1.7461727280224881</v>
      </c>
      <c r="V143">
        <v>1.7828423553109605</v>
      </c>
      <c r="W143">
        <v>1.8202820447724903</v>
      </c>
      <c r="X143">
        <v>1.8585079677127123</v>
      </c>
      <c r="Y143">
        <v>1.8975366350346794</v>
      </c>
      <c r="Z143">
        <v>1.9373849043704072</v>
      </c>
      <c r="AA143">
        <v>1.9780699873621856</v>
      </c>
      <c r="AB143">
        <v>2.0196094570967915</v>
      </c>
      <c r="AC143">
        <v>2.0620212556958237</v>
      </c>
      <c r="AG143" s="177">
        <f t="shared" si="39"/>
        <v>0</v>
      </c>
      <c r="AH143" s="177">
        <f t="shared" si="40"/>
        <v>0</v>
      </c>
      <c r="AI143" s="177">
        <f t="shared" si="41"/>
        <v>0</v>
      </c>
      <c r="AJ143" s="177">
        <f t="shared" si="42"/>
        <v>0</v>
      </c>
      <c r="AK143" s="177">
        <f t="shared" si="43"/>
        <v>0</v>
      </c>
      <c r="AL143" s="177">
        <f t="shared" si="44"/>
        <v>0</v>
      </c>
      <c r="AM143" s="177">
        <f t="shared" si="45"/>
        <v>0</v>
      </c>
      <c r="AN143" s="177">
        <f t="shared" si="46"/>
        <v>0</v>
      </c>
      <c r="AO143" s="177">
        <f t="shared" si="47"/>
        <v>0</v>
      </c>
      <c r="AP143" s="177">
        <f t="shared" si="48"/>
        <v>0</v>
      </c>
    </row>
    <row r="144" spans="1:42">
      <c r="A144" s="7" t="s">
        <v>523</v>
      </c>
      <c r="B144" s="4">
        <f t="shared" ref="B144:K153" si="51">SUMIFS(B$116:B$118,$A$116:$A$118,$A144)+SUMIFS(B$104:B$107,$A$104:$A$107,$A144)+SUMIFS(B$82:B$94,$A$82:$A$94,$A144)+SUMIFS(B$5:B$63,$A$5:$A$63,$A144)</f>
        <v>1.7052468047094611</v>
      </c>
      <c r="C144" s="4">
        <f t="shared" si="51"/>
        <v>1.7461727280224881</v>
      </c>
      <c r="D144" s="4">
        <f t="shared" si="51"/>
        <v>1.7828423553109605</v>
      </c>
      <c r="E144" s="4">
        <f t="shared" si="51"/>
        <v>1.8202820447724903</v>
      </c>
      <c r="F144" s="4">
        <f t="shared" si="51"/>
        <v>1.8585079677127123</v>
      </c>
      <c r="G144" s="4">
        <f t="shared" si="51"/>
        <v>1.8975366350346794</v>
      </c>
      <c r="H144" s="4">
        <f t="shared" si="51"/>
        <v>1.9373849043704072</v>
      </c>
      <c r="I144" s="4">
        <f t="shared" si="51"/>
        <v>1.9780699873621856</v>
      </c>
      <c r="J144" s="4">
        <f t="shared" si="51"/>
        <v>2.0196094570967915</v>
      </c>
      <c r="K144" s="4">
        <f t="shared" si="51"/>
        <v>2.0620212556958237</v>
      </c>
      <c r="L144" s="4">
        <f t="shared" si="38"/>
        <v>1.8533204143941524</v>
      </c>
      <c r="M144" s="4">
        <v>16000</v>
      </c>
      <c r="N144" s="155">
        <f>SUMIFS('O&amp;R KW'!C$2:C$27,'O&amp;R KW'!B$2:B$27,'O&amp;R'!A144)*1000</f>
        <v>0</v>
      </c>
      <c r="O144" s="155">
        <f>SUMIFS('O&amp;R KW'!C$29:C$32,'O&amp;R KW'!B$29:B$32,'O&amp;R'!A144)*1000</f>
        <v>0</v>
      </c>
      <c r="P144" s="155">
        <f>SUMIFS('O&amp;R KW'!$C$34:$C$36,'O&amp;R KW'!$B$34:$B$36,'O&amp;R'!A144)*1000</f>
        <v>0</v>
      </c>
      <c r="Q144" s="4">
        <f t="shared" si="49"/>
        <v>16000</v>
      </c>
      <c r="T144">
        <v>1.7052468047094611</v>
      </c>
      <c r="U144">
        <v>1.7461727280224881</v>
      </c>
      <c r="V144">
        <v>1.7828423553109605</v>
      </c>
      <c r="W144">
        <v>1.8202820447724903</v>
      </c>
      <c r="X144">
        <v>1.8585079677127123</v>
      </c>
      <c r="Y144">
        <v>1.8975366350346794</v>
      </c>
      <c r="Z144">
        <v>1.9373849043704072</v>
      </c>
      <c r="AA144">
        <v>1.9780699873621856</v>
      </c>
      <c r="AB144">
        <v>2.0196094570967915</v>
      </c>
      <c r="AC144">
        <v>2.0620212556958237</v>
      </c>
      <c r="AG144" s="177">
        <f t="shared" si="39"/>
        <v>0</v>
      </c>
      <c r="AH144" s="177">
        <f t="shared" si="40"/>
        <v>0</v>
      </c>
      <c r="AI144" s="177">
        <f t="shared" si="41"/>
        <v>0</v>
      </c>
      <c r="AJ144" s="177">
        <f t="shared" si="42"/>
        <v>0</v>
      </c>
      <c r="AK144" s="177">
        <f t="shared" si="43"/>
        <v>0</v>
      </c>
      <c r="AL144" s="177">
        <f t="shared" si="44"/>
        <v>0</v>
      </c>
      <c r="AM144" s="177">
        <f t="shared" si="45"/>
        <v>0</v>
      </c>
      <c r="AN144" s="177">
        <f t="shared" si="46"/>
        <v>0</v>
      </c>
      <c r="AO144" s="177">
        <f t="shared" si="47"/>
        <v>0</v>
      </c>
      <c r="AP144" s="177">
        <f t="shared" si="48"/>
        <v>0</v>
      </c>
    </row>
    <row r="145" spans="1:42">
      <c r="A145" s="7" t="s">
        <v>524</v>
      </c>
      <c r="B145" s="4">
        <f t="shared" si="51"/>
        <v>1.7052468047094611</v>
      </c>
      <c r="C145" s="4">
        <f t="shared" si="51"/>
        <v>1.7461727280224881</v>
      </c>
      <c r="D145" s="4">
        <f t="shared" si="51"/>
        <v>1.7828423553109605</v>
      </c>
      <c r="E145" s="4">
        <f t="shared" si="51"/>
        <v>1.8202820447724903</v>
      </c>
      <c r="F145" s="4">
        <f t="shared" si="51"/>
        <v>1.8585079677127123</v>
      </c>
      <c r="G145" s="4">
        <f t="shared" si="51"/>
        <v>1.8975366350346794</v>
      </c>
      <c r="H145" s="4">
        <f t="shared" si="51"/>
        <v>1.9373849043704072</v>
      </c>
      <c r="I145" s="4">
        <f t="shared" si="51"/>
        <v>1.9780699873621856</v>
      </c>
      <c r="J145" s="4">
        <f t="shared" si="51"/>
        <v>2.0196094570967915</v>
      </c>
      <c r="K145" s="4">
        <f t="shared" si="51"/>
        <v>2.0620212556958237</v>
      </c>
      <c r="L145" s="4">
        <f t="shared" si="38"/>
        <v>1.8533204143941524</v>
      </c>
      <c r="M145" s="4">
        <v>16000</v>
      </c>
      <c r="N145" s="155">
        <f>SUMIFS('O&amp;R KW'!C$2:C$27,'O&amp;R KW'!B$2:B$27,'O&amp;R'!A145)*1000</f>
        <v>0</v>
      </c>
      <c r="O145" s="155">
        <f>SUMIFS('O&amp;R KW'!C$29:C$32,'O&amp;R KW'!B$29:B$32,'O&amp;R'!A145)*1000</f>
        <v>0</v>
      </c>
      <c r="P145" s="155">
        <f>SUMIFS('O&amp;R KW'!$C$34:$C$36,'O&amp;R KW'!$B$34:$B$36,'O&amp;R'!A145)*1000</f>
        <v>0</v>
      </c>
      <c r="Q145" s="4">
        <f t="shared" si="49"/>
        <v>16000</v>
      </c>
      <c r="T145">
        <v>1.7052468047094611</v>
      </c>
      <c r="U145">
        <v>1.7461727280224881</v>
      </c>
      <c r="V145">
        <v>1.7828423553109605</v>
      </c>
      <c r="W145">
        <v>1.8202820447724903</v>
      </c>
      <c r="X145">
        <v>1.8585079677127123</v>
      </c>
      <c r="Y145">
        <v>1.8975366350346794</v>
      </c>
      <c r="Z145">
        <v>1.9373849043704072</v>
      </c>
      <c r="AA145">
        <v>1.9780699873621856</v>
      </c>
      <c r="AB145">
        <v>2.0196094570967915</v>
      </c>
      <c r="AC145">
        <v>2.0620212556958237</v>
      </c>
      <c r="AG145" s="177">
        <f t="shared" si="39"/>
        <v>0</v>
      </c>
      <c r="AH145" s="177">
        <f t="shared" si="40"/>
        <v>0</v>
      </c>
      <c r="AI145" s="177">
        <f t="shared" si="41"/>
        <v>0</v>
      </c>
      <c r="AJ145" s="177">
        <f t="shared" si="42"/>
        <v>0</v>
      </c>
      <c r="AK145" s="177">
        <f t="shared" si="43"/>
        <v>0</v>
      </c>
      <c r="AL145" s="177">
        <f t="shared" si="44"/>
        <v>0</v>
      </c>
      <c r="AM145" s="177">
        <f t="shared" si="45"/>
        <v>0</v>
      </c>
      <c r="AN145" s="177">
        <f t="shared" si="46"/>
        <v>0</v>
      </c>
      <c r="AO145" s="177">
        <f t="shared" si="47"/>
        <v>0</v>
      </c>
      <c r="AP145" s="177">
        <f t="shared" si="48"/>
        <v>0</v>
      </c>
    </row>
    <row r="146" spans="1:42">
      <c r="A146" s="7" t="s">
        <v>525</v>
      </c>
      <c r="B146" s="4">
        <f t="shared" si="51"/>
        <v>1.7052468047094611</v>
      </c>
      <c r="C146" s="4">
        <f t="shared" si="51"/>
        <v>1.7461727280224881</v>
      </c>
      <c r="D146" s="4">
        <f t="shared" si="51"/>
        <v>1.7828423553109605</v>
      </c>
      <c r="E146" s="4">
        <f t="shared" si="51"/>
        <v>1.8202820447724903</v>
      </c>
      <c r="F146" s="4">
        <f t="shared" si="51"/>
        <v>1.8585079677127123</v>
      </c>
      <c r="G146" s="4">
        <f t="shared" si="51"/>
        <v>1.8975366350346794</v>
      </c>
      <c r="H146" s="4">
        <f t="shared" si="51"/>
        <v>1.9373849043704072</v>
      </c>
      <c r="I146" s="4">
        <f t="shared" si="51"/>
        <v>1.9780699873621856</v>
      </c>
      <c r="J146" s="4">
        <f t="shared" si="51"/>
        <v>2.0196094570967915</v>
      </c>
      <c r="K146" s="4">
        <f t="shared" si="51"/>
        <v>2.0620212556958237</v>
      </c>
      <c r="L146" s="4">
        <f t="shared" si="38"/>
        <v>1.8533204143941524</v>
      </c>
      <c r="M146" s="4">
        <v>16000</v>
      </c>
      <c r="N146" s="155">
        <f>SUMIFS('O&amp;R KW'!C$2:C$27,'O&amp;R KW'!B$2:B$27,'O&amp;R'!A146)*1000</f>
        <v>0</v>
      </c>
      <c r="O146" s="155">
        <f>SUMIFS('O&amp;R KW'!C$29:C$32,'O&amp;R KW'!B$29:B$32,'O&amp;R'!A146)*1000</f>
        <v>0</v>
      </c>
      <c r="P146" s="155">
        <f>SUMIFS('O&amp;R KW'!$C$34:$C$36,'O&amp;R KW'!$B$34:$B$36,'O&amp;R'!A146)*1000</f>
        <v>0</v>
      </c>
      <c r="Q146" s="4">
        <f t="shared" si="49"/>
        <v>16000</v>
      </c>
      <c r="T146">
        <v>1.7052468047094611</v>
      </c>
      <c r="U146">
        <v>1.7461727280224881</v>
      </c>
      <c r="V146">
        <v>1.7828423553109605</v>
      </c>
      <c r="W146">
        <v>1.8202820447724903</v>
      </c>
      <c r="X146">
        <v>1.8585079677127123</v>
      </c>
      <c r="Y146">
        <v>1.8975366350346794</v>
      </c>
      <c r="Z146">
        <v>1.9373849043704072</v>
      </c>
      <c r="AA146">
        <v>1.9780699873621856</v>
      </c>
      <c r="AB146">
        <v>2.0196094570967915</v>
      </c>
      <c r="AC146">
        <v>2.0620212556958237</v>
      </c>
      <c r="AG146" s="177">
        <f t="shared" si="39"/>
        <v>0</v>
      </c>
      <c r="AH146" s="177">
        <f t="shared" si="40"/>
        <v>0</v>
      </c>
      <c r="AI146" s="177">
        <f t="shared" si="41"/>
        <v>0</v>
      </c>
      <c r="AJ146" s="177">
        <f t="shared" si="42"/>
        <v>0</v>
      </c>
      <c r="AK146" s="177">
        <f t="shared" si="43"/>
        <v>0</v>
      </c>
      <c r="AL146" s="177">
        <f t="shared" si="44"/>
        <v>0</v>
      </c>
      <c r="AM146" s="177">
        <f t="shared" si="45"/>
        <v>0</v>
      </c>
      <c r="AN146" s="177">
        <f t="shared" si="46"/>
        <v>0</v>
      </c>
      <c r="AO146" s="177">
        <f t="shared" si="47"/>
        <v>0</v>
      </c>
      <c r="AP146" s="177">
        <f t="shared" si="48"/>
        <v>0</v>
      </c>
    </row>
    <row r="147" spans="1:42">
      <c r="A147" s="7" t="s">
        <v>526</v>
      </c>
      <c r="B147" s="4">
        <f t="shared" si="51"/>
        <v>1.7052468047094611</v>
      </c>
      <c r="C147" s="4">
        <f t="shared" si="51"/>
        <v>1.7461727280224881</v>
      </c>
      <c r="D147" s="4">
        <f t="shared" si="51"/>
        <v>1.7828423553109605</v>
      </c>
      <c r="E147" s="4">
        <f t="shared" si="51"/>
        <v>1.8202820447724903</v>
      </c>
      <c r="F147" s="4">
        <f t="shared" si="51"/>
        <v>1.8585079677127123</v>
      </c>
      <c r="G147" s="4">
        <f t="shared" si="51"/>
        <v>1.8975366350346794</v>
      </c>
      <c r="H147" s="4">
        <f t="shared" si="51"/>
        <v>1.9373849043704072</v>
      </c>
      <c r="I147" s="4">
        <f t="shared" si="51"/>
        <v>1.9780699873621856</v>
      </c>
      <c r="J147" s="4">
        <f t="shared" si="51"/>
        <v>2.0196094570967915</v>
      </c>
      <c r="K147" s="4">
        <f t="shared" si="51"/>
        <v>2.0620212556958237</v>
      </c>
      <c r="L147" s="4">
        <f t="shared" si="38"/>
        <v>1.8533204143941524</v>
      </c>
      <c r="M147" s="4">
        <v>16000</v>
      </c>
      <c r="N147" s="155">
        <f>SUMIFS('O&amp;R KW'!C$2:C$27,'O&amp;R KW'!B$2:B$27,'O&amp;R'!A147)*1000</f>
        <v>0</v>
      </c>
      <c r="O147" s="155">
        <f>SUMIFS('O&amp;R KW'!C$29:C$32,'O&amp;R KW'!B$29:B$32,'O&amp;R'!A147)*1000</f>
        <v>0</v>
      </c>
      <c r="P147" s="155">
        <f>SUMIFS('O&amp;R KW'!$C$34:$C$36,'O&amp;R KW'!$B$34:$B$36,'O&amp;R'!A147)*1000</f>
        <v>0</v>
      </c>
      <c r="Q147" s="4">
        <f t="shared" si="49"/>
        <v>16000</v>
      </c>
      <c r="T147">
        <v>1.7052468047094611</v>
      </c>
      <c r="U147">
        <v>1.7461727280224881</v>
      </c>
      <c r="V147">
        <v>1.7828423553109605</v>
      </c>
      <c r="W147">
        <v>1.8202820447724903</v>
      </c>
      <c r="X147">
        <v>1.8585079677127123</v>
      </c>
      <c r="Y147">
        <v>1.8975366350346794</v>
      </c>
      <c r="Z147">
        <v>1.9373849043704072</v>
      </c>
      <c r="AA147">
        <v>1.9780699873621856</v>
      </c>
      <c r="AB147">
        <v>2.0196094570967915</v>
      </c>
      <c r="AC147">
        <v>2.0620212556958237</v>
      </c>
      <c r="AG147" s="177">
        <f t="shared" si="39"/>
        <v>0</v>
      </c>
      <c r="AH147" s="177">
        <f t="shared" si="40"/>
        <v>0</v>
      </c>
      <c r="AI147" s="177">
        <f t="shared" si="41"/>
        <v>0</v>
      </c>
      <c r="AJ147" s="177">
        <f t="shared" si="42"/>
        <v>0</v>
      </c>
      <c r="AK147" s="177">
        <f t="shared" si="43"/>
        <v>0</v>
      </c>
      <c r="AL147" s="177">
        <f t="shared" si="44"/>
        <v>0</v>
      </c>
      <c r="AM147" s="177">
        <f t="shared" si="45"/>
        <v>0</v>
      </c>
      <c r="AN147" s="177">
        <f t="shared" si="46"/>
        <v>0</v>
      </c>
      <c r="AO147" s="177">
        <f t="shared" si="47"/>
        <v>0</v>
      </c>
      <c r="AP147" s="177">
        <f t="shared" si="48"/>
        <v>0</v>
      </c>
    </row>
    <row r="148" spans="1:42">
      <c r="A148" s="7" t="s">
        <v>527</v>
      </c>
      <c r="B148" s="4">
        <f t="shared" si="51"/>
        <v>1.7052468047094611</v>
      </c>
      <c r="C148" s="4">
        <f t="shared" si="51"/>
        <v>1.7461727280224881</v>
      </c>
      <c r="D148" s="4">
        <f t="shared" si="51"/>
        <v>1.7828423553109605</v>
      </c>
      <c r="E148" s="4">
        <f t="shared" si="51"/>
        <v>1.8202820447724903</v>
      </c>
      <c r="F148" s="4">
        <f t="shared" si="51"/>
        <v>1.8585079677127123</v>
      </c>
      <c r="G148" s="4">
        <f t="shared" si="51"/>
        <v>1.8975366350346794</v>
      </c>
      <c r="H148" s="4">
        <f t="shared" si="51"/>
        <v>1.9373849043704072</v>
      </c>
      <c r="I148" s="4">
        <f t="shared" si="51"/>
        <v>1.9780699873621856</v>
      </c>
      <c r="J148" s="4">
        <f t="shared" si="51"/>
        <v>2.0196094570967915</v>
      </c>
      <c r="K148" s="4">
        <f t="shared" si="51"/>
        <v>2.0620212556958237</v>
      </c>
      <c r="L148" s="4">
        <f t="shared" si="38"/>
        <v>1.8533204143941524</v>
      </c>
      <c r="M148" s="4">
        <v>16000</v>
      </c>
      <c r="N148" s="155">
        <f>SUMIFS('O&amp;R KW'!C$2:C$27,'O&amp;R KW'!B$2:B$27,'O&amp;R'!A148)*1000</f>
        <v>0</v>
      </c>
      <c r="O148" s="155">
        <f>SUMIFS('O&amp;R KW'!C$29:C$32,'O&amp;R KW'!B$29:B$32,'O&amp;R'!A148)*1000</f>
        <v>0</v>
      </c>
      <c r="P148" s="155">
        <f>SUMIFS('O&amp;R KW'!$C$34:$C$36,'O&amp;R KW'!$B$34:$B$36,'O&amp;R'!A148)*1000</f>
        <v>0</v>
      </c>
      <c r="Q148" s="4">
        <f t="shared" si="49"/>
        <v>16000</v>
      </c>
      <c r="T148">
        <v>1.7052468047094611</v>
      </c>
      <c r="U148">
        <v>1.7461727280224881</v>
      </c>
      <c r="V148">
        <v>1.7828423553109605</v>
      </c>
      <c r="W148">
        <v>1.8202820447724903</v>
      </c>
      <c r="X148">
        <v>1.8585079677127123</v>
      </c>
      <c r="Y148">
        <v>1.8975366350346794</v>
      </c>
      <c r="Z148">
        <v>1.9373849043704072</v>
      </c>
      <c r="AA148">
        <v>1.9780699873621856</v>
      </c>
      <c r="AB148">
        <v>2.0196094570967915</v>
      </c>
      <c r="AC148">
        <v>2.0620212556958237</v>
      </c>
      <c r="AG148" s="177">
        <f t="shared" si="39"/>
        <v>0</v>
      </c>
      <c r="AH148" s="177">
        <f t="shared" si="40"/>
        <v>0</v>
      </c>
      <c r="AI148" s="177">
        <f t="shared" si="41"/>
        <v>0</v>
      </c>
      <c r="AJ148" s="177">
        <f t="shared" si="42"/>
        <v>0</v>
      </c>
      <c r="AK148" s="177">
        <f t="shared" si="43"/>
        <v>0</v>
      </c>
      <c r="AL148" s="177">
        <f t="shared" si="44"/>
        <v>0</v>
      </c>
      <c r="AM148" s="177">
        <f t="shared" si="45"/>
        <v>0</v>
      </c>
      <c r="AN148" s="177">
        <f t="shared" si="46"/>
        <v>0</v>
      </c>
      <c r="AO148" s="177">
        <f t="shared" si="47"/>
        <v>0</v>
      </c>
      <c r="AP148" s="177">
        <f t="shared" si="48"/>
        <v>0</v>
      </c>
    </row>
    <row r="149" spans="1:42">
      <c r="A149" s="7" t="s">
        <v>495</v>
      </c>
      <c r="B149" s="4">
        <f t="shared" si="51"/>
        <v>1.9219125941831454</v>
      </c>
      <c r="C149" s="4">
        <f t="shared" si="51"/>
        <v>2.068086761105195</v>
      </c>
      <c r="D149" s="4">
        <f t="shared" si="51"/>
        <v>2.2554699063966748</v>
      </c>
      <c r="E149" s="4">
        <f t="shared" si="51"/>
        <v>10.533509987904688</v>
      </c>
      <c r="F149" s="4">
        <f t="shared" si="51"/>
        <v>19.158233090607315</v>
      </c>
      <c r="G149" s="4">
        <f t="shared" si="51"/>
        <v>19.560555985510067</v>
      </c>
      <c r="H149" s="4">
        <f t="shared" si="51"/>
        <v>19.971327661205777</v>
      </c>
      <c r="I149" s="4">
        <f t="shared" si="51"/>
        <v>20.390725542091097</v>
      </c>
      <c r="J149" s="4">
        <f t="shared" si="51"/>
        <v>20.818930778475007</v>
      </c>
      <c r="K149" s="4">
        <f t="shared" si="51"/>
        <v>21.256128324822981</v>
      </c>
      <c r="L149" s="4">
        <f t="shared" si="38"/>
        <v>11.936103566535374</v>
      </c>
      <c r="M149" s="4">
        <v>16000</v>
      </c>
      <c r="N149" s="155">
        <f>SUMIFS('O&amp;R KW'!C$2:C$27,'O&amp;R KW'!B$2:B$27,'O&amp;R'!A149)*1000</f>
        <v>0</v>
      </c>
      <c r="O149" s="155">
        <f>SUMIFS('O&amp;R KW'!C$29:C$32,'O&amp;R KW'!B$29:B$32,'O&amp;R'!A149)*1000</f>
        <v>106399.99999999999</v>
      </c>
      <c r="P149" s="155">
        <f>SUMIFS('O&amp;R KW'!$C$34:$C$36,'O&amp;R KW'!$B$34:$B$36,'O&amp;R'!A149)*1000</f>
        <v>0</v>
      </c>
      <c r="Q149" s="4">
        <f t="shared" si="49"/>
        <v>122399.99999999999</v>
      </c>
      <c r="T149">
        <v>1.9218567846721024</v>
      </c>
      <c r="U149">
        <v>2.0680038413935606</v>
      </c>
      <c r="V149">
        <v>2.2553481653844201</v>
      </c>
      <c r="W149">
        <v>10.53126560501299</v>
      </c>
      <c r="X149">
        <v>19.153776968565023</v>
      </c>
      <c r="Y149">
        <v>19.556006284904889</v>
      </c>
      <c r="Z149">
        <v>19.966682416887888</v>
      </c>
      <c r="AA149">
        <v>20.385982747642533</v>
      </c>
      <c r="AB149">
        <v>20.814088385343023</v>
      </c>
      <c r="AC149">
        <v>21.251184241435226</v>
      </c>
      <c r="AG149" s="177">
        <f t="shared" si="39"/>
        <v>-5.5809511043003468E-5</v>
      </c>
      <c r="AH149" s="177">
        <f t="shared" si="40"/>
        <v>-8.2919711634321658E-5</v>
      </c>
      <c r="AI149" s="177">
        <f t="shared" si="41"/>
        <v>-1.2174101225470579E-4</v>
      </c>
      <c r="AJ149" s="177">
        <f t="shared" si="42"/>
        <v>-2.244382891698038E-3</v>
      </c>
      <c r="AK149" s="177">
        <f t="shared" si="43"/>
        <v>-4.4561220422920655E-3</v>
      </c>
      <c r="AL149" s="177">
        <f t="shared" si="44"/>
        <v>-4.5497006051782307E-3</v>
      </c>
      <c r="AM149" s="177">
        <f t="shared" si="45"/>
        <v>-4.6452443178885972E-3</v>
      </c>
      <c r="AN149" s="177">
        <f t="shared" si="46"/>
        <v>-4.7427944485640694E-3</v>
      </c>
      <c r="AO149" s="177">
        <f t="shared" si="47"/>
        <v>-4.8423931319838687E-3</v>
      </c>
      <c r="AP149" s="177">
        <f t="shared" si="48"/>
        <v>-4.9440833877554269E-3</v>
      </c>
    </row>
    <row r="150" spans="1:42">
      <c r="A150" s="7" t="s">
        <v>504</v>
      </c>
      <c r="B150" s="4">
        <f t="shared" si="51"/>
        <v>1.7052468047094611</v>
      </c>
      <c r="C150" s="4">
        <f t="shared" si="51"/>
        <v>1.7461727280224881</v>
      </c>
      <c r="D150" s="4">
        <f t="shared" si="51"/>
        <v>1.7828423553109605</v>
      </c>
      <c r="E150" s="4">
        <f t="shared" si="51"/>
        <v>1.8202820447724903</v>
      </c>
      <c r="F150" s="4">
        <f t="shared" si="51"/>
        <v>173.32203350382179</v>
      </c>
      <c r="G150" s="4">
        <f t="shared" si="51"/>
        <v>176.96179620740205</v>
      </c>
      <c r="H150" s="4">
        <f t="shared" si="51"/>
        <v>180.67799392775748</v>
      </c>
      <c r="I150" s="4">
        <f t="shared" si="51"/>
        <v>184.47223180024037</v>
      </c>
      <c r="J150" s="4">
        <f t="shared" si="51"/>
        <v>188.34614866804537</v>
      </c>
      <c r="K150" s="4">
        <f t="shared" si="51"/>
        <v>192.30141779007431</v>
      </c>
      <c r="L150" s="4">
        <f t="shared" si="38"/>
        <v>90.969622243516753</v>
      </c>
      <c r="M150" s="4">
        <v>16000</v>
      </c>
      <c r="N150" s="155">
        <f>SUMIFS('O&amp;R KW'!C$2:C$27,'O&amp;R KW'!B$2:B$27,'O&amp;R'!A150)*1000</f>
        <v>2109</v>
      </c>
      <c r="O150" s="155">
        <f>SUMIFS('O&amp;R KW'!C$29:C$32,'O&amp;R KW'!B$29:B$32,'O&amp;R'!A150)*1000</f>
        <v>0</v>
      </c>
      <c r="P150" s="155">
        <f>SUMIFS('O&amp;R KW'!$C$34:$C$36,'O&amp;R KW'!$B$34:$B$36,'O&amp;R'!A150)*1000</f>
        <v>0</v>
      </c>
      <c r="Q150" s="4">
        <f t="shared" si="49"/>
        <v>18109</v>
      </c>
      <c r="T150">
        <v>1.7052468047094611</v>
      </c>
      <c r="U150">
        <v>1.7461727280224881</v>
      </c>
      <c r="V150">
        <v>1.7828423553109605</v>
      </c>
      <c r="W150">
        <v>1.8202820447724903</v>
      </c>
      <c r="X150">
        <v>173.3264107835212</v>
      </c>
      <c r="Y150">
        <v>176.96626540997514</v>
      </c>
      <c r="Z150">
        <v>180.68255698358462</v>
      </c>
      <c r="AA150">
        <v>184.47689068023985</v>
      </c>
      <c r="AB150">
        <v>188.35090538452488</v>
      </c>
      <c r="AC150">
        <v>192.30627439759985</v>
      </c>
      <c r="AG150" s="177">
        <f t="shared" si="39"/>
        <v>0</v>
      </c>
      <c r="AH150" s="177">
        <f t="shared" si="40"/>
        <v>0</v>
      </c>
      <c r="AI150" s="177">
        <f t="shared" si="41"/>
        <v>0</v>
      </c>
      <c r="AJ150" s="177">
        <f t="shared" si="42"/>
        <v>0</v>
      </c>
      <c r="AK150" s="177">
        <f t="shared" si="43"/>
        <v>4.377279699411929E-3</v>
      </c>
      <c r="AL150" s="177">
        <f t="shared" si="44"/>
        <v>4.4692025730910245E-3</v>
      </c>
      <c r="AM150" s="177">
        <f t="shared" si="45"/>
        <v>4.5630558271341215E-3</v>
      </c>
      <c r="AN150" s="177">
        <f t="shared" si="46"/>
        <v>4.6588799994822239E-3</v>
      </c>
      <c r="AO150" s="177">
        <f t="shared" si="47"/>
        <v>4.756716479505485E-3</v>
      </c>
      <c r="AP150" s="177">
        <f t="shared" si="48"/>
        <v>4.8566075255394026E-3</v>
      </c>
    </row>
    <row r="151" spans="1:42">
      <c r="A151" s="7" t="s">
        <v>528</v>
      </c>
      <c r="B151" s="4">
        <f t="shared" si="51"/>
        <v>1.7052468047094611</v>
      </c>
      <c r="C151" s="4">
        <f t="shared" si="51"/>
        <v>1.7461727280224881</v>
      </c>
      <c r="D151" s="4">
        <f t="shared" si="51"/>
        <v>1.7828423553109605</v>
      </c>
      <c r="E151" s="4">
        <f t="shared" si="51"/>
        <v>1.8202820447724903</v>
      </c>
      <c r="F151" s="4">
        <f t="shared" si="51"/>
        <v>1.8585079677127123</v>
      </c>
      <c r="G151" s="4">
        <f t="shared" si="51"/>
        <v>1.8975366350346794</v>
      </c>
      <c r="H151" s="4">
        <f t="shared" si="51"/>
        <v>1.9373849043704072</v>
      </c>
      <c r="I151" s="4">
        <f t="shared" si="51"/>
        <v>1.9780699873621856</v>
      </c>
      <c r="J151" s="4">
        <f t="shared" si="51"/>
        <v>2.0196094570967915</v>
      </c>
      <c r="K151" s="4">
        <f t="shared" si="51"/>
        <v>2.0620212556958237</v>
      </c>
      <c r="L151" s="4">
        <f t="shared" si="38"/>
        <v>1.8533204143941524</v>
      </c>
      <c r="M151" s="4">
        <v>16000</v>
      </c>
      <c r="N151" s="155">
        <f>SUMIFS('O&amp;R KW'!C$2:C$27,'O&amp;R KW'!B$2:B$27,'O&amp;R'!A151)*1000</f>
        <v>0</v>
      </c>
      <c r="O151" s="155">
        <f>SUMIFS('O&amp;R KW'!C$29:C$32,'O&amp;R KW'!B$29:B$32,'O&amp;R'!A151)*1000</f>
        <v>0</v>
      </c>
      <c r="P151" s="155">
        <f>SUMIFS('O&amp;R KW'!$C$34:$C$36,'O&amp;R KW'!$B$34:$B$36,'O&amp;R'!A151)*1000</f>
        <v>0</v>
      </c>
      <c r="Q151" s="4">
        <f t="shared" si="49"/>
        <v>16000</v>
      </c>
      <c r="T151">
        <v>1.7052468047094611</v>
      </c>
      <c r="U151">
        <v>1.7461727280224881</v>
      </c>
      <c r="V151">
        <v>1.7828423553109605</v>
      </c>
      <c r="W151">
        <v>1.8202820447724903</v>
      </c>
      <c r="X151">
        <v>1.8585079677127123</v>
      </c>
      <c r="Y151">
        <v>1.8975366350346794</v>
      </c>
      <c r="Z151">
        <v>1.9373849043704072</v>
      </c>
      <c r="AA151">
        <v>1.9780699873621856</v>
      </c>
      <c r="AB151">
        <v>2.0196094570967915</v>
      </c>
      <c r="AC151">
        <v>2.0620212556958237</v>
      </c>
      <c r="AG151" s="177">
        <f t="shared" si="39"/>
        <v>0</v>
      </c>
      <c r="AH151" s="177">
        <f t="shared" si="40"/>
        <v>0</v>
      </c>
      <c r="AI151" s="177">
        <f t="shared" si="41"/>
        <v>0</v>
      </c>
      <c r="AJ151" s="177">
        <f t="shared" si="42"/>
        <v>0</v>
      </c>
      <c r="AK151" s="177">
        <f t="shared" si="43"/>
        <v>0</v>
      </c>
      <c r="AL151" s="177">
        <f t="shared" si="44"/>
        <v>0</v>
      </c>
      <c r="AM151" s="177">
        <f t="shared" si="45"/>
        <v>0</v>
      </c>
      <c r="AN151" s="177">
        <f t="shared" si="46"/>
        <v>0</v>
      </c>
      <c r="AO151" s="177">
        <f t="shared" si="47"/>
        <v>0</v>
      </c>
      <c r="AP151" s="177">
        <f t="shared" si="48"/>
        <v>0</v>
      </c>
    </row>
    <row r="152" spans="1:42">
      <c r="A152" s="7" t="s">
        <v>529</v>
      </c>
      <c r="B152" s="4">
        <f t="shared" si="51"/>
        <v>1.7052468047094611</v>
      </c>
      <c r="C152" s="4">
        <f t="shared" si="51"/>
        <v>1.7461727280224881</v>
      </c>
      <c r="D152" s="4">
        <f t="shared" si="51"/>
        <v>1.7828423553109605</v>
      </c>
      <c r="E152" s="4">
        <f t="shared" si="51"/>
        <v>1.8202820447724903</v>
      </c>
      <c r="F152" s="4">
        <f t="shared" si="51"/>
        <v>1.8585079677127123</v>
      </c>
      <c r="G152" s="4">
        <f t="shared" si="51"/>
        <v>1.8975366350346794</v>
      </c>
      <c r="H152" s="4">
        <f t="shared" si="51"/>
        <v>1.9373849043704072</v>
      </c>
      <c r="I152" s="4">
        <f t="shared" si="51"/>
        <v>1.9780699873621856</v>
      </c>
      <c r="J152" s="4">
        <f t="shared" si="51"/>
        <v>2.0196094570967915</v>
      </c>
      <c r="K152" s="4">
        <f t="shared" si="51"/>
        <v>2.0620212556958237</v>
      </c>
      <c r="L152" s="4">
        <f t="shared" si="38"/>
        <v>1.8533204143941524</v>
      </c>
      <c r="M152" s="4">
        <v>16000</v>
      </c>
      <c r="N152" s="155">
        <f>SUMIFS('O&amp;R KW'!C$2:C$27,'O&amp;R KW'!B$2:B$27,'O&amp;R'!A152)*1000</f>
        <v>0</v>
      </c>
      <c r="O152" s="155">
        <f>SUMIFS('O&amp;R KW'!C$29:C$32,'O&amp;R KW'!B$29:B$32,'O&amp;R'!A152)*1000</f>
        <v>0</v>
      </c>
      <c r="P152" s="155">
        <f>SUMIFS('O&amp;R KW'!$C$34:$C$36,'O&amp;R KW'!$B$34:$B$36,'O&amp;R'!A152)*1000</f>
        <v>0</v>
      </c>
      <c r="Q152" s="4">
        <f t="shared" si="49"/>
        <v>16000</v>
      </c>
      <c r="T152">
        <v>1.7052468047094611</v>
      </c>
      <c r="U152">
        <v>1.7461727280224881</v>
      </c>
      <c r="V152">
        <v>1.7828423553109605</v>
      </c>
      <c r="W152">
        <v>1.8202820447724903</v>
      </c>
      <c r="X152">
        <v>1.8585079677127123</v>
      </c>
      <c r="Y152">
        <v>1.8975366350346794</v>
      </c>
      <c r="Z152">
        <v>1.9373849043704072</v>
      </c>
      <c r="AA152">
        <v>1.9780699873621856</v>
      </c>
      <c r="AB152">
        <v>2.0196094570967915</v>
      </c>
      <c r="AC152">
        <v>2.0620212556958237</v>
      </c>
      <c r="AG152" s="177">
        <f t="shared" si="39"/>
        <v>0</v>
      </c>
      <c r="AH152" s="177">
        <f t="shared" si="40"/>
        <v>0</v>
      </c>
      <c r="AI152" s="177">
        <f t="shared" si="41"/>
        <v>0</v>
      </c>
      <c r="AJ152" s="177">
        <f t="shared" si="42"/>
        <v>0</v>
      </c>
      <c r="AK152" s="177">
        <f t="shared" si="43"/>
        <v>0</v>
      </c>
      <c r="AL152" s="177">
        <f t="shared" si="44"/>
        <v>0</v>
      </c>
      <c r="AM152" s="177">
        <f t="shared" si="45"/>
        <v>0</v>
      </c>
      <c r="AN152" s="177">
        <f t="shared" si="46"/>
        <v>0</v>
      </c>
      <c r="AO152" s="177">
        <f t="shared" si="47"/>
        <v>0</v>
      </c>
      <c r="AP152" s="177">
        <f t="shared" si="48"/>
        <v>0</v>
      </c>
    </row>
    <row r="153" spans="1:42">
      <c r="A153" s="7" t="s">
        <v>530</v>
      </c>
      <c r="B153" s="4">
        <f t="shared" si="51"/>
        <v>1.7052468047094611</v>
      </c>
      <c r="C153" s="4">
        <f t="shared" si="51"/>
        <v>1.7461727280224881</v>
      </c>
      <c r="D153" s="4">
        <f t="shared" si="51"/>
        <v>1.7828423553109605</v>
      </c>
      <c r="E153" s="4">
        <f t="shared" si="51"/>
        <v>1.8202820447724903</v>
      </c>
      <c r="F153" s="4">
        <f t="shared" si="51"/>
        <v>1.8585079677127123</v>
      </c>
      <c r="G153" s="4">
        <f t="shared" si="51"/>
        <v>1.8975366350346794</v>
      </c>
      <c r="H153" s="4">
        <f t="shared" si="51"/>
        <v>1.9373849043704072</v>
      </c>
      <c r="I153" s="4">
        <f t="shared" si="51"/>
        <v>1.9780699873621856</v>
      </c>
      <c r="J153" s="4">
        <f t="shared" si="51"/>
        <v>2.0196094570967915</v>
      </c>
      <c r="K153" s="4">
        <f t="shared" si="51"/>
        <v>2.0620212556958237</v>
      </c>
      <c r="L153" s="4">
        <f t="shared" si="38"/>
        <v>1.8533204143941524</v>
      </c>
      <c r="M153" s="4">
        <v>16000</v>
      </c>
      <c r="N153" s="155">
        <f>SUMIFS('O&amp;R KW'!C$2:C$27,'O&amp;R KW'!B$2:B$27,'O&amp;R'!A153)*1000</f>
        <v>0</v>
      </c>
      <c r="O153" s="155">
        <f>SUMIFS('O&amp;R KW'!C$29:C$32,'O&amp;R KW'!B$29:B$32,'O&amp;R'!A153)*1000</f>
        <v>0</v>
      </c>
      <c r="P153" s="155">
        <f>SUMIFS('O&amp;R KW'!$C$34:$C$36,'O&amp;R KW'!$B$34:$B$36,'O&amp;R'!A153)*1000</f>
        <v>0</v>
      </c>
      <c r="Q153" s="4">
        <f t="shared" si="49"/>
        <v>16000</v>
      </c>
      <c r="T153">
        <v>1.7052468047094611</v>
      </c>
      <c r="U153">
        <v>1.7461727280224881</v>
      </c>
      <c r="V153">
        <v>1.7828423553109605</v>
      </c>
      <c r="W153">
        <v>1.8202820447724903</v>
      </c>
      <c r="X153">
        <v>1.8585079677127123</v>
      </c>
      <c r="Y153">
        <v>1.8975366350346794</v>
      </c>
      <c r="Z153">
        <v>1.9373849043704072</v>
      </c>
      <c r="AA153">
        <v>1.9780699873621856</v>
      </c>
      <c r="AB153">
        <v>2.0196094570967915</v>
      </c>
      <c r="AC153">
        <v>2.0620212556958237</v>
      </c>
      <c r="AG153" s="177">
        <f t="shared" si="39"/>
        <v>0</v>
      </c>
      <c r="AH153" s="177">
        <f t="shared" si="40"/>
        <v>0</v>
      </c>
      <c r="AI153" s="177">
        <f t="shared" si="41"/>
        <v>0</v>
      </c>
      <c r="AJ153" s="177">
        <f t="shared" si="42"/>
        <v>0</v>
      </c>
      <c r="AK153" s="177">
        <f t="shared" si="43"/>
        <v>0</v>
      </c>
      <c r="AL153" s="177">
        <f t="shared" si="44"/>
        <v>0</v>
      </c>
      <c r="AM153" s="177">
        <f t="shared" si="45"/>
        <v>0</v>
      </c>
      <c r="AN153" s="177">
        <f t="shared" si="46"/>
        <v>0</v>
      </c>
      <c r="AO153" s="177">
        <f t="shared" si="47"/>
        <v>0</v>
      </c>
      <c r="AP153" s="177">
        <f t="shared" si="48"/>
        <v>0</v>
      </c>
    </row>
    <row r="154" spans="1:42">
      <c r="A154" s="7" t="s">
        <v>493</v>
      </c>
      <c r="B154" s="4">
        <f t="shared" ref="B154:K163" si="52">SUMIFS(B$116:B$118,$A$116:$A$118,$A154)+SUMIFS(B$104:B$107,$A$104:$A$107,$A154)+SUMIFS(B$82:B$94,$A$82:$A$94,$A154)+SUMIFS(B$5:B$63,$A$5:$A$63,$A154)</f>
        <v>1.7052468047094611</v>
      </c>
      <c r="C154" s="4">
        <f t="shared" si="52"/>
        <v>1.7461727280224881</v>
      </c>
      <c r="D154" s="4">
        <f t="shared" si="52"/>
        <v>2.1601252937208146</v>
      </c>
      <c r="E154" s="4">
        <f t="shared" si="52"/>
        <v>2.5906938050054129</v>
      </c>
      <c r="F154" s="4">
        <f t="shared" si="52"/>
        <v>8.1512312252952217</v>
      </c>
      <c r="G154" s="4">
        <f t="shared" si="52"/>
        <v>13.944168721269197</v>
      </c>
      <c r="H154" s="4">
        <f t="shared" si="52"/>
        <v>14.236996264415849</v>
      </c>
      <c r="I154" s="4">
        <f t="shared" si="52"/>
        <v>14.535973185968581</v>
      </c>
      <c r="J154" s="4">
        <f t="shared" si="52"/>
        <v>14.841228622873919</v>
      </c>
      <c r="K154" s="4">
        <f t="shared" si="52"/>
        <v>15.152894423954269</v>
      </c>
      <c r="L154" s="4">
        <f t="shared" si="38"/>
        <v>7.5583615276430054</v>
      </c>
      <c r="M154" s="4">
        <v>16000</v>
      </c>
      <c r="N154" s="155">
        <f>SUMIFS('O&amp;R KW'!C$2:C$27,'O&amp;R KW'!B$2:B$27,'O&amp;R'!A154)*1000</f>
        <v>0</v>
      </c>
      <c r="O154" s="155">
        <f>SUMIFS('O&amp;R KW'!C$29:C$32,'O&amp;R KW'!B$29:B$32,'O&amp;R'!A154)*1000</f>
        <v>0</v>
      </c>
      <c r="P154" s="155">
        <f>SUMIFS('O&amp;R KW'!$C$34:$C$36,'O&amp;R KW'!$B$34:$B$36,'O&amp;R'!A154)*1000</f>
        <v>89300</v>
      </c>
      <c r="Q154" s="4">
        <f t="shared" si="49"/>
        <v>105300</v>
      </c>
      <c r="T154">
        <v>1.7052468047094611</v>
      </c>
      <c r="U154">
        <v>1.7461727280224881</v>
      </c>
      <c r="V154">
        <v>2.1600638450766931</v>
      </c>
      <c r="W154">
        <v>2.5905683268741164</v>
      </c>
      <c r="X154">
        <v>8.1502063199187926</v>
      </c>
      <c r="Y154">
        <v>13.942206668039196</v>
      </c>
      <c r="Z154">
        <v>14.234993008068017</v>
      </c>
      <c r="AA154">
        <v>14.533927861237444</v>
      </c>
      <c r="AB154">
        <v>14.839140346323429</v>
      </c>
      <c r="AC154">
        <v>15.150762293596218</v>
      </c>
      <c r="AG154" s="177">
        <f t="shared" si="39"/>
        <v>0</v>
      </c>
      <c r="AH154" s="177">
        <f t="shared" si="40"/>
        <v>0</v>
      </c>
      <c r="AI154" s="177">
        <f t="shared" si="41"/>
        <v>-6.1448644121497864E-5</v>
      </c>
      <c r="AJ154" s="177">
        <f t="shared" si="42"/>
        <v>-1.2547813129648588E-4</v>
      </c>
      <c r="AK154" s="177">
        <f t="shared" si="43"/>
        <v>-1.024905376429075E-3</v>
      </c>
      <c r="AL154" s="177">
        <f t="shared" si="44"/>
        <v>-1.9620532300006488E-3</v>
      </c>
      <c r="AM154" s="177">
        <f t="shared" si="45"/>
        <v>-2.0032563478320498E-3</v>
      </c>
      <c r="AN154" s="177">
        <f t="shared" si="46"/>
        <v>-2.0453247311369438E-3</v>
      </c>
      <c r="AO154" s="177">
        <f t="shared" si="47"/>
        <v>-2.0882765504897094E-3</v>
      </c>
      <c r="AP154" s="177">
        <f t="shared" si="48"/>
        <v>-2.1321303580510431E-3</v>
      </c>
    </row>
    <row r="155" spans="1:42">
      <c r="A155" s="7" t="s">
        <v>491</v>
      </c>
      <c r="B155" s="4">
        <f t="shared" si="52"/>
        <v>1.7052468047094611</v>
      </c>
      <c r="C155" s="4">
        <f t="shared" si="52"/>
        <v>2.573200296944794</v>
      </c>
      <c r="D155" s="4">
        <f t="shared" si="52"/>
        <v>3.4716326510503084</v>
      </c>
      <c r="E155" s="4">
        <f t="shared" si="52"/>
        <v>5.2687918286722386</v>
      </c>
      <c r="F155" s="4">
        <f t="shared" si="52"/>
        <v>7.1399007017551774</v>
      </c>
      <c r="G155" s="4">
        <f t="shared" si="52"/>
        <v>9.0872726103111532</v>
      </c>
      <c r="H155" s="4">
        <f t="shared" si="52"/>
        <v>32.217856681244186</v>
      </c>
      <c r="I155" s="4">
        <f t="shared" si="52"/>
        <v>56.315917795935256</v>
      </c>
      <c r="J155" s="4">
        <f t="shared" si="52"/>
        <v>57.49855206964989</v>
      </c>
      <c r="K155" s="4">
        <f t="shared" si="52"/>
        <v>58.70602166311253</v>
      </c>
      <c r="L155" s="4">
        <f t="shared" si="38"/>
        <v>18.309792022590418</v>
      </c>
      <c r="M155" s="4">
        <v>16000</v>
      </c>
      <c r="N155" s="155">
        <f>SUMIFS('O&amp;R KW'!C$2:C$27,'O&amp;R KW'!B$2:B$27,'O&amp;R'!A155)*1000</f>
        <v>0</v>
      </c>
      <c r="O155" s="155">
        <f>SUMIFS('O&amp;R KW'!C$29:C$32,'O&amp;R KW'!B$29:B$32,'O&amp;R'!A155)*1000</f>
        <v>0</v>
      </c>
      <c r="P155" s="155">
        <f>SUMIFS('O&amp;R KW'!$C$34:$C$36,'O&amp;R KW'!$B$34:$B$36,'O&amp;R'!A155)*1000</f>
        <v>79800</v>
      </c>
      <c r="Q155" s="4">
        <f t="shared" si="49"/>
        <v>95800</v>
      </c>
      <c r="T155">
        <v>1.7052468047094611</v>
      </c>
      <c r="U155">
        <v>2.5730655977109094</v>
      </c>
      <c r="V155">
        <v>3.4713575952147164</v>
      </c>
      <c r="W155">
        <v>5.2682301646559591</v>
      </c>
      <c r="X155">
        <v>7.1390405133142449</v>
      </c>
      <c r="Y155">
        <v>9.0861016071135641</v>
      </c>
      <c r="Z155">
        <v>32.212924854902141</v>
      </c>
      <c r="AA155">
        <v>56.307067708289097</v>
      </c>
      <c r="AB155">
        <v>57.489516130163167</v>
      </c>
      <c r="AC155">
        <v>58.696795968896588</v>
      </c>
      <c r="AG155" s="177">
        <f t="shared" si="39"/>
        <v>0</v>
      </c>
      <c r="AH155" s="177">
        <f t="shared" si="40"/>
        <v>-1.3469923388464977E-4</v>
      </c>
      <c r="AI155" s="177">
        <f t="shared" si="41"/>
        <v>-2.7505583559195301E-4</v>
      </c>
      <c r="AJ155" s="177">
        <f t="shared" si="42"/>
        <v>-5.6166401627955054E-4</v>
      </c>
      <c r="AK155" s="177">
        <f t="shared" si="43"/>
        <v>-8.6018844093249669E-4</v>
      </c>
      <c r="AL155" s="177">
        <f t="shared" si="44"/>
        <v>-1.1710031975891155E-3</v>
      </c>
      <c r="AM155" s="177">
        <f t="shared" si="45"/>
        <v>-4.9318263420445874E-3</v>
      </c>
      <c r="AN155" s="177">
        <f t="shared" si="46"/>
        <v>-8.8500876461594657E-3</v>
      </c>
      <c r="AO155" s="177">
        <f t="shared" si="47"/>
        <v>-9.0359394867220999E-3</v>
      </c>
      <c r="AP155" s="177">
        <f t="shared" si="48"/>
        <v>-9.2256942159423261E-3</v>
      </c>
    </row>
    <row r="156" spans="1:42">
      <c r="A156" s="7" t="s">
        <v>531</v>
      </c>
      <c r="B156" s="4">
        <f t="shared" si="52"/>
        <v>1.7052468047094611</v>
      </c>
      <c r="C156" s="4">
        <f t="shared" si="52"/>
        <v>1.7461727280224881</v>
      </c>
      <c r="D156" s="4">
        <f t="shared" si="52"/>
        <v>1.7828423553109605</v>
      </c>
      <c r="E156" s="4">
        <f t="shared" si="52"/>
        <v>1.8202820447724903</v>
      </c>
      <c r="F156" s="4">
        <f t="shared" si="52"/>
        <v>1.8585079677127123</v>
      </c>
      <c r="G156" s="4">
        <f t="shared" si="52"/>
        <v>1.8975366350346794</v>
      </c>
      <c r="H156" s="4">
        <f t="shared" si="52"/>
        <v>1.9373849043704072</v>
      </c>
      <c r="I156" s="4">
        <f t="shared" si="52"/>
        <v>1.9780699873621856</v>
      </c>
      <c r="J156" s="4">
        <f t="shared" si="52"/>
        <v>2.0196094570967915</v>
      </c>
      <c r="K156" s="4">
        <f t="shared" si="52"/>
        <v>2.0620212556958237</v>
      </c>
      <c r="L156" s="4">
        <f t="shared" ref="L156:L187" si="53">NPV($M$121,B156:K156)/((1-(1+$M$121)^-10)/$M$121)</f>
        <v>1.8533204143941524</v>
      </c>
      <c r="M156" s="4">
        <v>16000</v>
      </c>
      <c r="N156" s="155">
        <f>SUMIFS('O&amp;R KW'!C$2:C$27,'O&amp;R KW'!B$2:B$27,'O&amp;R'!A156)*1000</f>
        <v>0</v>
      </c>
      <c r="O156" s="155">
        <f>SUMIFS('O&amp;R KW'!C$29:C$32,'O&amp;R KW'!B$29:B$32,'O&amp;R'!A156)*1000</f>
        <v>0</v>
      </c>
      <c r="P156" s="155">
        <f>SUMIFS('O&amp;R KW'!$C$34:$C$36,'O&amp;R KW'!$B$34:$B$36,'O&amp;R'!A156)*1000</f>
        <v>0</v>
      </c>
      <c r="Q156" s="4">
        <f t="shared" si="49"/>
        <v>16000</v>
      </c>
      <c r="T156">
        <v>1.7052468047094611</v>
      </c>
      <c r="U156">
        <v>1.7461727280224881</v>
      </c>
      <c r="V156">
        <v>1.7828423553109605</v>
      </c>
      <c r="W156">
        <v>1.8202820447724903</v>
      </c>
      <c r="X156">
        <v>1.8585079677127123</v>
      </c>
      <c r="Y156">
        <v>1.8975366350346794</v>
      </c>
      <c r="Z156">
        <v>1.9373849043704072</v>
      </c>
      <c r="AA156">
        <v>1.9780699873621856</v>
      </c>
      <c r="AB156">
        <v>2.0196094570967915</v>
      </c>
      <c r="AC156">
        <v>2.0620212556958237</v>
      </c>
      <c r="AG156" s="177">
        <f t="shared" ref="AG156:AG182" si="54">T156-B156</f>
        <v>0</v>
      </c>
      <c r="AH156" s="177">
        <f t="shared" ref="AH156:AH182" si="55">U156-C156</f>
        <v>0</v>
      </c>
      <c r="AI156" s="177">
        <f t="shared" ref="AI156:AI182" si="56">V156-D156</f>
        <v>0</v>
      </c>
      <c r="AJ156" s="177">
        <f t="shared" ref="AJ156:AJ182" si="57">W156-E156</f>
        <v>0</v>
      </c>
      <c r="AK156" s="177">
        <f t="shared" ref="AK156:AK182" si="58">X156-F156</f>
        <v>0</v>
      </c>
      <c r="AL156" s="177">
        <f t="shared" ref="AL156:AL182" si="59">Y156-G156</f>
        <v>0</v>
      </c>
      <c r="AM156" s="177">
        <f t="shared" ref="AM156:AM182" si="60">Z156-H156</f>
        <v>0</v>
      </c>
      <c r="AN156" s="177">
        <f t="shared" ref="AN156:AN182" si="61">AA156-I156</f>
        <v>0</v>
      </c>
      <c r="AO156" s="177">
        <f t="shared" ref="AO156:AO182" si="62">AB156-J156</f>
        <v>0</v>
      </c>
      <c r="AP156" s="177">
        <f t="shared" ref="AP156:AP182" si="63">AC156-K156</f>
        <v>0</v>
      </c>
    </row>
    <row r="157" spans="1:42">
      <c r="A157" s="7" t="s">
        <v>506</v>
      </c>
      <c r="B157" s="4">
        <f t="shared" si="52"/>
        <v>1.7052468047094611</v>
      </c>
      <c r="C157" s="4">
        <f t="shared" si="52"/>
        <v>1.7461727280224881</v>
      </c>
      <c r="D157" s="4">
        <f t="shared" si="52"/>
        <v>62.143471582432824</v>
      </c>
      <c r="E157" s="4">
        <f t="shared" si="52"/>
        <v>63.448484485663904</v>
      </c>
      <c r="F157" s="4">
        <f t="shared" si="52"/>
        <v>64.780902659862846</v>
      </c>
      <c r="G157" s="4">
        <f t="shared" si="52"/>
        <v>66.141301615719954</v>
      </c>
      <c r="H157" s="4">
        <f t="shared" si="52"/>
        <v>67.530268949650065</v>
      </c>
      <c r="I157" s="4">
        <f t="shared" si="52"/>
        <v>68.948404597592713</v>
      </c>
      <c r="J157" s="4">
        <f t="shared" si="52"/>
        <v>70.396321094142152</v>
      </c>
      <c r="K157" s="4">
        <f t="shared" si="52"/>
        <v>71.874643837119123</v>
      </c>
      <c r="L157" s="4">
        <f t="shared" si="53"/>
        <v>48.614722029622143</v>
      </c>
      <c r="M157" s="4">
        <v>16000</v>
      </c>
      <c r="N157" s="155">
        <f>SUMIFS('O&amp;R KW'!C$2:C$27,'O&amp;R KW'!B$2:B$27,'O&amp;R'!A157)*1000</f>
        <v>2109</v>
      </c>
      <c r="O157" s="155">
        <f>SUMIFS('O&amp;R KW'!C$29:C$32,'O&amp;R KW'!B$29:B$32,'O&amp;R'!A157)*1000</f>
        <v>0</v>
      </c>
      <c r="P157" s="155">
        <f>SUMIFS('O&amp;R KW'!$C$34:$C$36,'O&amp;R KW'!$B$34:$B$36,'O&amp;R'!A157)*1000</f>
        <v>0</v>
      </c>
      <c r="Q157" s="4">
        <f t="shared" si="49"/>
        <v>18109</v>
      </c>
      <c r="T157">
        <v>1.7052468047094611</v>
      </c>
      <c r="U157">
        <v>1.7461727280224881</v>
      </c>
      <c r="V157">
        <v>62.145012524485267</v>
      </c>
      <c r="W157">
        <v>63.450057787499453</v>
      </c>
      <c r="X157">
        <v>64.782509001036928</v>
      </c>
      <c r="Y157">
        <v>66.142941690058706</v>
      </c>
      <c r="Z157">
        <v>67.531943465549929</v>
      </c>
      <c r="AA157">
        <v>68.950114278326481</v>
      </c>
      <c r="AB157">
        <v>70.398066678171318</v>
      </c>
      <c r="AC157">
        <v>71.876426078412905</v>
      </c>
      <c r="AG157" s="177">
        <f t="shared" si="54"/>
        <v>0</v>
      </c>
      <c r="AH157" s="177">
        <f t="shared" si="55"/>
        <v>0</v>
      </c>
      <c r="AI157" s="177">
        <f t="shared" si="56"/>
        <v>1.5409420524434836E-3</v>
      </c>
      <c r="AJ157" s="177">
        <f t="shared" si="57"/>
        <v>1.5733018355490458E-3</v>
      </c>
      <c r="AK157" s="177">
        <f t="shared" si="58"/>
        <v>1.6063411740816491E-3</v>
      </c>
      <c r="AL157" s="177">
        <f t="shared" si="59"/>
        <v>1.6400743387521288E-3</v>
      </c>
      <c r="AM157" s="177">
        <f t="shared" si="60"/>
        <v>1.6745158998645593E-3</v>
      </c>
      <c r="AN157" s="177">
        <f t="shared" si="61"/>
        <v>1.709680733767982E-3</v>
      </c>
      <c r="AO157" s="177">
        <f t="shared" si="62"/>
        <v>1.7455840291660252E-3</v>
      </c>
      <c r="AP157" s="177">
        <f t="shared" si="63"/>
        <v>1.7822412937817944E-3</v>
      </c>
    </row>
    <row r="158" spans="1:42">
      <c r="A158" s="7" t="s">
        <v>513</v>
      </c>
      <c r="B158" s="4">
        <f t="shared" si="52"/>
        <v>12.530282366587128</v>
      </c>
      <c r="C158" s="4">
        <f t="shared" si="52"/>
        <v>12.83100914338522</v>
      </c>
      <c r="D158" s="4">
        <f t="shared" si="52"/>
        <v>13.100460335396308</v>
      </c>
      <c r="E158" s="4">
        <f t="shared" si="52"/>
        <v>13.37557000243963</v>
      </c>
      <c r="F158" s="4">
        <f t="shared" si="52"/>
        <v>13.656456972490862</v>
      </c>
      <c r="G158" s="4">
        <f t="shared" si="52"/>
        <v>13.943242568913169</v>
      </c>
      <c r="H158" s="4">
        <f t="shared" si="52"/>
        <v>14.236050662860343</v>
      </c>
      <c r="I158" s="4">
        <f t="shared" si="52"/>
        <v>14.53500772678041</v>
      </c>
      <c r="J158" s="4">
        <f t="shared" si="52"/>
        <v>14.840242889042797</v>
      </c>
      <c r="K158" s="4">
        <f t="shared" si="52"/>
        <v>15.151887989712693</v>
      </c>
      <c r="L158" s="4">
        <f t="shared" si="53"/>
        <v>13.618338438743271</v>
      </c>
      <c r="M158" s="4">
        <v>16000</v>
      </c>
      <c r="N158" s="155">
        <f>SUMIFS('O&amp;R KW'!C$2:C$27,'O&amp;R KW'!B$2:B$27,'O&amp;R'!A158)*1000</f>
        <v>2109</v>
      </c>
      <c r="O158" s="155">
        <f>SUMIFS('O&amp;R KW'!C$29:C$32,'O&amp;R KW'!B$29:B$32,'O&amp;R'!A158)*1000</f>
        <v>0</v>
      </c>
      <c r="P158" s="155">
        <f>SUMIFS('O&amp;R KW'!$C$34:$C$36,'O&amp;R KW'!$B$34:$B$36,'O&amp;R'!A158)*1000</f>
        <v>0</v>
      </c>
      <c r="Q158" s="4">
        <f t="shared" si="49"/>
        <v>18109</v>
      </c>
      <c r="T158">
        <v>12.530558718121732</v>
      </c>
      <c r="U158">
        <v>12.831292127356654</v>
      </c>
      <c r="V158">
        <v>13.100749262031142</v>
      </c>
      <c r="W158">
        <v>13.375864996533796</v>
      </c>
      <c r="X158">
        <v>13.656758161461005</v>
      </c>
      <c r="Y158">
        <v>13.943550082851685</v>
      </c>
      <c r="Z158">
        <v>14.236364634591569</v>
      </c>
      <c r="AA158">
        <v>14.53532829191799</v>
      </c>
      <c r="AB158">
        <v>14.840570186048266</v>
      </c>
      <c r="AC158">
        <v>15.152222159955278</v>
      </c>
      <c r="AG158" s="177">
        <f t="shared" si="54"/>
        <v>2.7635153460359163E-4</v>
      </c>
      <c r="AH158" s="177">
        <f t="shared" si="55"/>
        <v>2.8298397143444731E-4</v>
      </c>
      <c r="AI158" s="177">
        <f t="shared" si="56"/>
        <v>2.8892663483404135E-4</v>
      </c>
      <c r="AJ158" s="177">
        <f t="shared" si="57"/>
        <v>2.9499409416544609E-4</v>
      </c>
      <c r="AK158" s="177">
        <f t="shared" si="58"/>
        <v>3.0118897014297374E-4</v>
      </c>
      <c r="AL158" s="177">
        <f t="shared" si="59"/>
        <v>3.0751393851602415E-4</v>
      </c>
      <c r="AM158" s="177">
        <f t="shared" si="60"/>
        <v>3.1397173122549304E-4</v>
      </c>
      <c r="AN158" s="177">
        <f t="shared" si="61"/>
        <v>3.2056513757972027E-4</v>
      </c>
      <c r="AO158" s="177">
        <f t="shared" si="62"/>
        <v>3.272970054695179E-4</v>
      </c>
      <c r="AP158" s="177">
        <f t="shared" si="63"/>
        <v>3.3417024258497463E-4</v>
      </c>
    </row>
    <row r="159" spans="1:42">
      <c r="A159" s="7" t="s">
        <v>532</v>
      </c>
      <c r="B159" s="4">
        <f t="shared" si="52"/>
        <v>1.7052468047094611</v>
      </c>
      <c r="C159" s="4">
        <f t="shared" si="52"/>
        <v>1.7461727280224881</v>
      </c>
      <c r="D159" s="4">
        <f t="shared" si="52"/>
        <v>1.7828423553109605</v>
      </c>
      <c r="E159" s="4">
        <f t="shared" si="52"/>
        <v>1.8202820447724903</v>
      </c>
      <c r="F159" s="4">
        <f t="shared" si="52"/>
        <v>1.8585079677127123</v>
      </c>
      <c r="G159" s="4">
        <f t="shared" si="52"/>
        <v>1.8975366350346794</v>
      </c>
      <c r="H159" s="4">
        <f t="shared" si="52"/>
        <v>1.9373849043704072</v>
      </c>
      <c r="I159" s="4">
        <f t="shared" si="52"/>
        <v>1.9780699873621856</v>
      </c>
      <c r="J159" s="4">
        <f t="shared" si="52"/>
        <v>2.0196094570967915</v>
      </c>
      <c r="K159" s="4">
        <f t="shared" si="52"/>
        <v>2.0620212556958237</v>
      </c>
      <c r="L159" s="4">
        <f t="shared" si="53"/>
        <v>1.8533204143941524</v>
      </c>
      <c r="M159" s="4">
        <v>16000</v>
      </c>
      <c r="N159" s="155">
        <f>SUMIFS('O&amp;R KW'!C$2:C$27,'O&amp;R KW'!B$2:B$27,'O&amp;R'!A159)*1000</f>
        <v>0</v>
      </c>
      <c r="O159" s="155">
        <f>SUMIFS('O&amp;R KW'!C$29:C$32,'O&amp;R KW'!B$29:B$32,'O&amp;R'!A159)*1000</f>
        <v>0</v>
      </c>
      <c r="P159" s="155">
        <f>SUMIFS('O&amp;R KW'!$C$34:$C$36,'O&amp;R KW'!$B$34:$B$36,'O&amp;R'!A159)*1000</f>
        <v>0</v>
      </c>
      <c r="Q159" s="4">
        <f t="shared" si="49"/>
        <v>16000</v>
      </c>
      <c r="T159">
        <v>1.7052468047094611</v>
      </c>
      <c r="U159">
        <v>1.7461727280224881</v>
      </c>
      <c r="V159">
        <v>1.7828423553109605</v>
      </c>
      <c r="W159">
        <v>1.8202820447724903</v>
      </c>
      <c r="X159">
        <v>1.8585079677127123</v>
      </c>
      <c r="Y159">
        <v>1.8975366350346794</v>
      </c>
      <c r="Z159">
        <v>1.9373849043704072</v>
      </c>
      <c r="AA159">
        <v>1.9780699873621856</v>
      </c>
      <c r="AB159">
        <v>2.0196094570967915</v>
      </c>
      <c r="AC159">
        <v>2.0620212556958237</v>
      </c>
      <c r="AG159" s="177">
        <f t="shared" si="54"/>
        <v>0</v>
      </c>
      <c r="AH159" s="177">
        <f t="shared" si="55"/>
        <v>0</v>
      </c>
      <c r="AI159" s="177">
        <f t="shared" si="56"/>
        <v>0</v>
      </c>
      <c r="AJ159" s="177">
        <f t="shared" si="57"/>
        <v>0</v>
      </c>
      <c r="AK159" s="177">
        <f t="shared" si="58"/>
        <v>0</v>
      </c>
      <c r="AL159" s="177">
        <f t="shared" si="59"/>
        <v>0</v>
      </c>
      <c r="AM159" s="177">
        <f t="shared" si="60"/>
        <v>0</v>
      </c>
      <c r="AN159" s="177">
        <f t="shared" si="61"/>
        <v>0</v>
      </c>
      <c r="AO159" s="177">
        <f t="shared" si="62"/>
        <v>0</v>
      </c>
      <c r="AP159" s="177">
        <f t="shared" si="63"/>
        <v>0</v>
      </c>
    </row>
    <row r="160" spans="1:42">
      <c r="A160" s="7" t="s">
        <v>533</v>
      </c>
      <c r="B160" s="4">
        <f t="shared" si="52"/>
        <v>1.7052468047094611</v>
      </c>
      <c r="C160" s="4">
        <f t="shared" si="52"/>
        <v>1.7461727280224881</v>
      </c>
      <c r="D160" s="4">
        <f t="shared" si="52"/>
        <v>1.7828423553109605</v>
      </c>
      <c r="E160" s="4">
        <f t="shared" si="52"/>
        <v>1.8202820447724903</v>
      </c>
      <c r="F160" s="4">
        <f t="shared" si="52"/>
        <v>1.8585079677127123</v>
      </c>
      <c r="G160" s="4">
        <f t="shared" si="52"/>
        <v>1.8975366350346794</v>
      </c>
      <c r="H160" s="4">
        <f t="shared" si="52"/>
        <v>1.9373849043704072</v>
      </c>
      <c r="I160" s="4">
        <f t="shared" si="52"/>
        <v>1.9780699873621856</v>
      </c>
      <c r="J160" s="4">
        <f t="shared" si="52"/>
        <v>2.0196094570967915</v>
      </c>
      <c r="K160" s="4">
        <f t="shared" si="52"/>
        <v>2.0620212556958237</v>
      </c>
      <c r="L160" s="4">
        <f t="shared" si="53"/>
        <v>1.8533204143941524</v>
      </c>
      <c r="M160" s="4">
        <v>16000</v>
      </c>
      <c r="N160" s="155">
        <f>SUMIFS('O&amp;R KW'!C$2:C$27,'O&amp;R KW'!B$2:B$27,'O&amp;R'!A160)*1000</f>
        <v>0</v>
      </c>
      <c r="O160" s="155">
        <f>SUMIFS('O&amp;R KW'!C$29:C$32,'O&amp;R KW'!B$29:B$32,'O&amp;R'!A160)*1000</f>
        <v>0</v>
      </c>
      <c r="P160" s="155">
        <f>SUMIFS('O&amp;R KW'!$C$34:$C$36,'O&amp;R KW'!$B$34:$B$36,'O&amp;R'!A160)*1000</f>
        <v>0</v>
      </c>
      <c r="Q160" s="4">
        <f t="shared" si="49"/>
        <v>16000</v>
      </c>
      <c r="T160">
        <v>1.7052468047094611</v>
      </c>
      <c r="U160">
        <v>1.7461727280224881</v>
      </c>
      <c r="V160">
        <v>1.7828423553109605</v>
      </c>
      <c r="W160">
        <v>1.8202820447724903</v>
      </c>
      <c r="X160">
        <v>1.8585079677127123</v>
      </c>
      <c r="Y160">
        <v>1.8975366350346794</v>
      </c>
      <c r="Z160">
        <v>1.9373849043704072</v>
      </c>
      <c r="AA160">
        <v>1.9780699873621856</v>
      </c>
      <c r="AB160">
        <v>2.0196094570967915</v>
      </c>
      <c r="AC160">
        <v>2.0620212556958237</v>
      </c>
      <c r="AG160" s="177">
        <f t="shared" si="54"/>
        <v>0</v>
      </c>
      <c r="AH160" s="177">
        <f t="shared" si="55"/>
        <v>0</v>
      </c>
      <c r="AI160" s="177">
        <f t="shared" si="56"/>
        <v>0</v>
      </c>
      <c r="AJ160" s="177">
        <f t="shared" si="57"/>
        <v>0</v>
      </c>
      <c r="AK160" s="177">
        <f t="shared" si="58"/>
        <v>0</v>
      </c>
      <c r="AL160" s="177">
        <f t="shared" si="59"/>
        <v>0</v>
      </c>
      <c r="AM160" s="177">
        <f t="shared" si="60"/>
        <v>0</v>
      </c>
      <c r="AN160" s="177">
        <f t="shared" si="61"/>
        <v>0</v>
      </c>
      <c r="AO160" s="177">
        <f t="shared" si="62"/>
        <v>0</v>
      </c>
      <c r="AP160" s="177">
        <f t="shared" si="63"/>
        <v>0</v>
      </c>
    </row>
    <row r="161" spans="1:42">
      <c r="A161" s="7" t="s">
        <v>534</v>
      </c>
      <c r="B161" s="4">
        <f t="shared" si="52"/>
        <v>1.7052468047094611</v>
      </c>
      <c r="C161" s="4">
        <f t="shared" si="52"/>
        <v>1.7461727280224881</v>
      </c>
      <c r="D161" s="4">
        <f t="shared" si="52"/>
        <v>1.7828423553109605</v>
      </c>
      <c r="E161" s="4">
        <f t="shared" si="52"/>
        <v>1.8202820447724903</v>
      </c>
      <c r="F161" s="4">
        <f t="shared" si="52"/>
        <v>1.8585079677127123</v>
      </c>
      <c r="G161" s="4">
        <f t="shared" si="52"/>
        <v>1.8975366350346794</v>
      </c>
      <c r="H161" s="4">
        <f t="shared" si="52"/>
        <v>1.9373849043704072</v>
      </c>
      <c r="I161" s="4">
        <f t="shared" si="52"/>
        <v>1.9780699873621856</v>
      </c>
      <c r="J161" s="4">
        <f t="shared" si="52"/>
        <v>2.0196094570967915</v>
      </c>
      <c r="K161" s="4">
        <f t="shared" si="52"/>
        <v>2.0620212556958237</v>
      </c>
      <c r="L161" s="4">
        <f t="shared" si="53"/>
        <v>1.8533204143941524</v>
      </c>
      <c r="M161" s="4">
        <v>16000</v>
      </c>
      <c r="N161" s="155">
        <f>SUMIFS('O&amp;R KW'!C$2:C$27,'O&amp;R KW'!B$2:B$27,'O&amp;R'!A161)*1000</f>
        <v>0</v>
      </c>
      <c r="O161" s="155">
        <f>SUMIFS('O&amp;R KW'!C$29:C$32,'O&amp;R KW'!B$29:B$32,'O&amp;R'!A161)*1000</f>
        <v>0</v>
      </c>
      <c r="P161" s="155">
        <f>SUMIFS('O&amp;R KW'!$C$34:$C$36,'O&amp;R KW'!$B$34:$B$36,'O&amp;R'!A161)*1000</f>
        <v>0</v>
      </c>
      <c r="Q161" s="4">
        <f t="shared" si="49"/>
        <v>16000</v>
      </c>
      <c r="T161">
        <v>1.7052468047094611</v>
      </c>
      <c r="U161">
        <v>1.7461727280224881</v>
      </c>
      <c r="V161">
        <v>1.7828423553109605</v>
      </c>
      <c r="W161">
        <v>1.8202820447724903</v>
      </c>
      <c r="X161">
        <v>1.8585079677127123</v>
      </c>
      <c r="Y161">
        <v>1.8975366350346794</v>
      </c>
      <c r="Z161">
        <v>1.9373849043704072</v>
      </c>
      <c r="AA161">
        <v>1.9780699873621856</v>
      </c>
      <c r="AB161">
        <v>2.0196094570967915</v>
      </c>
      <c r="AC161">
        <v>2.0620212556958237</v>
      </c>
      <c r="AG161" s="177">
        <f t="shared" si="54"/>
        <v>0</v>
      </c>
      <c r="AH161" s="177">
        <f t="shared" si="55"/>
        <v>0</v>
      </c>
      <c r="AI161" s="177">
        <f t="shared" si="56"/>
        <v>0</v>
      </c>
      <c r="AJ161" s="177">
        <f t="shared" si="57"/>
        <v>0</v>
      </c>
      <c r="AK161" s="177">
        <f t="shared" si="58"/>
        <v>0</v>
      </c>
      <c r="AL161" s="177">
        <f t="shared" si="59"/>
        <v>0</v>
      </c>
      <c r="AM161" s="177">
        <f t="shared" si="60"/>
        <v>0</v>
      </c>
      <c r="AN161" s="177">
        <f t="shared" si="61"/>
        <v>0</v>
      </c>
      <c r="AO161" s="177">
        <f t="shared" si="62"/>
        <v>0</v>
      </c>
      <c r="AP161" s="177">
        <f t="shared" si="63"/>
        <v>0</v>
      </c>
    </row>
    <row r="162" spans="1:42">
      <c r="A162" s="7" t="s">
        <v>535</v>
      </c>
      <c r="B162" s="4">
        <f t="shared" si="52"/>
        <v>1.7052468047094611</v>
      </c>
      <c r="C162" s="4">
        <f t="shared" si="52"/>
        <v>1.7461727280224881</v>
      </c>
      <c r="D162" s="4">
        <f t="shared" si="52"/>
        <v>1.7828423553109605</v>
      </c>
      <c r="E162" s="4">
        <f t="shared" si="52"/>
        <v>1.8202820447724903</v>
      </c>
      <c r="F162" s="4">
        <f t="shared" si="52"/>
        <v>1.8585079677127123</v>
      </c>
      <c r="G162" s="4">
        <f t="shared" si="52"/>
        <v>1.8975366350346794</v>
      </c>
      <c r="H162" s="4">
        <f t="shared" si="52"/>
        <v>1.9373849043704072</v>
      </c>
      <c r="I162" s="4">
        <f t="shared" si="52"/>
        <v>1.9780699873621856</v>
      </c>
      <c r="J162" s="4">
        <f t="shared" si="52"/>
        <v>2.0196094570967915</v>
      </c>
      <c r="K162" s="4">
        <f t="shared" si="52"/>
        <v>2.0620212556958237</v>
      </c>
      <c r="L162" s="4">
        <f t="shared" si="53"/>
        <v>1.8533204143941524</v>
      </c>
      <c r="M162" s="4">
        <v>16000</v>
      </c>
      <c r="N162" s="155">
        <f>SUMIFS('O&amp;R KW'!C$2:C$27,'O&amp;R KW'!B$2:B$27,'O&amp;R'!A162)*1000</f>
        <v>0</v>
      </c>
      <c r="O162" s="155">
        <f>SUMIFS('O&amp;R KW'!C$29:C$32,'O&amp;R KW'!B$29:B$32,'O&amp;R'!A162)*1000</f>
        <v>0</v>
      </c>
      <c r="P162" s="155">
        <f>SUMIFS('O&amp;R KW'!$C$34:$C$36,'O&amp;R KW'!$B$34:$B$36,'O&amp;R'!A162)*1000</f>
        <v>0</v>
      </c>
      <c r="Q162" s="4">
        <f t="shared" si="49"/>
        <v>16000</v>
      </c>
      <c r="T162">
        <v>1.7052468047094611</v>
      </c>
      <c r="U162">
        <v>1.7461727280224881</v>
      </c>
      <c r="V162">
        <v>1.7828423553109605</v>
      </c>
      <c r="W162">
        <v>1.8202820447724903</v>
      </c>
      <c r="X162">
        <v>1.8585079677127123</v>
      </c>
      <c r="Y162">
        <v>1.8975366350346794</v>
      </c>
      <c r="Z162">
        <v>1.9373849043704072</v>
      </c>
      <c r="AA162">
        <v>1.9780699873621856</v>
      </c>
      <c r="AB162">
        <v>2.0196094570967915</v>
      </c>
      <c r="AC162">
        <v>2.0620212556958237</v>
      </c>
      <c r="AG162" s="177">
        <f t="shared" si="54"/>
        <v>0</v>
      </c>
      <c r="AH162" s="177">
        <f t="shared" si="55"/>
        <v>0</v>
      </c>
      <c r="AI162" s="177">
        <f t="shared" si="56"/>
        <v>0</v>
      </c>
      <c r="AJ162" s="177">
        <f t="shared" si="57"/>
        <v>0</v>
      </c>
      <c r="AK162" s="177">
        <f t="shared" si="58"/>
        <v>0</v>
      </c>
      <c r="AL162" s="177">
        <f t="shared" si="59"/>
        <v>0</v>
      </c>
      <c r="AM162" s="177">
        <f t="shared" si="60"/>
        <v>0</v>
      </c>
      <c r="AN162" s="177">
        <f t="shared" si="61"/>
        <v>0</v>
      </c>
      <c r="AO162" s="177">
        <f t="shared" si="62"/>
        <v>0</v>
      </c>
      <c r="AP162" s="177">
        <f t="shared" si="63"/>
        <v>0</v>
      </c>
    </row>
    <row r="163" spans="1:42">
      <c r="A163" s="7" t="s">
        <v>536</v>
      </c>
      <c r="B163" s="4">
        <f t="shared" si="52"/>
        <v>1.7052468047094611</v>
      </c>
      <c r="C163" s="4">
        <f t="shared" si="52"/>
        <v>1.7461727280224881</v>
      </c>
      <c r="D163" s="4">
        <f t="shared" si="52"/>
        <v>1.7828423553109605</v>
      </c>
      <c r="E163" s="4">
        <f t="shared" si="52"/>
        <v>1.8202820447724903</v>
      </c>
      <c r="F163" s="4">
        <f t="shared" si="52"/>
        <v>1.8585079677127123</v>
      </c>
      <c r="G163" s="4">
        <f t="shared" si="52"/>
        <v>1.8975366350346794</v>
      </c>
      <c r="H163" s="4">
        <f t="shared" si="52"/>
        <v>1.9373849043704072</v>
      </c>
      <c r="I163" s="4">
        <f t="shared" si="52"/>
        <v>1.9780699873621856</v>
      </c>
      <c r="J163" s="4">
        <f t="shared" si="52"/>
        <v>2.0196094570967915</v>
      </c>
      <c r="K163" s="4">
        <f t="shared" si="52"/>
        <v>2.0620212556958237</v>
      </c>
      <c r="L163" s="4">
        <f t="shared" si="53"/>
        <v>1.8533204143941524</v>
      </c>
      <c r="M163" s="4">
        <v>16000</v>
      </c>
      <c r="N163" s="155">
        <f>SUMIFS('O&amp;R KW'!C$2:C$27,'O&amp;R KW'!B$2:B$27,'O&amp;R'!A163)*1000</f>
        <v>0</v>
      </c>
      <c r="O163" s="155">
        <f>SUMIFS('O&amp;R KW'!C$29:C$32,'O&amp;R KW'!B$29:B$32,'O&amp;R'!A163)*1000</f>
        <v>0</v>
      </c>
      <c r="P163" s="155">
        <f>SUMIFS('O&amp;R KW'!$C$34:$C$36,'O&amp;R KW'!$B$34:$B$36,'O&amp;R'!A163)*1000</f>
        <v>0</v>
      </c>
      <c r="Q163" s="4">
        <f t="shared" si="49"/>
        <v>16000</v>
      </c>
      <c r="T163">
        <v>1.7052468047094611</v>
      </c>
      <c r="U163">
        <v>1.7461727280224881</v>
      </c>
      <c r="V163">
        <v>1.7828423553109605</v>
      </c>
      <c r="W163">
        <v>1.8202820447724903</v>
      </c>
      <c r="X163">
        <v>1.8585079677127123</v>
      </c>
      <c r="Y163">
        <v>1.8975366350346794</v>
      </c>
      <c r="Z163">
        <v>1.9373849043704072</v>
      </c>
      <c r="AA163">
        <v>1.9780699873621856</v>
      </c>
      <c r="AB163">
        <v>2.0196094570967915</v>
      </c>
      <c r="AC163">
        <v>2.0620212556958237</v>
      </c>
      <c r="AG163" s="177">
        <f t="shared" si="54"/>
        <v>0</v>
      </c>
      <c r="AH163" s="177">
        <f t="shared" si="55"/>
        <v>0</v>
      </c>
      <c r="AI163" s="177">
        <f t="shared" si="56"/>
        <v>0</v>
      </c>
      <c r="AJ163" s="177">
        <f t="shared" si="57"/>
        <v>0</v>
      </c>
      <c r="AK163" s="177">
        <f t="shared" si="58"/>
        <v>0</v>
      </c>
      <c r="AL163" s="177">
        <f t="shared" si="59"/>
        <v>0</v>
      </c>
      <c r="AM163" s="177">
        <f t="shared" si="60"/>
        <v>0</v>
      </c>
      <c r="AN163" s="177">
        <f t="shared" si="61"/>
        <v>0</v>
      </c>
      <c r="AO163" s="177">
        <f t="shared" si="62"/>
        <v>0</v>
      </c>
      <c r="AP163" s="177">
        <f t="shared" si="63"/>
        <v>0</v>
      </c>
    </row>
    <row r="164" spans="1:42">
      <c r="A164" s="7" t="s">
        <v>501</v>
      </c>
      <c r="B164" s="4">
        <f t="shared" ref="B164:K173" si="64">SUMIFS(B$116:B$118,$A$116:$A$118,$A164)+SUMIFS(B$104:B$107,$A$104:$A$107,$A164)+SUMIFS(B$82:B$94,$A$82:$A$94,$A164)+SUMIFS(B$5:B$63,$A$5:$A$63,$A164)</f>
        <v>4.5413024610917967</v>
      </c>
      <c r="C164" s="4">
        <f t="shared" si="64"/>
        <v>16.266777688700046</v>
      </c>
      <c r="D164" s="4">
        <f t="shared" si="64"/>
        <v>25.50370261907382</v>
      </c>
      <c r="E164" s="4">
        <f t="shared" si="64"/>
        <v>29.066655165237101</v>
      </c>
      <c r="F164" s="4">
        <f t="shared" si="64"/>
        <v>29.677054923707072</v>
      </c>
      <c r="G164" s="4">
        <f t="shared" si="64"/>
        <v>30.300273077104922</v>
      </c>
      <c r="H164" s="4">
        <f t="shared" si="64"/>
        <v>30.936578811724122</v>
      </c>
      <c r="I164" s="4">
        <f t="shared" si="64"/>
        <v>31.586246966770329</v>
      </c>
      <c r="J164" s="4">
        <f t="shared" si="64"/>
        <v>32.249558153072499</v>
      </c>
      <c r="K164" s="4">
        <f t="shared" si="64"/>
        <v>32.926798874287016</v>
      </c>
      <c r="L164" s="4">
        <f t="shared" si="53"/>
        <v>24.477482972474181</v>
      </c>
      <c r="M164" s="4">
        <v>16000</v>
      </c>
      <c r="N164" s="155">
        <f>SUMIFS('O&amp;R KW'!C$2:C$27,'O&amp;R KW'!B$2:B$27,'O&amp;R'!A164)*1000</f>
        <v>0</v>
      </c>
      <c r="O164" s="155">
        <f>SUMIFS('O&amp;R KW'!C$29:C$32,'O&amp;R KW'!B$29:B$32,'O&amp;R'!A164)*1000</f>
        <v>82649.999999999985</v>
      </c>
      <c r="P164" s="155">
        <f>SUMIFS('O&amp;R KW'!$C$34:$C$36,'O&amp;R KW'!$B$34:$B$36,'O&amp;R'!A164)*1000</f>
        <v>0</v>
      </c>
      <c r="Q164" s="4">
        <f t="shared" si="49"/>
        <v>98649.999999999985</v>
      </c>
      <c r="T164">
        <v>4.5405719402289622</v>
      </c>
      <c r="U164">
        <v>16.263037421882338</v>
      </c>
      <c r="V164">
        <v>25.497592519200406</v>
      </c>
      <c r="W164">
        <v>29.059636951769999</v>
      </c>
      <c r="X164">
        <v>29.669889327757161</v>
      </c>
      <c r="Y164">
        <v>30.292957003640065</v>
      </c>
      <c r="Z164">
        <v>30.929109100716502</v>
      </c>
      <c r="AA164">
        <v>31.578620391831546</v>
      </c>
      <c r="AB164">
        <v>32.241771420060005</v>
      </c>
      <c r="AC164">
        <v>32.91884861988126</v>
      </c>
      <c r="AG164" s="177">
        <f t="shared" si="54"/>
        <v>-7.3052086283453832E-4</v>
      </c>
      <c r="AH164" s="177">
        <f t="shared" si="55"/>
        <v>-3.7402668177080045E-3</v>
      </c>
      <c r="AI164" s="177">
        <f t="shared" si="56"/>
        <v>-6.1100998734140433E-3</v>
      </c>
      <c r="AJ164" s="177">
        <f t="shared" si="57"/>
        <v>-7.0182134671021856E-3</v>
      </c>
      <c r="AK164" s="177">
        <f t="shared" si="58"/>
        <v>-7.1655959499103972E-3</v>
      </c>
      <c r="AL164" s="177">
        <f t="shared" si="59"/>
        <v>-7.3160734648567427E-3</v>
      </c>
      <c r="AM164" s="177">
        <f t="shared" si="60"/>
        <v>-7.4697110076193951E-3</v>
      </c>
      <c r="AN164" s="177">
        <f t="shared" si="61"/>
        <v>-7.6265749387829374E-3</v>
      </c>
      <c r="AO164" s="177">
        <f t="shared" si="62"/>
        <v>-7.7867330124945511E-3</v>
      </c>
      <c r="AP164" s="177">
        <f t="shared" si="63"/>
        <v>-7.9502544057561408E-3</v>
      </c>
    </row>
    <row r="165" spans="1:42">
      <c r="A165" s="7" t="s">
        <v>537</v>
      </c>
      <c r="B165" s="4">
        <f t="shared" si="64"/>
        <v>1.7052468047094611</v>
      </c>
      <c r="C165" s="4">
        <f t="shared" si="64"/>
        <v>1.7461727280224881</v>
      </c>
      <c r="D165" s="4">
        <f t="shared" si="64"/>
        <v>1.7828423553109605</v>
      </c>
      <c r="E165" s="4">
        <f t="shared" si="64"/>
        <v>1.8202820447724903</v>
      </c>
      <c r="F165" s="4">
        <f t="shared" si="64"/>
        <v>1.8585079677127123</v>
      </c>
      <c r="G165" s="4">
        <f t="shared" si="64"/>
        <v>1.8975366350346794</v>
      </c>
      <c r="H165" s="4">
        <f t="shared" si="64"/>
        <v>1.9373849043704072</v>
      </c>
      <c r="I165" s="4">
        <f t="shared" si="64"/>
        <v>1.9780699873621856</v>
      </c>
      <c r="J165" s="4">
        <f t="shared" si="64"/>
        <v>2.0196094570967915</v>
      </c>
      <c r="K165" s="4">
        <f t="shared" si="64"/>
        <v>2.0620212556958237</v>
      </c>
      <c r="L165" s="4">
        <f t="shared" si="53"/>
        <v>1.8533204143941524</v>
      </c>
      <c r="M165" s="4">
        <v>16000</v>
      </c>
      <c r="N165" s="155">
        <f>SUMIFS('O&amp;R KW'!C$2:C$27,'O&amp;R KW'!B$2:B$27,'O&amp;R'!A165)*1000</f>
        <v>0</v>
      </c>
      <c r="O165" s="155">
        <f>SUMIFS('O&amp;R KW'!C$29:C$32,'O&amp;R KW'!B$29:B$32,'O&amp;R'!A165)*1000</f>
        <v>0</v>
      </c>
      <c r="P165" s="155">
        <f>SUMIFS('O&amp;R KW'!$C$34:$C$36,'O&amp;R KW'!$B$34:$B$36,'O&amp;R'!A165)*1000</f>
        <v>0</v>
      </c>
      <c r="Q165" s="4">
        <f t="shared" si="49"/>
        <v>16000</v>
      </c>
      <c r="T165">
        <v>1.7052468047094611</v>
      </c>
      <c r="U165">
        <v>1.7461727280224881</v>
      </c>
      <c r="V165">
        <v>1.7828423553109605</v>
      </c>
      <c r="W165">
        <v>1.8202820447724903</v>
      </c>
      <c r="X165">
        <v>1.8585079677127123</v>
      </c>
      <c r="Y165">
        <v>1.8975366350346794</v>
      </c>
      <c r="Z165">
        <v>1.9373849043704072</v>
      </c>
      <c r="AA165">
        <v>1.9780699873621856</v>
      </c>
      <c r="AB165">
        <v>2.0196094570967915</v>
      </c>
      <c r="AC165">
        <v>2.0620212556958237</v>
      </c>
      <c r="AG165" s="177">
        <f t="shared" si="54"/>
        <v>0</v>
      </c>
      <c r="AH165" s="177">
        <f t="shared" si="55"/>
        <v>0</v>
      </c>
      <c r="AI165" s="177">
        <f t="shared" si="56"/>
        <v>0</v>
      </c>
      <c r="AJ165" s="177">
        <f t="shared" si="57"/>
        <v>0</v>
      </c>
      <c r="AK165" s="177">
        <f t="shared" si="58"/>
        <v>0</v>
      </c>
      <c r="AL165" s="177">
        <f t="shared" si="59"/>
        <v>0</v>
      </c>
      <c r="AM165" s="177">
        <f t="shared" si="60"/>
        <v>0</v>
      </c>
      <c r="AN165" s="177">
        <f t="shared" si="61"/>
        <v>0</v>
      </c>
      <c r="AO165" s="177">
        <f t="shared" si="62"/>
        <v>0</v>
      </c>
      <c r="AP165" s="177">
        <f t="shared" si="63"/>
        <v>0</v>
      </c>
    </row>
    <row r="166" spans="1:42">
      <c r="A166" s="7" t="s">
        <v>499</v>
      </c>
      <c r="B166" s="4">
        <f t="shared" si="64"/>
        <v>4.5212651113456168</v>
      </c>
      <c r="C166" s="4">
        <f t="shared" si="64"/>
        <v>9.2298084259629931</v>
      </c>
      <c r="D166" s="4">
        <f t="shared" si="64"/>
        <v>20.639475940665655</v>
      </c>
      <c r="E166" s="4">
        <f t="shared" si="64"/>
        <v>52.564184013058075</v>
      </c>
      <c r="F166" s="4">
        <f t="shared" si="64"/>
        <v>65.359884945793681</v>
      </c>
      <c r="G166" s="4">
        <f t="shared" si="64"/>
        <v>66.732442529655344</v>
      </c>
      <c r="H166" s="4">
        <f t="shared" si="64"/>
        <v>68.133823822778098</v>
      </c>
      <c r="I166" s="4">
        <f t="shared" si="64"/>
        <v>69.564634123056436</v>
      </c>
      <c r="J166" s="4">
        <f t="shared" si="64"/>
        <v>71.025491439640604</v>
      </c>
      <c r="K166" s="4">
        <f t="shared" si="64"/>
        <v>72.517026759873048</v>
      </c>
      <c r="L166" s="4">
        <f t="shared" si="53"/>
        <v>44.106659690236022</v>
      </c>
      <c r="M166" s="4">
        <v>16000</v>
      </c>
      <c r="N166" s="155">
        <f>SUMIFS('O&amp;R KW'!C$2:C$27,'O&amp;R KW'!B$2:B$27,'O&amp;R'!A166)*1000</f>
        <v>0</v>
      </c>
      <c r="O166" s="155">
        <f>SUMIFS('O&amp;R KW'!C$29:C$32,'O&amp;R KW'!B$29:B$32,'O&amp;R'!A166)*1000</f>
        <v>87399.999999999985</v>
      </c>
      <c r="P166" s="155">
        <f>SUMIFS('O&amp;R KW'!$C$34:$C$36,'O&amp;R KW'!$B$34:$B$36,'O&amp;R'!A166)*1000</f>
        <v>0</v>
      </c>
      <c r="Q166" s="4">
        <f t="shared" si="49"/>
        <v>103399.99999999999</v>
      </c>
      <c r="T166">
        <v>4.5205397517714871</v>
      </c>
      <c r="U166">
        <v>9.2278807656242776</v>
      </c>
      <c r="V166">
        <v>20.634618784845767</v>
      </c>
      <c r="W166">
        <v>52.55111322618334</v>
      </c>
      <c r="X166">
        <v>65.343528045111285</v>
      </c>
      <c r="Y166">
        <v>66.715742134058615</v>
      </c>
      <c r="Z166">
        <v>68.116772718873833</v>
      </c>
      <c r="AA166">
        <v>69.547224945970186</v>
      </c>
      <c r="AB166">
        <v>71.007716669835546</v>
      </c>
      <c r="AC166">
        <v>72.498878719902081</v>
      </c>
      <c r="AG166" s="177">
        <f t="shared" si="54"/>
        <v>-7.2535957412966923E-4</v>
      </c>
      <c r="AH166" s="177">
        <f t="shared" si="55"/>
        <v>-1.9276603387154978E-3</v>
      </c>
      <c r="AI166" s="177">
        <f t="shared" si="56"/>
        <v>-4.8571558198879927E-3</v>
      </c>
      <c r="AJ166" s="177">
        <f t="shared" si="57"/>
        <v>-1.3070786874735063E-2</v>
      </c>
      <c r="AK166" s="177">
        <f t="shared" si="58"/>
        <v>-1.6356900682396258E-2</v>
      </c>
      <c r="AL166" s="177">
        <f t="shared" si="59"/>
        <v>-1.6700395596728868E-2</v>
      </c>
      <c r="AM166" s="177">
        <f t="shared" si="60"/>
        <v>-1.7051103904265119E-2</v>
      </c>
      <c r="AN166" s="177">
        <f t="shared" si="61"/>
        <v>-1.7409177086250338E-2</v>
      </c>
      <c r="AO166" s="177">
        <f t="shared" si="62"/>
        <v>-1.7774769805058099E-2</v>
      </c>
      <c r="AP166" s="177">
        <f t="shared" si="63"/>
        <v>-1.8148039970967034E-2</v>
      </c>
    </row>
    <row r="167" spans="1:42">
      <c r="A167" s="7" t="s">
        <v>538</v>
      </c>
      <c r="B167" s="4">
        <f t="shared" si="64"/>
        <v>1.7052468047094611</v>
      </c>
      <c r="C167" s="4">
        <f t="shared" si="64"/>
        <v>1.7461727280224881</v>
      </c>
      <c r="D167" s="4">
        <f t="shared" si="64"/>
        <v>1.7828423553109605</v>
      </c>
      <c r="E167" s="4">
        <f t="shared" si="64"/>
        <v>1.8202820447724903</v>
      </c>
      <c r="F167" s="4">
        <f t="shared" si="64"/>
        <v>1.8585079677127123</v>
      </c>
      <c r="G167" s="4">
        <f t="shared" si="64"/>
        <v>1.8975366350346794</v>
      </c>
      <c r="H167" s="4">
        <f t="shared" si="64"/>
        <v>1.9373849043704072</v>
      </c>
      <c r="I167" s="4">
        <f t="shared" si="64"/>
        <v>1.9780699873621856</v>
      </c>
      <c r="J167" s="4">
        <f t="shared" si="64"/>
        <v>2.0196094570967915</v>
      </c>
      <c r="K167" s="4">
        <f t="shared" si="64"/>
        <v>2.0620212556958237</v>
      </c>
      <c r="L167" s="4">
        <f t="shared" si="53"/>
        <v>1.8533204143941524</v>
      </c>
      <c r="M167" s="4">
        <v>16000</v>
      </c>
      <c r="N167" s="155">
        <f>SUMIFS('O&amp;R KW'!C$2:C$27,'O&amp;R KW'!B$2:B$27,'O&amp;R'!A167)*1000</f>
        <v>0</v>
      </c>
      <c r="O167" s="155">
        <f>SUMIFS('O&amp;R KW'!C$29:C$32,'O&amp;R KW'!B$29:B$32,'O&amp;R'!A167)*1000</f>
        <v>0</v>
      </c>
      <c r="P167" s="155">
        <f>SUMIFS('O&amp;R KW'!$C$34:$C$36,'O&amp;R KW'!$B$34:$B$36,'O&amp;R'!A167)*1000</f>
        <v>0</v>
      </c>
      <c r="Q167" s="4">
        <f t="shared" si="49"/>
        <v>16000</v>
      </c>
      <c r="T167">
        <v>1.7052468047094611</v>
      </c>
      <c r="U167">
        <v>1.7461727280224881</v>
      </c>
      <c r="V167">
        <v>1.7828423553109605</v>
      </c>
      <c r="W167">
        <v>1.8202820447724903</v>
      </c>
      <c r="X167">
        <v>1.8585079677127123</v>
      </c>
      <c r="Y167">
        <v>1.8975366350346794</v>
      </c>
      <c r="Z167">
        <v>1.9373849043704072</v>
      </c>
      <c r="AA167">
        <v>1.9780699873621856</v>
      </c>
      <c r="AB167">
        <v>2.0196094570967915</v>
      </c>
      <c r="AC167">
        <v>2.0620212556958237</v>
      </c>
      <c r="AG167" s="177">
        <f t="shared" si="54"/>
        <v>0</v>
      </c>
      <c r="AH167" s="177">
        <f t="shared" si="55"/>
        <v>0</v>
      </c>
      <c r="AI167" s="177">
        <f t="shared" si="56"/>
        <v>0</v>
      </c>
      <c r="AJ167" s="177">
        <f t="shared" si="57"/>
        <v>0</v>
      </c>
      <c r="AK167" s="177">
        <f t="shared" si="58"/>
        <v>0</v>
      </c>
      <c r="AL167" s="177">
        <f t="shared" si="59"/>
        <v>0</v>
      </c>
      <c r="AM167" s="177">
        <f t="shared" si="60"/>
        <v>0</v>
      </c>
      <c r="AN167" s="177">
        <f t="shared" si="61"/>
        <v>0</v>
      </c>
      <c r="AO167" s="177">
        <f t="shared" si="62"/>
        <v>0</v>
      </c>
      <c r="AP167" s="177">
        <f t="shared" si="63"/>
        <v>0</v>
      </c>
    </row>
    <row r="168" spans="1:42">
      <c r="A168" s="7" t="s">
        <v>539</v>
      </c>
      <c r="B168" s="4">
        <f t="shared" si="64"/>
        <v>1.7052468047094611</v>
      </c>
      <c r="C168" s="4">
        <f t="shared" si="64"/>
        <v>1.7461727280224881</v>
      </c>
      <c r="D168" s="4">
        <f t="shared" si="64"/>
        <v>1.7828423553109605</v>
      </c>
      <c r="E168" s="4">
        <f t="shared" si="64"/>
        <v>1.8202820447724903</v>
      </c>
      <c r="F168" s="4">
        <f t="shared" si="64"/>
        <v>1.8585079677127123</v>
      </c>
      <c r="G168" s="4">
        <f t="shared" si="64"/>
        <v>1.8975366350346794</v>
      </c>
      <c r="H168" s="4">
        <f t="shared" si="64"/>
        <v>1.9373849043704072</v>
      </c>
      <c r="I168" s="4">
        <f t="shared" si="64"/>
        <v>1.9780699873621856</v>
      </c>
      <c r="J168" s="4">
        <f t="shared" si="64"/>
        <v>2.0196094570967915</v>
      </c>
      <c r="K168" s="4">
        <f t="shared" si="64"/>
        <v>2.0620212556958237</v>
      </c>
      <c r="L168" s="4">
        <f t="shared" si="53"/>
        <v>1.8533204143941524</v>
      </c>
      <c r="M168" s="4">
        <v>16000</v>
      </c>
      <c r="N168" s="155">
        <f>SUMIFS('O&amp;R KW'!C$2:C$27,'O&amp;R KW'!B$2:B$27,'O&amp;R'!A168)*1000</f>
        <v>0</v>
      </c>
      <c r="O168" s="155">
        <f>SUMIFS('O&amp;R KW'!C$29:C$32,'O&amp;R KW'!B$29:B$32,'O&amp;R'!A168)*1000</f>
        <v>0</v>
      </c>
      <c r="P168" s="155">
        <f>SUMIFS('O&amp;R KW'!$C$34:$C$36,'O&amp;R KW'!$B$34:$B$36,'O&amp;R'!A168)*1000</f>
        <v>0</v>
      </c>
      <c r="Q168" s="4">
        <f t="shared" si="49"/>
        <v>16000</v>
      </c>
      <c r="T168">
        <v>1.7052468047094611</v>
      </c>
      <c r="U168">
        <v>1.7461727280224881</v>
      </c>
      <c r="V168">
        <v>1.7828423553109605</v>
      </c>
      <c r="W168">
        <v>1.8202820447724903</v>
      </c>
      <c r="X168">
        <v>1.8585079677127123</v>
      </c>
      <c r="Y168">
        <v>1.8975366350346794</v>
      </c>
      <c r="Z168">
        <v>1.9373849043704072</v>
      </c>
      <c r="AA168">
        <v>1.9780699873621856</v>
      </c>
      <c r="AB168">
        <v>2.0196094570967915</v>
      </c>
      <c r="AC168">
        <v>2.0620212556958237</v>
      </c>
      <c r="AG168" s="177">
        <f t="shared" si="54"/>
        <v>0</v>
      </c>
      <c r="AH168" s="177">
        <f t="shared" si="55"/>
        <v>0</v>
      </c>
      <c r="AI168" s="177">
        <f t="shared" si="56"/>
        <v>0</v>
      </c>
      <c r="AJ168" s="177">
        <f t="shared" si="57"/>
        <v>0</v>
      </c>
      <c r="AK168" s="177">
        <f t="shared" si="58"/>
        <v>0</v>
      </c>
      <c r="AL168" s="177">
        <f t="shared" si="59"/>
        <v>0</v>
      </c>
      <c r="AM168" s="177">
        <f t="shared" si="60"/>
        <v>0</v>
      </c>
      <c r="AN168" s="177">
        <f t="shared" si="61"/>
        <v>0</v>
      </c>
      <c r="AO168" s="177">
        <f t="shared" si="62"/>
        <v>0</v>
      </c>
      <c r="AP168" s="177">
        <f t="shared" si="63"/>
        <v>0</v>
      </c>
    </row>
    <row r="169" spans="1:42">
      <c r="A169" s="7" t="s">
        <v>540</v>
      </c>
      <c r="B169" s="4">
        <f t="shared" si="64"/>
        <v>1.7052468047094611</v>
      </c>
      <c r="C169" s="4">
        <f t="shared" si="64"/>
        <v>1.7461727280224881</v>
      </c>
      <c r="D169" s="4">
        <f t="shared" si="64"/>
        <v>1.7828423553109605</v>
      </c>
      <c r="E169" s="4">
        <f t="shared" si="64"/>
        <v>1.8202820447724903</v>
      </c>
      <c r="F169" s="4">
        <f t="shared" si="64"/>
        <v>1.8585079677127123</v>
      </c>
      <c r="G169" s="4">
        <f t="shared" si="64"/>
        <v>1.8975366350346794</v>
      </c>
      <c r="H169" s="4">
        <f t="shared" si="64"/>
        <v>1.9373849043704072</v>
      </c>
      <c r="I169" s="4">
        <f t="shared" si="64"/>
        <v>1.9780699873621856</v>
      </c>
      <c r="J169" s="4">
        <f t="shared" si="64"/>
        <v>2.0196094570967915</v>
      </c>
      <c r="K169" s="4">
        <f t="shared" si="64"/>
        <v>2.0620212556958237</v>
      </c>
      <c r="L169" s="4">
        <f t="shared" si="53"/>
        <v>1.8533204143941524</v>
      </c>
      <c r="M169" s="4">
        <v>16000</v>
      </c>
      <c r="N169" s="155">
        <f>SUMIFS('O&amp;R KW'!C$2:C$27,'O&amp;R KW'!B$2:B$27,'O&amp;R'!A169)*1000</f>
        <v>0</v>
      </c>
      <c r="O169" s="155">
        <f>SUMIFS('O&amp;R KW'!C$29:C$32,'O&amp;R KW'!B$29:B$32,'O&amp;R'!A169)*1000</f>
        <v>0</v>
      </c>
      <c r="P169" s="155">
        <f>SUMIFS('O&amp;R KW'!$C$34:$C$36,'O&amp;R KW'!$B$34:$B$36,'O&amp;R'!A169)*1000</f>
        <v>0</v>
      </c>
      <c r="Q169" s="4">
        <f t="shared" si="49"/>
        <v>16000</v>
      </c>
      <c r="T169">
        <v>1.7052468047094611</v>
      </c>
      <c r="U169">
        <v>1.7461727280224881</v>
      </c>
      <c r="V169">
        <v>1.7828423553109605</v>
      </c>
      <c r="W169">
        <v>1.8202820447724903</v>
      </c>
      <c r="X169">
        <v>1.8585079677127123</v>
      </c>
      <c r="Y169">
        <v>1.8975366350346794</v>
      </c>
      <c r="Z169">
        <v>1.9373849043704072</v>
      </c>
      <c r="AA169">
        <v>1.9780699873621856</v>
      </c>
      <c r="AB169">
        <v>2.0196094570967915</v>
      </c>
      <c r="AC169">
        <v>2.0620212556958237</v>
      </c>
      <c r="AG169" s="177">
        <f t="shared" si="54"/>
        <v>0</v>
      </c>
      <c r="AH169" s="177">
        <f t="shared" si="55"/>
        <v>0</v>
      </c>
      <c r="AI169" s="177">
        <f t="shared" si="56"/>
        <v>0</v>
      </c>
      <c r="AJ169" s="177">
        <f t="shared" si="57"/>
        <v>0</v>
      </c>
      <c r="AK169" s="177">
        <f t="shared" si="58"/>
        <v>0</v>
      </c>
      <c r="AL169" s="177">
        <f t="shared" si="59"/>
        <v>0</v>
      </c>
      <c r="AM169" s="177">
        <f t="shared" si="60"/>
        <v>0</v>
      </c>
      <c r="AN169" s="177">
        <f t="shared" si="61"/>
        <v>0</v>
      </c>
      <c r="AO169" s="177">
        <f t="shared" si="62"/>
        <v>0</v>
      </c>
      <c r="AP169" s="177">
        <f t="shared" si="63"/>
        <v>0</v>
      </c>
    </row>
    <row r="170" spans="1:42">
      <c r="A170" s="7" t="s">
        <v>514</v>
      </c>
      <c r="B170" s="4">
        <f t="shared" si="64"/>
        <v>1.7052468047094611</v>
      </c>
      <c r="C170" s="4">
        <f t="shared" si="64"/>
        <v>1.7461727280224881</v>
      </c>
      <c r="D170" s="4">
        <f t="shared" si="64"/>
        <v>21.249145281057761</v>
      </c>
      <c r="E170" s="4">
        <f t="shared" si="64"/>
        <v>32.782411790688961</v>
      </c>
      <c r="F170" s="4">
        <f t="shared" si="64"/>
        <v>33.364919010572549</v>
      </c>
      <c r="G170" s="4">
        <f t="shared" si="64"/>
        <v>34.065582309794571</v>
      </c>
      <c r="H170" s="4">
        <f t="shared" si="64"/>
        <v>34.780959538300252</v>
      </c>
      <c r="I170" s="4">
        <f t="shared" si="64"/>
        <v>35.511359688604557</v>
      </c>
      <c r="J170" s="4">
        <f t="shared" si="64"/>
        <v>36.257098242065254</v>
      </c>
      <c r="K170" s="4">
        <f t="shared" si="64"/>
        <v>37.018497305148614</v>
      </c>
      <c r="L170" s="4">
        <f t="shared" si="53"/>
        <v>23.985663449536517</v>
      </c>
      <c r="M170" s="4">
        <v>16000</v>
      </c>
      <c r="N170" s="155">
        <f>SUMIFS('O&amp;R KW'!C$2:C$27,'O&amp;R KW'!B$2:B$27,'O&amp;R'!A170)*1000</f>
        <v>9519</v>
      </c>
      <c r="O170" s="155">
        <f>SUMIFS('O&amp;R KW'!C$29:C$32,'O&amp;R KW'!B$29:B$32,'O&amp;R'!A170)*1000</f>
        <v>0</v>
      </c>
      <c r="P170" s="155">
        <f>SUMIFS('O&amp;R KW'!$C$34:$C$36,'O&amp;R KW'!$B$34:$B$36,'O&amp;R'!A170)*1000</f>
        <v>0</v>
      </c>
      <c r="Q170" s="4">
        <f t="shared" si="49"/>
        <v>25519</v>
      </c>
      <c r="T170">
        <v>1.7052468047094611</v>
      </c>
      <c r="U170">
        <v>1.7461727280224881</v>
      </c>
      <c r="V170">
        <v>21.249642234869675</v>
      </c>
      <c r="W170">
        <v>32.783202220616047</v>
      </c>
      <c r="X170">
        <v>33.365723335416732</v>
      </c>
      <c r="Y170">
        <v>34.066403525460473</v>
      </c>
      <c r="Z170">
        <v>34.78179799949514</v>
      </c>
      <c r="AA170">
        <v>35.51221575748454</v>
      </c>
      <c r="AB170">
        <v>36.257972288391713</v>
      </c>
      <c r="AC170">
        <v>37.019389706447932</v>
      </c>
      <c r="AG170" s="177">
        <f t="shared" si="54"/>
        <v>0</v>
      </c>
      <c r="AH170" s="177">
        <f t="shared" si="55"/>
        <v>0</v>
      </c>
      <c r="AI170" s="177">
        <f t="shared" si="56"/>
        <v>4.9695381191483534E-4</v>
      </c>
      <c r="AJ170" s="177">
        <f t="shared" si="57"/>
        <v>7.9042992708622251E-4</v>
      </c>
      <c r="AK170" s="177">
        <f t="shared" si="58"/>
        <v>8.0432484418224703E-4</v>
      </c>
      <c r="AL170" s="177">
        <f t="shared" si="59"/>
        <v>8.2121566590132034E-4</v>
      </c>
      <c r="AM170" s="177">
        <f t="shared" si="60"/>
        <v>8.3846119488839577E-4</v>
      </c>
      <c r="AN170" s="177">
        <f t="shared" si="61"/>
        <v>8.5606887998324055E-4</v>
      </c>
      <c r="AO170" s="177">
        <f t="shared" si="62"/>
        <v>8.7404632645871061E-4</v>
      </c>
      <c r="AP170" s="177">
        <f t="shared" si="63"/>
        <v>8.9240129931766887E-4</v>
      </c>
    </row>
    <row r="171" spans="1:42">
      <c r="A171" s="7" t="s">
        <v>516</v>
      </c>
      <c r="B171" s="4">
        <f t="shared" si="64"/>
        <v>1.7052468047094611</v>
      </c>
      <c r="C171" s="4">
        <f t="shared" si="64"/>
        <v>23.915845558747947</v>
      </c>
      <c r="D171" s="4">
        <f t="shared" si="64"/>
        <v>24.418078315481655</v>
      </c>
      <c r="E171" s="4">
        <f t="shared" si="64"/>
        <v>24.930857960106767</v>
      </c>
      <c r="F171" s="4">
        <f t="shared" si="64"/>
        <v>25.454405977269005</v>
      </c>
      <c r="G171" s="4">
        <f t="shared" si="64"/>
        <v>25.988948502791654</v>
      </c>
      <c r="H171" s="4">
        <f t="shared" si="64"/>
        <v>26.534716421350275</v>
      </c>
      <c r="I171" s="4">
        <f t="shared" si="64"/>
        <v>27.091945466198627</v>
      </c>
      <c r="J171" s="4">
        <f t="shared" si="64"/>
        <v>27.660876320988798</v>
      </c>
      <c r="K171" s="4">
        <f t="shared" si="64"/>
        <v>28.241754723729557</v>
      </c>
      <c r="L171" s="4">
        <f t="shared" si="53"/>
        <v>22.293129888049641</v>
      </c>
      <c r="M171" s="4">
        <v>16000</v>
      </c>
      <c r="N171" s="155">
        <f>SUMIFS('O&amp;R KW'!C$2:C$27,'O&amp;R KW'!B$2:B$27,'O&amp;R'!A171)*1000</f>
        <v>5624.0000000000009</v>
      </c>
      <c r="O171" s="155">
        <f>SUMIFS('O&amp;R KW'!C$29:C$32,'O&amp;R KW'!B$29:B$32,'O&amp;R'!A171)*1000</f>
        <v>0</v>
      </c>
      <c r="P171" s="155">
        <f>SUMIFS('O&amp;R KW'!$C$34:$C$36,'O&amp;R KW'!$B$34:$B$36,'O&amp;R'!A171)*1000</f>
        <v>0</v>
      </c>
      <c r="Q171" s="4">
        <f t="shared" si="49"/>
        <v>21624</v>
      </c>
      <c r="T171">
        <v>1.7052468047094611</v>
      </c>
      <c r="U171">
        <v>23.916411526690815</v>
      </c>
      <c r="V171">
        <v>24.418656168751323</v>
      </c>
      <c r="W171">
        <v>24.931447948295098</v>
      </c>
      <c r="X171">
        <v>25.455008355209291</v>
      </c>
      <c r="Y171">
        <v>25.989563530668686</v>
      </c>
      <c r="Z171">
        <v>26.535344364812726</v>
      </c>
      <c r="AA171">
        <v>27.09258659647379</v>
      </c>
      <c r="AB171">
        <v>27.661530914999737</v>
      </c>
      <c r="AC171">
        <v>28.242423064214726</v>
      </c>
      <c r="AG171" s="177">
        <f t="shared" si="54"/>
        <v>0</v>
      </c>
      <c r="AH171" s="177">
        <f t="shared" si="55"/>
        <v>5.6596794286889462E-4</v>
      </c>
      <c r="AI171" s="177">
        <f t="shared" si="56"/>
        <v>5.778532696680827E-4</v>
      </c>
      <c r="AJ171" s="177">
        <f t="shared" si="57"/>
        <v>5.8998818833089217E-4</v>
      </c>
      <c r="AK171" s="177">
        <f t="shared" si="58"/>
        <v>6.0237794028594749E-4</v>
      </c>
      <c r="AL171" s="177">
        <f t="shared" si="59"/>
        <v>6.1502787703204831E-4</v>
      </c>
      <c r="AM171" s="177">
        <f t="shared" si="60"/>
        <v>6.2794346245098609E-4</v>
      </c>
      <c r="AN171" s="177">
        <f t="shared" si="61"/>
        <v>6.4113027516299326E-4</v>
      </c>
      <c r="AO171" s="177">
        <f t="shared" si="62"/>
        <v>6.545940109390358E-4</v>
      </c>
      <c r="AP171" s="177">
        <f t="shared" si="63"/>
        <v>6.6834048516994926E-4</v>
      </c>
    </row>
    <row r="172" spans="1:42">
      <c r="A172" s="7" t="s">
        <v>518</v>
      </c>
      <c r="B172" s="4">
        <f t="shared" si="64"/>
        <v>1.7052468047094611</v>
      </c>
      <c r="C172" s="4">
        <f t="shared" si="64"/>
        <v>1.7461727280224881</v>
      </c>
      <c r="D172" s="4">
        <f t="shared" si="64"/>
        <v>1.7828423553109605</v>
      </c>
      <c r="E172" s="4">
        <f t="shared" si="64"/>
        <v>44.189671222885337</v>
      </c>
      <c r="F172" s="4">
        <f t="shared" si="64"/>
        <v>45.117654318565918</v>
      </c>
      <c r="G172" s="4">
        <f t="shared" si="64"/>
        <v>46.065125059255799</v>
      </c>
      <c r="H172" s="4">
        <f t="shared" si="64"/>
        <v>47.032492685500166</v>
      </c>
      <c r="I172" s="4">
        <f t="shared" si="64"/>
        <v>48.020175031895668</v>
      </c>
      <c r="J172" s="4">
        <f t="shared" si="64"/>
        <v>49.028598707565472</v>
      </c>
      <c r="K172" s="4">
        <f t="shared" si="64"/>
        <v>50.05819928042434</v>
      </c>
      <c r="L172" s="4">
        <f t="shared" si="53"/>
        <v>29.012307056215924</v>
      </c>
      <c r="M172" s="4">
        <v>16000</v>
      </c>
      <c r="N172" s="155">
        <f>SUMIFS('O&amp;R KW'!C$2:C$27,'O&amp;R KW'!B$2:B$27,'O&amp;R'!A172)*1000</f>
        <v>2109</v>
      </c>
      <c r="O172" s="155">
        <f>SUMIFS('O&amp;R KW'!C$29:C$32,'O&amp;R KW'!B$29:B$32,'O&amp;R'!A172)*1000</f>
        <v>0</v>
      </c>
      <c r="P172" s="155">
        <f>SUMIFS('O&amp;R KW'!$C$34:$C$36,'O&amp;R KW'!$B$34:$B$36,'O&amp;R'!A172)*1000</f>
        <v>0</v>
      </c>
      <c r="Q172" s="4">
        <f t="shared" si="49"/>
        <v>18109</v>
      </c>
      <c r="T172">
        <v>1.7052468047094611</v>
      </c>
      <c r="U172">
        <v>1.7461727280224881</v>
      </c>
      <c r="V172">
        <v>1.7828423553109605</v>
      </c>
      <c r="W172">
        <v>44.190752867897281</v>
      </c>
      <c r="X172">
        <v>45.118758678123115</v>
      </c>
      <c r="Y172">
        <v>46.066252610363698</v>
      </c>
      <c r="Z172">
        <v>47.033643915181329</v>
      </c>
      <c r="AA172">
        <v>48.021350437400137</v>
      </c>
      <c r="AB172">
        <v>49.029798796585531</v>
      </c>
      <c r="AC172">
        <v>50.059424571313826</v>
      </c>
      <c r="AG172" s="177">
        <f t="shared" si="54"/>
        <v>0</v>
      </c>
      <c r="AH172" s="177">
        <f t="shared" si="55"/>
        <v>0</v>
      </c>
      <c r="AI172" s="177">
        <f t="shared" si="56"/>
        <v>0</v>
      </c>
      <c r="AJ172" s="177">
        <f t="shared" si="57"/>
        <v>1.0816450119435217E-3</v>
      </c>
      <c r="AK172" s="177">
        <f t="shared" si="58"/>
        <v>1.1043595571962328E-3</v>
      </c>
      <c r="AL172" s="177">
        <f t="shared" si="59"/>
        <v>1.127551107899194E-3</v>
      </c>
      <c r="AM172" s="177">
        <f t="shared" si="60"/>
        <v>1.1512296811631018E-3</v>
      </c>
      <c r="AN172" s="177">
        <f t="shared" si="61"/>
        <v>1.1754055044690404E-3</v>
      </c>
      <c r="AO172" s="177">
        <f t="shared" si="62"/>
        <v>1.2000890200596359E-3</v>
      </c>
      <c r="AP172" s="177">
        <f t="shared" si="63"/>
        <v>1.22529088948653E-3</v>
      </c>
    </row>
    <row r="173" spans="1:42">
      <c r="A173" s="7" t="s">
        <v>541</v>
      </c>
      <c r="B173" s="4">
        <f t="shared" si="64"/>
        <v>1.7052468047094611</v>
      </c>
      <c r="C173" s="4">
        <f t="shared" si="64"/>
        <v>1.7461727280224881</v>
      </c>
      <c r="D173" s="4">
        <f t="shared" si="64"/>
        <v>1.7828423553109605</v>
      </c>
      <c r="E173" s="4">
        <f t="shared" si="64"/>
        <v>1.8202820447724903</v>
      </c>
      <c r="F173" s="4">
        <f t="shared" si="64"/>
        <v>1.8585079677127123</v>
      </c>
      <c r="G173" s="4">
        <f t="shared" si="64"/>
        <v>1.8975366350346794</v>
      </c>
      <c r="H173" s="4">
        <f t="shared" si="64"/>
        <v>1.9373849043704072</v>
      </c>
      <c r="I173" s="4">
        <f t="shared" si="64"/>
        <v>1.9780699873621856</v>
      </c>
      <c r="J173" s="4">
        <f t="shared" si="64"/>
        <v>2.0196094570967915</v>
      </c>
      <c r="K173" s="4">
        <f t="shared" si="64"/>
        <v>2.0620212556958237</v>
      </c>
      <c r="L173" s="4">
        <f t="shared" si="53"/>
        <v>1.8533204143941524</v>
      </c>
      <c r="M173" s="4">
        <v>16000</v>
      </c>
      <c r="N173" s="155">
        <f>SUMIFS('O&amp;R KW'!C$2:C$27,'O&amp;R KW'!B$2:B$27,'O&amp;R'!A173)*1000</f>
        <v>0</v>
      </c>
      <c r="O173" s="155">
        <f>SUMIFS('O&amp;R KW'!C$29:C$32,'O&amp;R KW'!B$29:B$32,'O&amp;R'!A173)*1000</f>
        <v>0</v>
      </c>
      <c r="P173" s="155">
        <f>SUMIFS('O&amp;R KW'!$C$34:$C$36,'O&amp;R KW'!$B$34:$B$36,'O&amp;R'!A173)*1000</f>
        <v>0</v>
      </c>
      <c r="Q173" s="4">
        <f t="shared" si="49"/>
        <v>16000</v>
      </c>
      <c r="T173">
        <v>1.7052468047094611</v>
      </c>
      <c r="U173">
        <v>1.7461727280224881</v>
      </c>
      <c r="V173">
        <v>1.7828423553109605</v>
      </c>
      <c r="W173">
        <v>1.8202820447724903</v>
      </c>
      <c r="X173">
        <v>1.8585079677127123</v>
      </c>
      <c r="Y173">
        <v>1.8975366350346794</v>
      </c>
      <c r="Z173">
        <v>1.9373849043704072</v>
      </c>
      <c r="AA173">
        <v>1.9780699873621856</v>
      </c>
      <c r="AB173">
        <v>2.0196094570967915</v>
      </c>
      <c r="AC173">
        <v>2.0620212556958237</v>
      </c>
      <c r="AG173" s="177">
        <f t="shared" si="54"/>
        <v>0</v>
      </c>
      <c r="AH173" s="177">
        <f t="shared" si="55"/>
        <v>0</v>
      </c>
      <c r="AI173" s="177">
        <f t="shared" si="56"/>
        <v>0</v>
      </c>
      <c r="AJ173" s="177">
        <f t="shared" si="57"/>
        <v>0</v>
      </c>
      <c r="AK173" s="177">
        <f t="shared" si="58"/>
        <v>0</v>
      </c>
      <c r="AL173" s="177">
        <f t="shared" si="59"/>
        <v>0</v>
      </c>
      <c r="AM173" s="177">
        <f t="shared" si="60"/>
        <v>0</v>
      </c>
      <c r="AN173" s="177">
        <f t="shared" si="61"/>
        <v>0</v>
      </c>
      <c r="AO173" s="177">
        <f t="shared" si="62"/>
        <v>0</v>
      </c>
      <c r="AP173" s="177">
        <f t="shared" si="63"/>
        <v>0</v>
      </c>
    </row>
    <row r="174" spans="1:42">
      <c r="A174" s="7" t="s">
        <v>520</v>
      </c>
      <c r="B174" s="4">
        <f t="shared" ref="B174:K182" si="65">SUMIFS(B$116:B$118,$A$116:$A$118,$A174)+SUMIFS(B$104:B$107,$A$104:$A$107,$A174)+SUMIFS(B$82:B$94,$A$82:$A$94,$A174)+SUMIFS(B$5:B$63,$A$5:$A$63,$A174)</f>
        <v>1.7052468047094611</v>
      </c>
      <c r="C174" s="4">
        <f t="shared" si="65"/>
        <v>1.7461727280224881</v>
      </c>
      <c r="D174" s="4">
        <f t="shared" si="65"/>
        <v>31.208649103532867</v>
      </c>
      <c r="E174" s="4">
        <f t="shared" si="65"/>
        <v>31.86403073470705</v>
      </c>
      <c r="F174" s="4">
        <f t="shared" si="65"/>
        <v>32.533175380135894</v>
      </c>
      <c r="G174" s="4">
        <f t="shared" si="65"/>
        <v>33.216372063118747</v>
      </c>
      <c r="H174" s="4">
        <f t="shared" si="65"/>
        <v>33.913915876444236</v>
      </c>
      <c r="I174" s="4">
        <f t="shared" si="65"/>
        <v>34.626108109849561</v>
      </c>
      <c r="J174" s="4">
        <f t="shared" si="65"/>
        <v>35.353256380156402</v>
      </c>
      <c r="K174" s="4">
        <f t="shared" si="65"/>
        <v>36.09567476413968</v>
      </c>
      <c r="L174" s="4">
        <f t="shared" si="53"/>
        <v>24.649503701817789</v>
      </c>
      <c r="M174" s="4">
        <v>16000</v>
      </c>
      <c r="N174" s="155">
        <f>SUMIFS('O&amp;R KW'!C$2:C$27,'O&amp;R KW'!B$2:B$27,'O&amp;R'!A174)*1000</f>
        <v>3515</v>
      </c>
      <c r="O174" s="155">
        <f>SUMIFS('O&amp;R KW'!C$29:C$32,'O&amp;R KW'!B$29:B$32,'O&amp;R'!A174)*1000</f>
        <v>0</v>
      </c>
      <c r="P174" s="155">
        <f>SUMIFS('O&amp;R KW'!$C$34:$C$36,'O&amp;R KW'!$B$34:$B$36,'O&amp;R'!A174)*1000</f>
        <v>0</v>
      </c>
      <c r="Q174" s="4">
        <f t="shared" si="49"/>
        <v>19515</v>
      </c>
      <c r="T174">
        <v>1.7052468047094611</v>
      </c>
      <c r="U174">
        <v>1.7461727280224881</v>
      </c>
      <c r="V174">
        <v>31.209400312783437</v>
      </c>
      <c r="W174">
        <v>31.864797719351884</v>
      </c>
      <c r="X174">
        <v>32.53395847145827</v>
      </c>
      <c r="Y174">
        <v>33.217171599358892</v>
      </c>
      <c r="Z174">
        <v>33.914732202945423</v>
      </c>
      <c r="AA174">
        <v>34.626941579207269</v>
      </c>
      <c r="AB174">
        <v>35.354107352370626</v>
      </c>
      <c r="AC174">
        <v>36.096543606770403</v>
      </c>
      <c r="AG174" s="177">
        <f t="shared" si="54"/>
        <v>0</v>
      </c>
      <c r="AH174" s="177">
        <f t="shared" si="55"/>
        <v>0</v>
      </c>
      <c r="AI174" s="177">
        <f t="shared" si="56"/>
        <v>7.512092505699286E-4</v>
      </c>
      <c r="AJ174" s="177">
        <f t="shared" si="57"/>
        <v>7.6698464483371254E-4</v>
      </c>
      <c r="AK174" s="177">
        <f t="shared" si="58"/>
        <v>7.8309132237563972E-4</v>
      </c>
      <c r="AL174" s="177">
        <f t="shared" si="59"/>
        <v>7.9953624014450497E-4</v>
      </c>
      <c r="AM174" s="177">
        <f t="shared" si="60"/>
        <v>8.1632650118734773E-4</v>
      </c>
      <c r="AN174" s="177">
        <f t="shared" si="61"/>
        <v>8.3346935770833852E-4</v>
      </c>
      <c r="AO174" s="177">
        <f t="shared" si="62"/>
        <v>8.5097221422358871E-4</v>
      </c>
      <c r="AP174" s="177">
        <f t="shared" si="63"/>
        <v>8.6884263072306567E-4</v>
      </c>
    </row>
    <row r="175" spans="1:42">
      <c r="A175" s="7" t="s">
        <v>542</v>
      </c>
      <c r="B175" s="4">
        <f t="shared" si="65"/>
        <v>1.7052468047094611</v>
      </c>
      <c r="C175" s="4">
        <f t="shared" si="65"/>
        <v>1.7461727280224881</v>
      </c>
      <c r="D175" s="4">
        <f t="shared" si="65"/>
        <v>1.7828423553109605</v>
      </c>
      <c r="E175" s="4">
        <f t="shared" si="65"/>
        <v>1.8202820447724903</v>
      </c>
      <c r="F175" s="4">
        <f t="shared" si="65"/>
        <v>1.8585079677127123</v>
      </c>
      <c r="G175" s="4">
        <f t="shared" si="65"/>
        <v>1.8975366350346794</v>
      </c>
      <c r="H175" s="4">
        <f t="shared" si="65"/>
        <v>1.9373849043704072</v>
      </c>
      <c r="I175" s="4">
        <f t="shared" si="65"/>
        <v>1.9780699873621856</v>
      </c>
      <c r="J175" s="4">
        <f t="shared" si="65"/>
        <v>2.0196094570967915</v>
      </c>
      <c r="K175" s="4">
        <f t="shared" si="65"/>
        <v>2.0620212556958237</v>
      </c>
      <c r="L175" s="4">
        <f t="shared" si="53"/>
        <v>1.8533204143941524</v>
      </c>
      <c r="M175" s="4">
        <v>16000</v>
      </c>
      <c r="N175" s="155">
        <f>SUMIFS('O&amp;R KW'!C$2:C$27,'O&amp;R KW'!B$2:B$27,'O&amp;R'!A175)*1000</f>
        <v>0</v>
      </c>
      <c r="O175" s="155">
        <f>SUMIFS('O&amp;R KW'!C$29:C$32,'O&amp;R KW'!B$29:B$32,'O&amp;R'!A175)*1000</f>
        <v>0</v>
      </c>
      <c r="P175" s="155">
        <f>SUMIFS('O&amp;R KW'!$C$34:$C$36,'O&amp;R KW'!$B$34:$B$36,'O&amp;R'!A175)*1000</f>
        <v>0</v>
      </c>
      <c r="Q175" s="4">
        <f t="shared" si="49"/>
        <v>16000</v>
      </c>
      <c r="T175">
        <v>1.7052468047094611</v>
      </c>
      <c r="U175">
        <v>1.7461727280224881</v>
      </c>
      <c r="V175">
        <v>1.7828423553109605</v>
      </c>
      <c r="W175">
        <v>1.8202820447724903</v>
      </c>
      <c r="X175">
        <v>1.8585079677127123</v>
      </c>
      <c r="Y175">
        <v>1.8975366350346794</v>
      </c>
      <c r="Z175">
        <v>1.9373849043704072</v>
      </c>
      <c r="AA175">
        <v>1.9780699873621856</v>
      </c>
      <c r="AB175">
        <v>2.0196094570967915</v>
      </c>
      <c r="AC175">
        <v>2.0620212556958237</v>
      </c>
      <c r="AG175" s="177">
        <f t="shared" si="54"/>
        <v>0</v>
      </c>
      <c r="AH175" s="177">
        <f t="shared" si="55"/>
        <v>0</v>
      </c>
      <c r="AI175" s="177">
        <f t="shared" si="56"/>
        <v>0</v>
      </c>
      <c r="AJ175" s="177">
        <f t="shared" si="57"/>
        <v>0</v>
      </c>
      <c r="AK175" s="177">
        <f t="shared" si="58"/>
        <v>0</v>
      </c>
      <c r="AL175" s="177">
        <f t="shared" si="59"/>
        <v>0</v>
      </c>
      <c r="AM175" s="177">
        <f t="shared" si="60"/>
        <v>0</v>
      </c>
      <c r="AN175" s="177">
        <f t="shared" si="61"/>
        <v>0</v>
      </c>
      <c r="AO175" s="177">
        <f t="shared" si="62"/>
        <v>0</v>
      </c>
      <c r="AP175" s="177">
        <f t="shared" si="63"/>
        <v>0</v>
      </c>
    </row>
    <row r="176" spans="1:42">
      <c r="A176" s="7" t="s">
        <v>543</v>
      </c>
      <c r="B176" s="4">
        <f t="shared" si="65"/>
        <v>1.7052468047094611</v>
      </c>
      <c r="C176" s="4">
        <f t="shared" si="65"/>
        <v>1.7461727280224881</v>
      </c>
      <c r="D176" s="4">
        <f t="shared" si="65"/>
        <v>1.7828423553109605</v>
      </c>
      <c r="E176" s="4">
        <f t="shared" si="65"/>
        <v>1.8202820447724903</v>
      </c>
      <c r="F176" s="4">
        <f t="shared" si="65"/>
        <v>1.8585079677127123</v>
      </c>
      <c r="G176" s="4">
        <f t="shared" si="65"/>
        <v>1.8975366350346794</v>
      </c>
      <c r="H176" s="4">
        <f t="shared" si="65"/>
        <v>1.9373849043704072</v>
      </c>
      <c r="I176" s="4">
        <f t="shared" si="65"/>
        <v>1.9780699873621856</v>
      </c>
      <c r="J176" s="4">
        <f t="shared" si="65"/>
        <v>2.0196094570967915</v>
      </c>
      <c r="K176" s="4">
        <f t="shared" si="65"/>
        <v>2.0620212556958237</v>
      </c>
      <c r="L176" s="4">
        <f t="shared" si="53"/>
        <v>1.8533204143941524</v>
      </c>
      <c r="M176" s="4">
        <v>16000</v>
      </c>
      <c r="N176" s="155">
        <f>SUMIFS('O&amp;R KW'!C$2:C$27,'O&amp;R KW'!B$2:B$27,'O&amp;R'!A176)*1000</f>
        <v>0</v>
      </c>
      <c r="O176" s="155">
        <f>SUMIFS('O&amp;R KW'!C$29:C$32,'O&amp;R KW'!B$29:B$32,'O&amp;R'!A176)*1000</f>
        <v>0</v>
      </c>
      <c r="P176" s="155">
        <f>SUMIFS('O&amp;R KW'!$C$34:$C$36,'O&amp;R KW'!$B$34:$B$36,'O&amp;R'!A176)*1000</f>
        <v>0</v>
      </c>
      <c r="Q176" s="4">
        <f t="shared" si="49"/>
        <v>16000</v>
      </c>
      <c r="T176">
        <v>1.7052468047094611</v>
      </c>
      <c r="U176">
        <v>1.7461727280224881</v>
      </c>
      <c r="V176">
        <v>1.7828423553109605</v>
      </c>
      <c r="W176">
        <v>1.8202820447724903</v>
      </c>
      <c r="X176">
        <v>1.8585079677127123</v>
      </c>
      <c r="Y176">
        <v>1.8975366350346794</v>
      </c>
      <c r="Z176">
        <v>1.9373849043704072</v>
      </c>
      <c r="AA176">
        <v>1.9780699873621856</v>
      </c>
      <c r="AB176">
        <v>2.0196094570967915</v>
      </c>
      <c r="AC176">
        <v>2.0620212556958237</v>
      </c>
      <c r="AG176" s="177">
        <f t="shared" si="54"/>
        <v>0</v>
      </c>
      <c r="AH176" s="177">
        <f t="shared" si="55"/>
        <v>0</v>
      </c>
      <c r="AI176" s="177">
        <f t="shared" si="56"/>
        <v>0</v>
      </c>
      <c r="AJ176" s="177">
        <f t="shared" si="57"/>
        <v>0</v>
      </c>
      <c r="AK176" s="177">
        <f t="shared" si="58"/>
        <v>0</v>
      </c>
      <c r="AL176" s="177">
        <f t="shared" si="59"/>
        <v>0</v>
      </c>
      <c r="AM176" s="177">
        <f t="shared" si="60"/>
        <v>0</v>
      </c>
      <c r="AN176" s="177">
        <f t="shared" si="61"/>
        <v>0</v>
      </c>
      <c r="AO176" s="177">
        <f t="shared" si="62"/>
        <v>0</v>
      </c>
      <c r="AP176" s="177">
        <f t="shared" si="63"/>
        <v>0</v>
      </c>
    </row>
    <row r="177" spans="1:42">
      <c r="A177" s="7" t="s">
        <v>544</v>
      </c>
      <c r="B177" s="4">
        <f t="shared" si="65"/>
        <v>1.7052468047094611</v>
      </c>
      <c r="C177" s="4">
        <f t="shared" si="65"/>
        <v>1.7461727280224881</v>
      </c>
      <c r="D177" s="4">
        <f t="shared" si="65"/>
        <v>1.7828423553109605</v>
      </c>
      <c r="E177" s="4">
        <f t="shared" si="65"/>
        <v>1.8202820447724903</v>
      </c>
      <c r="F177" s="4">
        <f t="shared" si="65"/>
        <v>1.8585079677127123</v>
      </c>
      <c r="G177" s="4">
        <f t="shared" si="65"/>
        <v>1.8975366350346794</v>
      </c>
      <c r="H177" s="4">
        <f t="shared" si="65"/>
        <v>1.9373849043704072</v>
      </c>
      <c r="I177" s="4">
        <f t="shared" si="65"/>
        <v>1.9780699873621856</v>
      </c>
      <c r="J177" s="4">
        <f t="shared" si="65"/>
        <v>2.0196094570967915</v>
      </c>
      <c r="K177" s="4">
        <f t="shared" si="65"/>
        <v>2.0620212556958237</v>
      </c>
      <c r="L177" s="4">
        <f t="shared" si="53"/>
        <v>1.8533204143941524</v>
      </c>
      <c r="M177" s="4">
        <v>16000</v>
      </c>
      <c r="N177" s="155">
        <f>SUMIFS('O&amp;R KW'!C$2:C$27,'O&amp;R KW'!B$2:B$27,'O&amp;R'!A177)*1000</f>
        <v>0</v>
      </c>
      <c r="O177" s="155">
        <f>SUMIFS('O&amp;R KW'!C$29:C$32,'O&amp;R KW'!B$29:B$32,'O&amp;R'!A177)*1000</f>
        <v>0</v>
      </c>
      <c r="P177" s="155">
        <f>SUMIFS('O&amp;R KW'!$C$34:$C$36,'O&amp;R KW'!$B$34:$B$36,'O&amp;R'!A177)*1000</f>
        <v>0</v>
      </c>
      <c r="Q177" s="4">
        <f t="shared" si="49"/>
        <v>16000</v>
      </c>
      <c r="T177">
        <v>1.7052468047094611</v>
      </c>
      <c r="U177">
        <v>1.7461727280224881</v>
      </c>
      <c r="V177">
        <v>1.7828423553109605</v>
      </c>
      <c r="W177">
        <v>1.8202820447724903</v>
      </c>
      <c r="X177">
        <v>1.8585079677127123</v>
      </c>
      <c r="Y177">
        <v>1.8975366350346794</v>
      </c>
      <c r="Z177">
        <v>1.9373849043704072</v>
      </c>
      <c r="AA177">
        <v>1.9780699873621856</v>
      </c>
      <c r="AB177">
        <v>2.0196094570967915</v>
      </c>
      <c r="AC177">
        <v>2.0620212556958237</v>
      </c>
      <c r="AG177" s="177">
        <f t="shared" si="54"/>
        <v>0</v>
      </c>
      <c r="AH177" s="177">
        <f t="shared" si="55"/>
        <v>0</v>
      </c>
      <c r="AI177" s="177">
        <f t="shared" si="56"/>
        <v>0</v>
      </c>
      <c r="AJ177" s="177">
        <f t="shared" si="57"/>
        <v>0</v>
      </c>
      <c r="AK177" s="177">
        <f t="shared" si="58"/>
        <v>0</v>
      </c>
      <c r="AL177" s="177">
        <f t="shared" si="59"/>
        <v>0</v>
      </c>
      <c r="AM177" s="177">
        <f t="shared" si="60"/>
        <v>0</v>
      </c>
      <c r="AN177" s="177">
        <f t="shared" si="61"/>
        <v>0</v>
      </c>
      <c r="AO177" s="177">
        <f t="shared" si="62"/>
        <v>0</v>
      </c>
      <c r="AP177" s="177">
        <f t="shared" si="63"/>
        <v>0</v>
      </c>
    </row>
    <row r="178" spans="1:42">
      <c r="A178" s="7" t="s">
        <v>489</v>
      </c>
      <c r="B178" s="4">
        <f t="shared" si="65"/>
        <v>18.479904338956036</v>
      </c>
      <c r="C178" s="4">
        <f t="shared" si="65"/>
        <v>23.681662850589177</v>
      </c>
      <c r="D178" s="4">
        <f t="shared" si="65"/>
        <v>24.178977770451553</v>
      </c>
      <c r="E178" s="4">
        <f t="shared" si="65"/>
        <v>24.686736303631029</v>
      </c>
      <c r="F178" s="4">
        <f t="shared" si="65"/>
        <v>25.205157766007279</v>
      </c>
      <c r="G178" s="4">
        <f t="shared" si="65"/>
        <v>25.73446607909343</v>
      </c>
      <c r="H178" s="4">
        <f t="shared" si="65"/>
        <v>26.274889866754389</v>
      </c>
      <c r="I178" s="4">
        <f t="shared" si="65"/>
        <v>26.826662553956229</v>
      </c>
      <c r="J178" s="4">
        <f t="shared" si="65"/>
        <v>27.390022467589308</v>
      </c>
      <c r="K178" s="4">
        <f t="shared" si="65"/>
        <v>27.96521293940868</v>
      </c>
      <c r="L178" s="4">
        <f t="shared" si="53"/>
        <v>24.471553663245658</v>
      </c>
      <c r="M178" s="4">
        <v>16000</v>
      </c>
      <c r="N178" s="155">
        <f>SUMIFS('O&amp;R KW'!C$2:C$27,'O&amp;R KW'!B$2:B$27,'O&amp;R'!A178)*1000</f>
        <v>0</v>
      </c>
      <c r="O178" s="155">
        <f>SUMIFS('O&amp;R KW'!C$29:C$32,'O&amp;R KW'!B$29:B$32,'O&amp;R'!A178)*1000</f>
        <v>0</v>
      </c>
      <c r="P178" s="155">
        <f>SUMIFS('O&amp;R KW'!$C$34:$C$36,'O&amp;R KW'!$B$34:$B$36,'O&amp;R'!A178)*1000</f>
        <v>277400</v>
      </c>
      <c r="Q178" s="4">
        <f t="shared" si="49"/>
        <v>293400</v>
      </c>
      <c r="T178">
        <v>18.477172225053856</v>
      </c>
      <c r="U178">
        <v>23.678090184059769</v>
      </c>
      <c r="V178">
        <v>24.175330077925022</v>
      </c>
      <c r="W178">
        <v>24.683012009561441</v>
      </c>
      <c r="X178">
        <v>25.201355261762227</v>
      </c>
      <c r="Y178">
        <v>25.730583722259237</v>
      </c>
      <c r="Z178">
        <v>26.270925980426675</v>
      </c>
      <c r="AA178">
        <v>26.822615426015634</v>
      </c>
      <c r="AB178">
        <v>27.385890349961961</v>
      </c>
      <c r="AC178">
        <v>27.960994047311157</v>
      </c>
      <c r="AG178" s="177">
        <f t="shared" si="54"/>
        <v>-2.7321139021800889E-3</v>
      </c>
      <c r="AH178" s="177">
        <f t="shared" si="55"/>
        <v>-3.5726665294077975E-3</v>
      </c>
      <c r="AI178" s="177">
        <f t="shared" si="56"/>
        <v>-3.6476925265311877E-3</v>
      </c>
      <c r="AJ178" s="177">
        <f t="shared" si="57"/>
        <v>-3.7242940695882965E-3</v>
      </c>
      <c r="AK178" s="177">
        <f t="shared" si="58"/>
        <v>-3.8025042450513524E-3</v>
      </c>
      <c r="AL178" s="177">
        <f t="shared" si="59"/>
        <v>-3.8823568341932457E-3</v>
      </c>
      <c r="AM178" s="177">
        <f t="shared" si="60"/>
        <v>-3.9638863277140501E-3</v>
      </c>
      <c r="AN178" s="177">
        <f t="shared" si="61"/>
        <v>-4.047127940594919E-3</v>
      </c>
      <c r="AO178" s="177">
        <f t="shared" si="62"/>
        <v>-4.1321176273463323E-3</v>
      </c>
      <c r="AP178" s="177">
        <f t="shared" si="63"/>
        <v>-4.2188920975227973E-3</v>
      </c>
    </row>
    <row r="179" spans="1:42">
      <c r="A179" s="7" t="s">
        <v>545</v>
      </c>
      <c r="B179" s="4">
        <f t="shared" si="65"/>
        <v>1.7052468047094611</v>
      </c>
      <c r="C179" s="4">
        <f t="shared" si="65"/>
        <v>1.7461727280224881</v>
      </c>
      <c r="D179" s="4">
        <f t="shared" si="65"/>
        <v>1.7828423553109605</v>
      </c>
      <c r="E179" s="4">
        <f t="shared" si="65"/>
        <v>1.8202820447724903</v>
      </c>
      <c r="F179" s="4">
        <f t="shared" si="65"/>
        <v>1.8585079677127123</v>
      </c>
      <c r="G179" s="4">
        <f t="shared" si="65"/>
        <v>1.8975366350346794</v>
      </c>
      <c r="H179" s="4">
        <f t="shared" si="65"/>
        <v>1.9373849043704072</v>
      </c>
      <c r="I179" s="4">
        <f t="shared" si="65"/>
        <v>1.9780699873621856</v>
      </c>
      <c r="J179" s="4">
        <f t="shared" si="65"/>
        <v>2.0196094570967915</v>
      </c>
      <c r="K179" s="4">
        <f t="shared" si="65"/>
        <v>2.0620212556958237</v>
      </c>
      <c r="L179" s="4">
        <f t="shared" si="53"/>
        <v>1.8533204143941524</v>
      </c>
      <c r="M179" s="4">
        <v>16000</v>
      </c>
      <c r="N179" s="155">
        <f>SUMIFS('O&amp;R KW'!C$2:C$27,'O&amp;R KW'!B$2:B$27,'O&amp;R'!A179)*1000</f>
        <v>0</v>
      </c>
      <c r="O179" s="155">
        <f>SUMIFS('O&amp;R KW'!C$29:C$32,'O&amp;R KW'!B$29:B$32,'O&amp;R'!A179)*1000</f>
        <v>0</v>
      </c>
      <c r="P179" s="155">
        <f>SUMIFS('O&amp;R KW'!$C$34:$C$36,'O&amp;R KW'!$B$34:$B$36,'O&amp;R'!A179)*1000</f>
        <v>0</v>
      </c>
      <c r="Q179" s="4">
        <f t="shared" si="49"/>
        <v>16000</v>
      </c>
      <c r="T179">
        <v>1.7052468047094611</v>
      </c>
      <c r="U179">
        <v>1.7461727280224881</v>
      </c>
      <c r="V179">
        <v>1.7828423553109605</v>
      </c>
      <c r="W179">
        <v>1.8202820447724903</v>
      </c>
      <c r="X179">
        <v>1.8585079677127123</v>
      </c>
      <c r="Y179">
        <v>1.8975366350346794</v>
      </c>
      <c r="Z179">
        <v>1.9373849043704072</v>
      </c>
      <c r="AA179">
        <v>1.9780699873621856</v>
      </c>
      <c r="AB179">
        <v>2.0196094570967915</v>
      </c>
      <c r="AC179">
        <v>2.0620212556958237</v>
      </c>
      <c r="AG179" s="177">
        <f t="shared" si="54"/>
        <v>0</v>
      </c>
      <c r="AH179" s="177">
        <f t="shared" si="55"/>
        <v>0</v>
      </c>
      <c r="AI179" s="177">
        <f t="shared" si="56"/>
        <v>0</v>
      </c>
      <c r="AJ179" s="177">
        <f t="shared" si="57"/>
        <v>0</v>
      </c>
      <c r="AK179" s="177">
        <f t="shared" si="58"/>
        <v>0</v>
      </c>
      <c r="AL179" s="177">
        <f t="shared" si="59"/>
        <v>0</v>
      </c>
      <c r="AM179" s="177">
        <f t="shared" si="60"/>
        <v>0</v>
      </c>
      <c r="AN179" s="177">
        <f t="shared" si="61"/>
        <v>0</v>
      </c>
      <c r="AO179" s="177">
        <f t="shared" si="62"/>
        <v>0</v>
      </c>
      <c r="AP179" s="177">
        <f t="shared" si="63"/>
        <v>0</v>
      </c>
    </row>
    <row r="180" spans="1:42">
      <c r="A180" s="7" t="s">
        <v>546</v>
      </c>
      <c r="B180" s="4">
        <f t="shared" si="65"/>
        <v>1.7052468047094611</v>
      </c>
      <c r="C180" s="4">
        <f t="shared" si="65"/>
        <v>1.7461727280224881</v>
      </c>
      <c r="D180" s="4">
        <f t="shared" si="65"/>
        <v>1.7828423553109605</v>
      </c>
      <c r="E180" s="4">
        <f t="shared" si="65"/>
        <v>1.8202820447724903</v>
      </c>
      <c r="F180" s="4">
        <f t="shared" si="65"/>
        <v>1.8585079677127123</v>
      </c>
      <c r="G180" s="4">
        <f t="shared" si="65"/>
        <v>1.8975366350346794</v>
      </c>
      <c r="H180" s="4">
        <f t="shared" si="65"/>
        <v>1.9373849043704072</v>
      </c>
      <c r="I180" s="4">
        <f t="shared" si="65"/>
        <v>1.9780699873621856</v>
      </c>
      <c r="J180" s="4">
        <f t="shared" si="65"/>
        <v>2.0196094570967915</v>
      </c>
      <c r="K180" s="4">
        <f t="shared" si="65"/>
        <v>2.0620212556958237</v>
      </c>
      <c r="L180" s="4">
        <f t="shared" si="53"/>
        <v>1.8533204143941524</v>
      </c>
      <c r="M180" s="4">
        <v>16000</v>
      </c>
      <c r="N180" s="155">
        <f>SUMIFS('O&amp;R KW'!C$2:C$27,'O&amp;R KW'!B$2:B$27,'O&amp;R'!A180)*1000</f>
        <v>0</v>
      </c>
      <c r="O180" s="155">
        <f>SUMIFS('O&amp;R KW'!C$29:C$32,'O&amp;R KW'!B$29:B$32,'O&amp;R'!A180)*1000</f>
        <v>0</v>
      </c>
      <c r="P180" s="155">
        <f>SUMIFS('O&amp;R KW'!$C$34:$C$36,'O&amp;R KW'!$B$34:$B$36,'O&amp;R'!A180)*1000</f>
        <v>0</v>
      </c>
      <c r="Q180" s="4">
        <f t="shared" si="49"/>
        <v>16000</v>
      </c>
      <c r="T180">
        <v>125.36123831848732</v>
      </c>
      <c r="U180">
        <v>128.36990803813103</v>
      </c>
      <c r="V180">
        <v>131.06567610693176</v>
      </c>
      <c r="W180">
        <v>133.81805530517732</v>
      </c>
      <c r="X180">
        <v>136.62823446658601</v>
      </c>
      <c r="Y180">
        <v>139.49742739038433</v>
      </c>
      <c r="Z180">
        <v>142.4268733655824</v>
      </c>
      <c r="AA180">
        <v>145.4178377062596</v>
      </c>
      <c r="AB180">
        <v>148.47161229809103</v>
      </c>
      <c r="AC180">
        <v>151.5895161563509</v>
      </c>
      <c r="AG180" s="177">
        <f t="shared" si="54"/>
        <v>123.65599151377786</v>
      </c>
      <c r="AH180" s="177">
        <f t="shared" si="55"/>
        <v>126.62373531010854</v>
      </c>
      <c r="AI180" s="177">
        <f t="shared" si="56"/>
        <v>129.28283375162081</v>
      </c>
      <c r="AJ180" s="177">
        <f t="shared" si="57"/>
        <v>131.99777326040484</v>
      </c>
      <c r="AK180" s="177">
        <f t="shared" si="58"/>
        <v>134.7697264988733</v>
      </c>
      <c r="AL180" s="177">
        <f t="shared" si="59"/>
        <v>137.59989075534966</v>
      </c>
      <c r="AM180" s="177">
        <f t="shared" si="60"/>
        <v>140.48948846121198</v>
      </c>
      <c r="AN180" s="177">
        <f t="shared" si="61"/>
        <v>143.43976771889743</v>
      </c>
      <c r="AO180" s="177">
        <f t="shared" si="62"/>
        <v>146.45200284099423</v>
      </c>
      <c r="AP180" s="177">
        <f t="shared" si="63"/>
        <v>149.52749490065509</v>
      </c>
    </row>
    <row r="181" spans="1:42">
      <c r="A181" s="7" t="s">
        <v>522</v>
      </c>
      <c r="B181" s="4">
        <f t="shared" si="65"/>
        <v>125.35808159438635</v>
      </c>
      <c r="C181" s="4">
        <f t="shared" si="65"/>
        <v>128.36667555265163</v>
      </c>
      <c r="D181" s="4">
        <f t="shared" si="65"/>
        <v>131.06237573925728</v>
      </c>
      <c r="E181" s="4">
        <f t="shared" si="65"/>
        <v>133.81468562978168</v>
      </c>
      <c r="F181" s="4">
        <f t="shared" si="65"/>
        <v>136.62479402800707</v>
      </c>
      <c r="G181" s="4">
        <f t="shared" si="65"/>
        <v>139.49391470259522</v>
      </c>
      <c r="H181" s="4">
        <f t="shared" si="65"/>
        <v>142.42328691134972</v>
      </c>
      <c r="I181" s="4">
        <f t="shared" si="65"/>
        <v>145.41417593648805</v>
      </c>
      <c r="J181" s="4">
        <f t="shared" si="65"/>
        <v>148.4678736311543</v>
      </c>
      <c r="K181" s="4">
        <f t="shared" si="65"/>
        <v>151.58569897740847</v>
      </c>
      <c r="L181" s="4">
        <f t="shared" si="53"/>
        <v>136.2434405896735</v>
      </c>
      <c r="M181" s="4">
        <v>16000</v>
      </c>
      <c r="N181" s="155">
        <f>SUMIFS('O&amp;R KW'!C$2:C$27,'O&amp;R KW'!B$2:B$27,'O&amp;R'!A181)*1000</f>
        <v>2460.5</v>
      </c>
      <c r="O181" s="155">
        <f>SUMIFS('O&amp;R KW'!C$29:C$32,'O&amp;R KW'!B$29:B$32,'O&amp;R'!A181)*1000</f>
        <v>0</v>
      </c>
      <c r="P181" s="155">
        <f>SUMIFS('O&amp;R KW'!$C$34:$C$36,'O&amp;R KW'!$B$34:$B$36,'O&amp;R'!A181)*1000</f>
        <v>0</v>
      </c>
      <c r="Q181" s="4">
        <f t="shared" si="49"/>
        <v>18460.5</v>
      </c>
      <c r="T181">
        <v>125.36123831848732</v>
      </c>
      <c r="U181">
        <v>128.36990803813103</v>
      </c>
      <c r="V181">
        <v>131.06567610693176</v>
      </c>
      <c r="W181">
        <v>133.81805530517732</v>
      </c>
      <c r="X181">
        <v>136.62823446658601</v>
      </c>
      <c r="Y181">
        <v>139.49742739038433</v>
      </c>
      <c r="Z181">
        <v>142.4268733655824</v>
      </c>
      <c r="AA181">
        <v>145.4178377062596</v>
      </c>
      <c r="AB181">
        <v>148.47161229809103</v>
      </c>
      <c r="AC181">
        <v>151.5895161563509</v>
      </c>
      <c r="AG181" s="177">
        <f t="shared" si="54"/>
        <v>3.1567241009753388E-3</v>
      </c>
      <c r="AH181" s="177">
        <f t="shared" si="55"/>
        <v>3.2324854794012481E-3</v>
      </c>
      <c r="AI181" s="177">
        <f t="shared" si="56"/>
        <v>3.3003676744840504E-3</v>
      </c>
      <c r="AJ181" s="177">
        <f t="shared" si="57"/>
        <v>3.3696753956462544E-3</v>
      </c>
      <c r="AK181" s="177">
        <f t="shared" si="58"/>
        <v>3.4404385789343905E-3</v>
      </c>
      <c r="AL181" s="177">
        <f t="shared" si="59"/>
        <v>3.5126877891116237E-3</v>
      </c>
      <c r="AM181" s="177">
        <f t="shared" si="60"/>
        <v>3.586454232674896E-3</v>
      </c>
      <c r="AN181" s="177">
        <f t="shared" si="61"/>
        <v>3.6617697715541908E-3</v>
      </c>
      <c r="AO181" s="177">
        <f t="shared" si="62"/>
        <v>3.7386669367265313E-3</v>
      </c>
      <c r="AP181" s="177">
        <f t="shared" si="63"/>
        <v>3.8171789424268354E-3</v>
      </c>
    </row>
    <row r="182" spans="1:42">
      <c r="A182" s="7" t="s">
        <v>497</v>
      </c>
      <c r="B182" s="4">
        <f t="shared" si="65"/>
        <v>92.762890914985149</v>
      </c>
      <c r="C182" s="4">
        <f t="shared" si="65"/>
        <v>48.367686512483637</v>
      </c>
      <c r="D182" s="4">
        <f t="shared" si="65"/>
        <v>49.383407929245799</v>
      </c>
      <c r="E182" s="4">
        <f t="shared" si="65"/>
        <v>51.204333325614591</v>
      </c>
      <c r="F182" s="4">
        <f t="shared" si="65"/>
        <v>53.079959505734074</v>
      </c>
      <c r="G182" s="4">
        <f t="shared" si="65"/>
        <v>62.366060846029463</v>
      </c>
      <c r="H182" s="4">
        <f t="shared" si="65"/>
        <v>80.361792237154361</v>
      </c>
      <c r="I182" s="4">
        <f t="shared" si="65"/>
        <v>99.085840913873412</v>
      </c>
      <c r="J182" s="4">
        <f t="shared" si="65"/>
        <v>109.86375182885139</v>
      </c>
      <c r="K182" s="4">
        <f t="shared" si="65"/>
        <v>112.17089061725726</v>
      </c>
      <c r="L182" s="4">
        <f t="shared" si="53"/>
        <v>72.246788918458265</v>
      </c>
      <c r="M182" s="4">
        <v>16000</v>
      </c>
      <c r="N182" s="155">
        <f>SUMIFS('O&amp;R KW'!C$2:C$27,'O&amp;R KW'!B$2:B$27,'O&amp;R'!A182)*1000</f>
        <v>0</v>
      </c>
      <c r="O182" s="155">
        <f>SUMIFS('O&amp;R KW'!C$29:C$32,'O&amp;R KW'!B$29:B$32,'O&amp;R'!A182)*1000</f>
        <v>159600</v>
      </c>
      <c r="P182" s="155">
        <f>SUMIFS('O&amp;R KW'!$C$34:$C$36,'O&amp;R KW'!$B$34:$B$36,'O&amp;R'!A182)*1000</f>
        <v>0</v>
      </c>
      <c r="Q182" s="4">
        <f t="shared" si="49"/>
        <v>175600</v>
      </c>
      <c r="T182">
        <v>92.739435977282014</v>
      </c>
      <c r="U182">
        <v>48.355677584379634</v>
      </c>
      <c r="V182">
        <v>49.371146813651606</v>
      </c>
      <c r="W182">
        <v>51.191612813705476</v>
      </c>
      <c r="X182">
        <v>53.066765710016774</v>
      </c>
      <c r="Y182">
        <v>62.350485157879085</v>
      </c>
      <c r="Z182">
        <v>80.341591411552415</v>
      </c>
      <c r="AA182">
        <v>99.060827563925386</v>
      </c>
      <c r="AB182">
        <v>109.83597296782666</v>
      </c>
      <c r="AC182">
        <v>112.14252840015101</v>
      </c>
      <c r="AG182" s="177">
        <f t="shared" si="54"/>
        <v>-2.345493770313567E-2</v>
      </c>
      <c r="AH182" s="177">
        <f t="shared" si="55"/>
        <v>-1.2008928104002337E-2</v>
      </c>
      <c r="AI182" s="177">
        <f t="shared" si="56"/>
        <v>-1.2261115594192518E-2</v>
      </c>
      <c r="AJ182" s="177">
        <f t="shared" si="57"/>
        <v>-1.2720511909115828E-2</v>
      </c>
      <c r="AK182" s="177">
        <f t="shared" si="58"/>
        <v>-1.3193795717299395E-2</v>
      </c>
      <c r="AL182" s="177">
        <f t="shared" si="59"/>
        <v>-1.5575688150377687E-2</v>
      </c>
      <c r="AM182" s="177">
        <f t="shared" si="60"/>
        <v>-2.0200825601946804E-2</v>
      </c>
      <c r="AN182" s="177">
        <f t="shared" si="61"/>
        <v>-2.5013349948025621E-2</v>
      </c>
      <c r="AO182" s="177">
        <f t="shared" si="62"/>
        <v>-2.7778861024728485E-2</v>
      </c>
      <c r="AP182" s="177">
        <f t="shared" si="63"/>
        <v>-2.8362217106248977E-2</v>
      </c>
    </row>
    <row r="188" spans="1:42" s="155" customFormat="1"/>
    <row r="190" spans="1:42">
      <c r="R190" s="4"/>
      <c r="S190" s="4"/>
    </row>
    <row r="191" spans="1:42">
      <c r="R191" s="4"/>
      <c r="S191" s="4"/>
    </row>
    <row r="192" spans="1:42">
      <c r="R192" s="4"/>
      <c r="S192" s="4"/>
    </row>
    <row r="193" spans="18:19">
      <c r="R193" s="4"/>
      <c r="S193" s="4"/>
    </row>
    <row r="194" spans="18:19">
      <c r="R194" s="4"/>
      <c r="S194" s="4"/>
    </row>
    <row r="195" spans="18:19">
      <c r="R195" s="4"/>
      <c r="S195" s="4"/>
    </row>
    <row r="196" spans="18:19">
      <c r="R196" s="4"/>
      <c r="S196" s="4"/>
    </row>
    <row r="197" spans="18:19">
      <c r="R197" s="4"/>
      <c r="S197" s="4"/>
    </row>
    <row r="198" spans="18:19">
      <c r="R198" s="4"/>
      <c r="S198" s="4"/>
    </row>
    <row r="199" spans="18:19">
      <c r="R199" s="4"/>
      <c r="S199" s="4"/>
    </row>
    <row r="200" spans="18:19">
      <c r="R200" s="4"/>
      <c r="S200" s="4"/>
    </row>
    <row r="201" spans="18:19">
      <c r="R201" s="4"/>
      <c r="S201" s="4"/>
    </row>
    <row r="202" spans="18:19">
      <c r="R202" s="4"/>
      <c r="S202" s="4"/>
    </row>
    <row r="203" spans="18:19">
      <c r="R203" s="4"/>
      <c r="S203" s="4"/>
    </row>
    <row r="204" spans="18:19">
      <c r="R204" s="4"/>
      <c r="S204" s="4"/>
    </row>
    <row r="205" spans="18:19">
      <c r="R205" s="4"/>
      <c r="S205" s="4"/>
    </row>
    <row r="206" spans="18:19">
      <c r="R206" s="4"/>
      <c r="S206" s="4"/>
    </row>
    <row r="207" spans="18:19">
      <c r="R207" s="4"/>
      <c r="S207" s="4"/>
    </row>
    <row r="208" spans="18:19">
      <c r="R208" s="4"/>
      <c r="S208" s="4"/>
    </row>
    <row r="209" spans="18:19">
      <c r="R209" s="4"/>
      <c r="S209" s="4"/>
    </row>
    <row r="210" spans="18:19">
      <c r="R210" s="4"/>
      <c r="S210" s="4"/>
    </row>
    <row r="211" spans="18:19">
      <c r="R211" s="4"/>
      <c r="S211" s="4"/>
    </row>
    <row r="212" spans="18:19">
      <c r="R212" s="4"/>
      <c r="S212" s="4"/>
    </row>
    <row r="213" spans="18:19">
      <c r="R213" s="4"/>
      <c r="S213" s="4"/>
    </row>
    <row r="214" spans="18:19">
      <c r="R214" s="4"/>
      <c r="S214" s="4"/>
    </row>
    <row r="215" spans="18:19">
      <c r="R215" s="4"/>
      <c r="S215" s="4"/>
    </row>
    <row r="216" spans="18:19">
      <c r="R216" s="4"/>
      <c r="S216" s="4"/>
    </row>
    <row r="217" spans="18:19">
      <c r="R217" s="4"/>
      <c r="S217" s="4"/>
    </row>
    <row r="218" spans="18:19">
      <c r="R218" s="4"/>
      <c r="S218" s="4"/>
    </row>
    <row r="219" spans="18:19">
      <c r="R219" s="4"/>
      <c r="S219" s="4"/>
    </row>
    <row r="220" spans="18:19">
      <c r="R220" s="4"/>
      <c r="S220" s="4"/>
    </row>
    <row r="221" spans="18:19">
      <c r="R221" s="4"/>
      <c r="S221" s="4"/>
    </row>
    <row r="222" spans="18:19">
      <c r="R222" s="4"/>
      <c r="S222" s="4"/>
    </row>
    <row r="223" spans="18:19">
      <c r="R223" s="4"/>
      <c r="S223" s="4"/>
    </row>
    <row r="224" spans="18:19">
      <c r="R224" s="4"/>
      <c r="S224" s="4"/>
    </row>
    <row r="225" spans="18:19">
      <c r="R225" s="4"/>
      <c r="S225" s="4"/>
    </row>
    <row r="226" spans="18:19">
      <c r="R226" s="4"/>
      <c r="S226" s="4"/>
    </row>
    <row r="227" spans="18:19">
      <c r="R227" s="4"/>
      <c r="S227" s="4"/>
    </row>
    <row r="228" spans="18:19">
      <c r="R228" s="4"/>
      <c r="S228" s="4"/>
    </row>
    <row r="229" spans="18:19">
      <c r="R229" s="4"/>
      <c r="S229" s="4"/>
    </row>
    <row r="230" spans="18:19">
      <c r="R230" s="4"/>
      <c r="S230" s="4"/>
    </row>
    <row r="231" spans="18:19">
      <c r="R231" s="4"/>
      <c r="S231" s="4"/>
    </row>
    <row r="232" spans="18:19">
      <c r="R232" s="4"/>
      <c r="S232" s="4"/>
    </row>
    <row r="233" spans="18:19">
      <c r="R233" s="4"/>
      <c r="S233" s="4"/>
    </row>
    <row r="234" spans="18:19">
      <c r="R234" s="4"/>
      <c r="S234" s="4"/>
    </row>
    <row r="235" spans="18:19">
      <c r="R235" s="4"/>
      <c r="S235" s="4"/>
    </row>
    <row r="236" spans="18:19">
      <c r="R236" s="4"/>
      <c r="S236" s="4"/>
    </row>
    <row r="237" spans="18:19">
      <c r="R237" s="4"/>
      <c r="S237" s="4"/>
    </row>
    <row r="238" spans="18:19">
      <c r="R238" s="4"/>
      <c r="S238" s="4"/>
    </row>
    <row r="239" spans="18:19">
      <c r="R239" s="4"/>
      <c r="S239" s="4"/>
    </row>
    <row r="240" spans="18:19">
      <c r="R240" s="4"/>
      <c r="S240" s="4"/>
    </row>
    <row r="241" spans="18:19">
      <c r="R241" s="4"/>
      <c r="S241" s="4"/>
    </row>
    <row r="242" spans="18:19">
      <c r="R242" s="4"/>
      <c r="S242" s="4"/>
    </row>
    <row r="243" spans="18:19">
      <c r="R243" s="4"/>
      <c r="S243" s="4"/>
    </row>
    <row r="244" spans="18:19">
      <c r="R244" s="4"/>
      <c r="S244" s="4"/>
    </row>
    <row r="245" spans="18:19">
      <c r="R245" s="4"/>
      <c r="S245" s="4"/>
    </row>
    <row r="246" spans="18:19">
      <c r="R246" s="4"/>
      <c r="S246" s="4"/>
    </row>
    <row r="247" spans="18:19">
      <c r="R247" s="4"/>
      <c r="S247" s="4"/>
    </row>
    <row r="248" spans="18:19">
      <c r="R248" s="4"/>
      <c r="S248" s="4"/>
    </row>
  </sheetData>
  <pageMargins left="0.7" right="0.7" top="0.75" bottom="0.75" header="0.3" footer="0.3"/>
  <pageSetup scale="1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DCD79-DC7E-48C2-8651-71F5AEFF7768}">
  <sheetPr>
    <pageSetUpPr fitToPage="1"/>
  </sheetPr>
  <dimension ref="A8:Z582"/>
  <sheetViews>
    <sheetView zoomScale="85" zoomScaleNormal="85" workbookViewId="0">
      <selection activeCell="A8" sqref="A8"/>
    </sheetView>
  </sheetViews>
  <sheetFormatPr defaultRowHeight="15"/>
  <cols>
    <col min="1" max="1" width="15.42578125" customWidth="1"/>
    <col min="4" max="4" width="11.42578125" customWidth="1"/>
    <col min="5" max="5" width="10.42578125" customWidth="1"/>
    <col min="6" max="7" width="11.140625" customWidth="1"/>
    <col min="21" max="21" width="18.28515625" customWidth="1"/>
    <col min="24" max="24" width="9.42578125" bestFit="1" customWidth="1"/>
    <col min="26" max="26" width="8.7109375" style="9"/>
  </cols>
  <sheetData>
    <row r="8" spans="1:7">
      <c r="A8" s="155" t="s">
        <v>2279</v>
      </c>
    </row>
    <row r="11" spans="1:7" ht="18.75">
      <c r="A11" s="15" t="s">
        <v>366</v>
      </c>
      <c r="B11" s="16"/>
      <c r="C11" s="16"/>
      <c r="D11" s="17"/>
      <c r="E11" s="17"/>
      <c r="F11" s="18"/>
      <c r="G11" s="18"/>
    </row>
    <row r="12" spans="1:7" ht="18.75">
      <c r="A12" s="15" t="s">
        <v>367</v>
      </c>
      <c r="B12" s="16"/>
      <c r="C12" s="16"/>
      <c r="D12" s="17"/>
      <c r="E12" s="17"/>
      <c r="F12" s="18"/>
      <c r="G12" s="18"/>
    </row>
    <row r="13" spans="1:7">
      <c r="A13" s="19"/>
      <c r="B13" s="19"/>
      <c r="C13" s="19"/>
      <c r="D13" s="19"/>
      <c r="E13" s="19"/>
      <c r="F13" s="19"/>
      <c r="G13" s="19"/>
    </row>
    <row r="14" spans="1:7">
      <c r="A14" s="19"/>
      <c r="B14" s="19"/>
      <c r="C14" s="19"/>
      <c r="D14" s="19"/>
      <c r="E14" s="19"/>
      <c r="F14" s="19"/>
      <c r="G14" s="19"/>
    </row>
    <row r="15" spans="1:7">
      <c r="A15" s="19"/>
      <c r="B15" s="19"/>
      <c r="C15" s="19"/>
      <c r="D15" s="19"/>
      <c r="E15" s="19"/>
      <c r="F15" s="19"/>
      <c r="G15" s="19"/>
    </row>
    <row r="16" spans="1:7" ht="15.75">
      <c r="A16" s="58"/>
      <c r="B16" s="59"/>
      <c r="C16" s="60" t="s">
        <v>548</v>
      </c>
      <c r="D16" s="61"/>
      <c r="E16" s="23"/>
      <c r="F16" s="23"/>
      <c r="G16" s="24"/>
    </row>
    <row r="17" spans="1:22" ht="60">
      <c r="A17" s="25" t="s">
        <v>372</v>
      </c>
      <c r="B17" s="26" t="s">
        <v>373</v>
      </c>
      <c r="C17" s="25" t="s">
        <v>26</v>
      </c>
      <c r="D17" s="27" t="s">
        <v>380</v>
      </c>
      <c r="E17" s="28" t="s">
        <v>375</v>
      </c>
      <c r="F17" s="28" t="s">
        <v>376</v>
      </c>
      <c r="G17" s="29" t="s">
        <v>377</v>
      </c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</row>
    <row r="18" spans="1:22" ht="20.45" customHeight="1">
      <c r="A18" s="30"/>
      <c r="B18" s="31"/>
      <c r="C18" s="32"/>
      <c r="D18" s="33" t="s">
        <v>381</v>
      </c>
      <c r="E18" s="34" t="s">
        <v>381</v>
      </c>
      <c r="F18" s="34" t="s">
        <v>382</v>
      </c>
      <c r="G18" s="35" t="s">
        <v>382</v>
      </c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</row>
    <row r="19" spans="1:22" ht="13.5" customHeight="1">
      <c r="A19" s="30"/>
      <c r="B19" s="36"/>
      <c r="C19" s="37"/>
      <c r="D19" s="38" t="s">
        <v>8</v>
      </c>
      <c r="E19" s="39" t="s">
        <v>116</v>
      </c>
      <c r="F19" s="39" t="s">
        <v>8</v>
      </c>
      <c r="G19" s="40" t="s">
        <v>116</v>
      </c>
      <c r="H19" s="119"/>
      <c r="I19" s="55">
        <v>6.9750000000000006E-2</v>
      </c>
      <c r="J19" s="119"/>
      <c r="K19" s="119"/>
      <c r="L19" s="119"/>
      <c r="M19" s="119"/>
      <c r="N19" s="119"/>
      <c r="O19" s="119"/>
      <c r="P19" s="119"/>
      <c r="Q19" s="119"/>
      <c r="R19" s="119"/>
    </row>
    <row r="20" spans="1:22">
      <c r="A20" s="41"/>
      <c r="B20" s="42"/>
      <c r="C20" s="41"/>
      <c r="D20" s="42"/>
      <c r="E20" s="19"/>
      <c r="F20" s="19"/>
      <c r="G20" s="43"/>
      <c r="H20" s="119" t="s">
        <v>549</v>
      </c>
      <c r="I20" s="119"/>
      <c r="J20" s="119"/>
      <c r="K20" s="119" t="s">
        <v>8</v>
      </c>
      <c r="L20" s="119" t="s">
        <v>550</v>
      </c>
      <c r="M20" s="119" t="s">
        <v>551</v>
      </c>
      <c r="N20" s="119" t="s">
        <v>387</v>
      </c>
      <c r="O20" s="119"/>
      <c r="P20" s="119"/>
      <c r="Q20" s="119"/>
      <c r="R20" s="119" t="s">
        <v>552</v>
      </c>
      <c r="U20" t="s">
        <v>8</v>
      </c>
      <c r="V20" t="s">
        <v>96</v>
      </c>
    </row>
    <row r="21" spans="1:22">
      <c r="A21" s="44" t="s">
        <v>553</v>
      </c>
      <c r="B21" s="62">
        <v>154</v>
      </c>
      <c r="C21" s="45">
        <v>2026</v>
      </c>
      <c r="D21" s="46">
        <v>0</v>
      </c>
      <c r="E21" s="47">
        <v>0</v>
      </c>
      <c r="F21" s="47">
        <v>0</v>
      </c>
      <c r="G21" s="48">
        <v>0</v>
      </c>
      <c r="H21" s="63">
        <f>SUM(D21:G21)</f>
        <v>0</v>
      </c>
      <c r="I21" s="119"/>
      <c r="J21" s="119"/>
      <c r="K21" s="62">
        <v>154</v>
      </c>
      <c r="L21" s="63">
        <f>I30</f>
        <v>92.096067860683917</v>
      </c>
      <c r="M21" s="63">
        <f t="shared" ref="M21:M66" si="0">L21</f>
        <v>92.096067860683917</v>
      </c>
      <c r="N21" s="119">
        <f>AVERAGE(M21:M24,M25:M35,M36:M42,M43:M66)</f>
        <v>53.32600847742939</v>
      </c>
      <c r="O21" s="119">
        <f>_xlfn.STDEV.S(M21:M66)</f>
        <v>44.754483443028384</v>
      </c>
      <c r="P21" s="119">
        <f>O21/SQRT(5)</f>
        <v>20.014813455300061</v>
      </c>
      <c r="Q21" s="119"/>
      <c r="R21" s="63" t="e">
        <f>SUMPRODUCT(M21:M66,#REF!)/SUM(#REF!)</f>
        <v>#REF!</v>
      </c>
      <c r="U21">
        <v>154</v>
      </c>
      <c r="V21">
        <v>109.66499999999999</v>
      </c>
    </row>
    <row r="22" spans="1:22">
      <c r="A22" s="44" t="s">
        <v>553</v>
      </c>
      <c r="B22" s="62">
        <v>154</v>
      </c>
      <c r="C22" s="45">
        <v>2027</v>
      </c>
      <c r="D22" s="46">
        <v>0</v>
      </c>
      <c r="E22" s="47">
        <v>0</v>
      </c>
      <c r="F22" s="47">
        <v>0</v>
      </c>
      <c r="G22" s="48">
        <v>0</v>
      </c>
      <c r="H22" s="63">
        <f t="shared" ref="H22:H85" si="1">SUM(D22:G22)</f>
        <v>0</v>
      </c>
      <c r="I22" s="119"/>
      <c r="J22" s="119"/>
      <c r="K22" s="44">
        <v>127</v>
      </c>
      <c r="L22" s="119">
        <f>SUMIFS(I$21:I$582,B$21:B$582,K22)</f>
        <v>77.156213688562687</v>
      </c>
      <c r="M22" s="63">
        <f t="shared" si="0"/>
        <v>77.156213688562687</v>
      </c>
      <c r="N22" s="119"/>
      <c r="O22" s="119"/>
      <c r="P22" s="119"/>
      <c r="Q22" s="119"/>
      <c r="R22" s="119"/>
      <c r="U22">
        <v>127</v>
      </c>
      <c r="V22">
        <v>50.760000000000005</v>
      </c>
    </row>
    <row r="23" spans="1:22">
      <c r="A23" s="44" t="s">
        <v>553</v>
      </c>
      <c r="B23" s="62">
        <v>154</v>
      </c>
      <c r="C23" s="49">
        <v>2028</v>
      </c>
      <c r="D23" s="46">
        <v>0</v>
      </c>
      <c r="E23" s="47">
        <v>0</v>
      </c>
      <c r="F23" s="47">
        <v>0</v>
      </c>
      <c r="G23" s="48">
        <v>0</v>
      </c>
      <c r="H23" s="63">
        <f t="shared" si="1"/>
        <v>0</v>
      </c>
      <c r="I23" s="119"/>
      <c r="J23" s="119"/>
      <c r="K23" s="44">
        <v>122</v>
      </c>
      <c r="L23" s="119">
        <f>SUMIFS(I$21:I$582,B$21:B$582,K23)</f>
        <v>59.621036964770298</v>
      </c>
      <c r="M23" s="63">
        <f t="shared" si="0"/>
        <v>59.621036964770298</v>
      </c>
      <c r="N23" s="119"/>
      <c r="O23" s="119"/>
      <c r="P23" s="119"/>
      <c r="Q23" s="119"/>
      <c r="R23" s="119"/>
      <c r="U23">
        <v>122</v>
      </c>
      <c r="V23">
        <v>66.599999999999994</v>
      </c>
    </row>
    <row r="24" spans="1:22">
      <c r="A24" s="44" t="s">
        <v>553</v>
      </c>
      <c r="B24" s="62">
        <v>154</v>
      </c>
      <c r="C24" s="49">
        <v>2029</v>
      </c>
      <c r="D24" s="46">
        <v>0</v>
      </c>
      <c r="E24" s="47">
        <v>0</v>
      </c>
      <c r="F24" s="47">
        <v>0</v>
      </c>
      <c r="G24" s="48">
        <v>0</v>
      </c>
      <c r="H24" s="63">
        <f t="shared" si="1"/>
        <v>0</v>
      </c>
      <c r="I24" s="119"/>
      <c r="J24" s="119"/>
      <c r="K24" s="44">
        <v>156</v>
      </c>
      <c r="L24" s="119">
        <f>SUMIFS(I$21:I$582,B$21:B$582,K24)</f>
        <v>10.214617376953118</v>
      </c>
      <c r="M24" s="63">
        <f t="shared" si="0"/>
        <v>10.214617376953118</v>
      </c>
      <c r="N24" s="119"/>
      <c r="O24" s="119"/>
      <c r="P24" s="119"/>
      <c r="Q24" s="119"/>
      <c r="R24" s="119"/>
      <c r="U24">
        <v>156</v>
      </c>
      <c r="V24">
        <v>20.25</v>
      </c>
    </row>
    <row r="25" spans="1:22">
      <c r="A25" s="44" t="s">
        <v>553</v>
      </c>
      <c r="B25" s="62">
        <v>154</v>
      </c>
      <c r="C25" s="49">
        <v>2030</v>
      </c>
      <c r="D25" s="46">
        <v>0</v>
      </c>
      <c r="E25" s="47">
        <v>0</v>
      </c>
      <c r="F25" s="47">
        <v>14.439596247765039</v>
      </c>
      <c r="G25" s="48">
        <v>0</v>
      </c>
      <c r="H25" s="63">
        <f t="shared" si="1"/>
        <v>14.439596247765039</v>
      </c>
      <c r="I25" s="119"/>
      <c r="J25" s="119"/>
      <c r="K25" s="82">
        <v>45</v>
      </c>
      <c r="L25" s="63">
        <f>I85</f>
        <v>135.62805784581735</v>
      </c>
      <c r="M25" s="63">
        <f t="shared" si="0"/>
        <v>135.62805784581735</v>
      </c>
      <c r="N25" s="119"/>
      <c r="O25" s="119"/>
      <c r="P25" s="119"/>
      <c r="Q25" s="119"/>
      <c r="R25" s="119"/>
      <c r="U25">
        <v>45</v>
      </c>
      <c r="V25">
        <v>46.800000000000004</v>
      </c>
    </row>
    <row r="26" spans="1:22">
      <c r="A26" s="44" t="s">
        <v>553</v>
      </c>
      <c r="B26" s="62">
        <v>154</v>
      </c>
      <c r="C26" s="49">
        <v>2031</v>
      </c>
      <c r="D26" s="46">
        <v>0</v>
      </c>
      <c r="E26" s="47">
        <v>0</v>
      </c>
      <c r="F26" s="47">
        <v>70.121339183439986</v>
      </c>
      <c r="G26" s="48">
        <v>0</v>
      </c>
      <c r="H26" s="63">
        <f t="shared" si="1"/>
        <v>70.121339183439986</v>
      </c>
      <c r="I26" s="119"/>
      <c r="J26" s="119"/>
      <c r="K26" s="44">
        <v>16</v>
      </c>
      <c r="L26" s="119">
        <f t="shared" ref="L26:L35" si="2">SUMIFS(I$21:I$582,B$21:B$582,K26)</f>
        <v>171.77955856129279</v>
      </c>
      <c r="M26" s="63">
        <f t="shared" si="0"/>
        <v>171.77955856129279</v>
      </c>
      <c r="N26" s="119"/>
      <c r="O26" s="119"/>
      <c r="P26" s="119"/>
      <c r="Q26" s="119"/>
      <c r="R26" s="119"/>
      <c r="U26">
        <v>16</v>
      </c>
      <c r="V26">
        <v>20.772000000000002</v>
      </c>
    </row>
    <row r="27" spans="1:22">
      <c r="A27" s="44" t="s">
        <v>553</v>
      </c>
      <c r="B27" s="62">
        <v>154</v>
      </c>
      <c r="C27" s="49">
        <v>2032</v>
      </c>
      <c r="D27" s="46">
        <v>0</v>
      </c>
      <c r="E27" s="47">
        <v>0</v>
      </c>
      <c r="F27" s="47">
        <v>133.92799858126688</v>
      </c>
      <c r="G27" s="48">
        <v>30.874977013279953</v>
      </c>
      <c r="H27" s="63">
        <f t="shared" si="1"/>
        <v>164.80297559454684</v>
      </c>
      <c r="I27" s="119"/>
      <c r="J27" s="119"/>
      <c r="K27" s="44">
        <v>424</v>
      </c>
      <c r="L27" s="119">
        <f t="shared" si="2"/>
        <v>74.830073688537325</v>
      </c>
      <c r="M27" s="63">
        <f t="shared" si="0"/>
        <v>74.830073688537325</v>
      </c>
      <c r="N27" s="119"/>
      <c r="O27" s="119"/>
      <c r="P27" s="119"/>
      <c r="Q27" s="119"/>
      <c r="R27" s="119"/>
      <c r="U27">
        <v>424</v>
      </c>
      <c r="V27">
        <v>24.390000000000004</v>
      </c>
    </row>
    <row r="28" spans="1:22">
      <c r="A28" s="44" t="s">
        <v>553</v>
      </c>
      <c r="B28" s="62">
        <v>154</v>
      </c>
      <c r="C28" s="49">
        <v>2033</v>
      </c>
      <c r="D28" s="46">
        <v>0</v>
      </c>
      <c r="E28" s="47">
        <v>64.003199673094045</v>
      </c>
      <c r="F28" s="47">
        <v>196.677243013664</v>
      </c>
      <c r="G28" s="48">
        <v>31.492476553545551</v>
      </c>
      <c r="H28" s="63">
        <f t="shared" si="1"/>
        <v>292.1729192403036</v>
      </c>
      <c r="I28" s="119"/>
      <c r="J28" s="119"/>
      <c r="K28" s="44">
        <v>89</v>
      </c>
      <c r="L28" s="119">
        <f t="shared" si="2"/>
        <v>131.02232411406402</v>
      </c>
      <c r="M28" s="63">
        <f t="shared" si="0"/>
        <v>131.02232411406402</v>
      </c>
      <c r="N28" s="119"/>
      <c r="O28" s="119"/>
      <c r="P28" s="119"/>
      <c r="Q28" s="119"/>
      <c r="R28" s="119"/>
      <c r="U28">
        <v>89</v>
      </c>
      <c r="V28">
        <v>90.9</v>
      </c>
    </row>
    <row r="29" spans="1:22">
      <c r="A29" s="44" t="s">
        <v>553</v>
      </c>
      <c r="B29" s="62">
        <v>154</v>
      </c>
      <c r="C29" s="49">
        <v>2034</v>
      </c>
      <c r="D29" s="46">
        <v>0</v>
      </c>
      <c r="E29" s="47">
        <v>65.283263666555925</v>
      </c>
      <c r="F29" s="47">
        <v>200.61078787393728</v>
      </c>
      <c r="G29" s="48">
        <v>32.122326084616461</v>
      </c>
      <c r="H29" s="63">
        <f t="shared" si="1"/>
        <v>298.01637762510967</v>
      </c>
      <c r="I29" s="119"/>
      <c r="J29" s="119"/>
      <c r="K29" s="44">
        <v>255</v>
      </c>
      <c r="L29" s="119">
        <f t="shared" si="2"/>
        <v>67.750215705099507</v>
      </c>
      <c r="M29" s="63">
        <f t="shared" si="0"/>
        <v>67.750215705099507</v>
      </c>
      <c r="N29" s="119"/>
      <c r="O29" s="119"/>
      <c r="P29" s="119"/>
      <c r="Q29" s="119"/>
      <c r="R29" s="119"/>
      <c r="U29">
        <v>255</v>
      </c>
      <c r="V29">
        <v>152.10000000000002</v>
      </c>
    </row>
    <row r="30" spans="1:22">
      <c r="A30" s="44" t="s">
        <v>553</v>
      </c>
      <c r="B30" s="44">
        <v>154</v>
      </c>
      <c r="C30" s="49">
        <v>2035</v>
      </c>
      <c r="D30" s="46">
        <v>0</v>
      </c>
      <c r="E30" s="47">
        <v>66.58892893988704</v>
      </c>
      <c r="F30" s="47">
        <v>204.62300363141603</v>
      </c>
      <c r="G30" s="48">
        <v>32.764772606308789</v>
      </c>
      <c r="H30" s="63">
        <f t="shared" si="1"/>
        <v>303.97670517761185</v>
      </c>
      <c r="I30" s="119">
        <f>NPV($I$19,H21:H30)/((1-(1+$I$19)^-10)/$I$19)</f>
        <v>92.096067860683917</v>
      </c>
      <c r="J30" s="119"/>
      <c r="K30" s="44">
        <v>124</v>
      </c>
      <c r="L30" s="119">
        <f t="shared" si="2"/>
        <v>66.412346527869559</v>
      </c>
      <c r="M30" s="63">
        <f t="shared" si="0"/>
        <v>66.412346527869559</v>
      </c>
      <c r="N30" s="119"/>
      <c r="O30" s="119"/>
      <c r="P30" s="119"/>
      <c r="Q30" s="119"/>
      <c r="R30" s="119"/>
      <c r="U30">
        <v>124</v>
      </c>
      <c r="V30">
        <v>116.28000000000002</v>
      </c>
    </row>
    <row r="31" spans="1:22">
      <c r="A31" s="44"/>
      <c r="B31" s="44" t="s">
        <v>401</v>
      </c>
      <c r="C31" s="49"/>
      <c r="D31" s="46"/>
      <c r="E31" s="47"/>
      <c r="F31" s="47"/>
      <c r="G31" s="48"/>
      <c r="H31" s="63"/>
      <c r="I31" s="119"/>
      <c r="J31" s="119"/>
      <c r="K31" s="44">
        <v>19</v>
      </c>
      <c r="L31" s="119">
        <f t="shared" si="2"/>
        <v>87.623652109532884</v>
      </c>
      <c r="M31" s="63">
        <f t="shared" si="0"/>
        <v>87.623652109532884</v>
      </c>
      <c r="N31" s="119"/>
      <c r="O31" s="119"/>
      <c r="P31" s="119"/>
      <c r="Q31" s="119"/>
      <c r="R31" s="119"/>
      <c r="U31">
        <v>19</v>
      </c>
      <c r="V31">
        <v>117</v>
      </c>
    </row>
    <row r="32" spans="1:22">
      <c r="A32" s="44" t="s">
        <v>553</v>
      </c>
      <c r="B32" s="44">
        <v>127</v>
      </c>
      <c r="C32" s="49">
        <v>2026</v>
      </c>
      <c r="D32" s="46">
        <v>0</v>
      </c>
      <c r="E32" s="47">
        <v>0</v>
      </c>
      <c r="F32" s="47">
        <v>0</v>
      </c>
      <c r="G32" s="48">
        <v>0</v>
      </c>
      <c r="H32" s="63">
        <f t="shared" si="1"/>
        <v>0</v>
      </c>
      <c r="I32" s="119"/>
      <c r="J32" s="119"/>
      <c r="K32" s="44">
        <v>29</v>
      </c>
      <c r="L32" s="119">
        <f t="shared" si="2"/>
        <v>94.769052360082711</v>
      </c>
      <c r="M32" s="63">
        <f t="shared" si="0"/>
        <v>94.769052360082711</v>
      </c>
      <c r="N32" s="119"/>
      <c r="O32" s="119"/>
      <c r="P32" s="119"/>
      <c r="Q32" s="119"/>
      <c r="R32" s="119"/>
      <c r="U32">
        <v>29</v>
      </c>
      <c r="V32">
        <v>124.2</v>
      </c>
    </row>
    <row r="33" spans="1:22">
      <c r="A33" s="44" t="s">
        <v>553</v>
      </c>
      <c r="B33" s="44">
        <v>127</v>
      </c>
      <c r="C33" s="49">
        <v>2027</v>
      </c>
      <c r="D33" s="46">
        <v>0</v>
      </c>
      <c r="E33" s="47">
        <v>0</v>
      </c>
      <c r="F33" s="47">
        <v>0</v>
      </c>
      <c r="G33" s="48">
        <v>0</v>
      </c>
      <c r="H33" s="63">
        <f t="shared" si="1"/>
        <v>0</v>
      </c>
      <c r="I33" s="119"/>
      <c r="J33" s="119"/>
      <c r="K33" s="44">
        <v>49</v>
      </c>
      <c r="L33" s="119">
        <f t="shared" si="2"/>
        <v>88.075951632312112</v>
      </c>
      <c r="M33" s="63">
        <f t="shared" si="0"/>
        <v>88.075951632312112</v>
      </c>
      <c r="U33">
        <v>49</v>
      </c>
      <c r="V33">
        <v>120.15</v>
      </c>
    </row>
    <row r="34" spans="1:22">
      <c r="A34" s="44" t="s">
        <v>553</v>
      </c>
      <c r="B34" s="44">
        <v>127</v>
      </c>
      <c r="C34" s="49">
        <v>2028</v>
      </c>
      <c r="D34" s="46">
        <v>0</v>
      </c>
      <c r="E34" s="47">
        <v>0</v>
      </c>
      <c r="F34" s="47">
        <v>0</v>
      </c>
      <c r="G34" s="48">
        <v>0</v>
      </c>
      <c r="H34" s="63">
        <f t="shared" si="1"/>
        <v>0</v>
      </c>
      <c r="I34" s="119"/>
      <c r="J34" s="119"/>
      <c r="K34" s="44">
        <v>81</v>
      </c>
      <c r="L34" s="119">
        <f t="shared" si="2"/>
        <v>82.642924062635629</v>
      </c>
      <c r="M34" s="63">
        <f t="shared" si="0"/>
        <v>82.642924062635629</v>
      </c>
      <c r="U34">
        <v>81</v>
      </c>
      <c r="V34">
        <v>117</v>
      </c>
    </row>
    <row r="35" spans="1:22">
      <c r="A35" s="44" t="s">
        <v>553</v>
      </c>
      <c r="B35" s="44">
        <v>127</v>
      </c>
      <c r="C35" s="49">
        <v>2029</v>
      </c>
      <c r="D35" s="46">
        <v>0</v>
      </c>
      <c r="E35" s="47">
        <v>0</v>
      </c>
      <c r="F35" s="47">
        <v>0</v>
      </c>
      <c r="G35" s="48">
        <v>0</v>
      </c>
      <c r="H35" s="63">
        <f t="shared" si="1"/>
        <v>0</v>
      </c>
      <c r="I35" s="119"/>
      <c r="J35" s="119"/>
      <c r="K35" s="44">
        <v>103</v>
      </c>
      <c r="L35" s="119">
        <f t="shared" si="2"/>
        <v>74.391046368158484</v>
      </c>
      <c r="M35" s="63">
        <f t="shared" si="0"/>
        <v>74.391046368158484</v>
      </c>
      <c r="U35">
        <v>103</v>
      </c>
      <c r="V35">
        <v>117</v>
      </c>
    </row>
    <row r="36" spans="1:22">
      <c r="A36" s="44" t="s">
        <v>553</v>
      </c>
      <c r="B36" s="44">
        <v>127</v>
      </c>
      <c r="C36" s="49">
        <v>2030</v>
      </c>
      <c r="D36" s="46">
        <v>0</v>
      </c>
      <c r="E36" s="47">
        <v>0</v>
      </c>
      <c r="F36" s="47">
        <v>0</v>
      </c>
      <c r="G36" s="48">
        <v>0</v>
      </c>
      <c r="H36" s="63">
        <f t="shared" si="1"/>
        <v>0</v>
      </c>
      <c r="I36" s="119"/>
      <c r="J36" s="119"/>
      <c r="K36" s="82">
        <v>23</v>
      </c>
      <c r="L36" s="63">
        <f>I218</f>
        <v>17.736691718548286</v>
      </c>
      <c r="M36" s="63">
        <f t="shared" si="0"/>
        <v>17.736691718548286</v>
      </c>
      <c r="U36">
        <v>23</v>
      </c>
      <c r="V36">
        <v>99</v>
      </c>
    </row>
    <row r="37" spans="1:22">
      <c r="A37" s="44" t="s">
        <v>553</v>
      </c>
      <c r="B37" s="44">
        <v>127</v>
      </c>
      <c r="C37" s="49">
        <v>2031</v>
      </c>
      <c r="D37" s="46">
        <v>0</v>
      </c>
      <c r="E37" s="47">
        <v>0</v>
      </c>
      <c r="F37" s="47">
        <v>0</v>
      </c>
      <c r="G37" s="48">
        <v>0</v>
      </c>
      <c r="H37" s="63">
        <f t="shared" si="1"/>
        <v>0</v>
      </c>
      <c r="I37" s="119"/>
      <c r="J37" s="119"/>
      <c r="K37" s="44">
        <v>55</v>
      </c>
      <c r="L37" s="119">
        <f t="shared" ref="L37:L66" si="3">SUMIFS(I$21:I$582,B$21:B$582,K37)</f>
        <v>68.106915252089991</v>
      </c>
      <c r="M37" s="63">
        <f t="shared" si="0"/>
        <v>68.106915252089991</v>
      </c>
      <c r="U37">
        <v>55</v>
      </c>
      <c r="V37">
        <v>167.4</v>
      </c>
    </row>
    <row r="38" spans="1:22">
      <c r="A38" s="44" t="s">
        <v>553</v>
      </c>
      <c r="B38" s="44">
        <v>127</v>
      </c>
      <c r="C38" s="49">
        <v>2032</v>
      </c>
      <c r="D38" s="46">
        <v>0</v>
      </c>
      <c r="E38" s="47">
        <v>0</v>
      </c>
      <c r="F38" s="47">
        <v>84.439767089671335</v>
      </c>
      <c r="G38" s="48">
        <v>0</v>
      </c>
      <c r="H38" s="63">
        <f t="shared" si="1"/>
        <v>84.439767089671335</v>
      </c>
      <c r="I38" s="119"/>
      <c r="J38" s="119"/>
      <c r="K38" s="44">
        <v>62</v>
      </c>
      <c r="L38" s="119">
        <f t="shared" si="3"/>
        <v>62.930861997025694</v>
      </c>
      <c r="M38" s="63">
        <f t="shared" si="0"/>
        <v>62.930861997025694</v>
      </c>
      <c r="U38">
        <v>62</v>
      </c>
      <c r="V38">
        <v>157.13999999999999</v>
      </c>
    </row>
    <row r="39" spans="1:22">
      <c r="A39" s="44" t="s">
        <v>553</v>
      </c>
      <c r="B39" s="44">
        <v>127</v>
      </c>
      <c r="C39" s="49">
        <v>2033</v>
      </c>
      <c r="D39" s="46">
        <v>0</v>
      </c>
      <c r="E39" s="47">
        <v>120.61499966473475</v>
      </c>
      <c r="F39" s="47">
        <v>172.85978411037684</v>
      </c>
      <c r="G39" s="48">
        <v>0</v>
      </c>
      <c r="H39" s="63">
        <f t="shared" si="1"/>
        <v>293.47478377511158</v>
      </c>
      <c r="I39" s="119"/>
      <c r="J39" s="119"/>
      <c r="K39" s="44">
        <v>109</v>
      </c>
      <c r="L39" s="119">
        <f t="shared" si="3"/>
        <v>57.063882838284904</v>
      </c>
      <c r="M39" s="63">
        <f t="shared" si="0"/>
        <v>57.063882838284904</v>
      </c>
      <c r="U39">
        <v>109</v>
      </c>
      <c r="V39">
        <v>135</v>
      </c>
    </row>
    <row r="40" spans="1:22">
      <c r="A40" s="44" t="s">
        <v>553</v>
      </c>
      <c r="B40" s="44">
        <v>127</v>
      </c>
      <c r="C40" s="49">
        <v>2034</v>
      </c>
      <c r="D40" s="46">
        <v>0</v>
      </c>
      <c r="E40" s="47">
        <v>123.02729965802945</v>
      </c>
      <c r="F40" s="47">
        <v>176.31697979258436</v>
      </c>
      <c r="G40" s="48">
        <v>0</v>
      </c>
      <c r="H40" s="63">
        <f t="shared" si="1"/>
        <v>299.34427945061384</v>
      </c>
      <c r="I40" s="119"/>
      <c r="J40" s="119"/>
      <c r="K40" s="44">
        <v>58</v>
      </c>
      <c r="L40" s="119">
        <f t="shared" si="3"/>
        <v>84.340470271012379</v>
      </c>
      <c r="M40" s="63">
        <f t="shared" si="0"/>
        <v>84.340470271012379</v>
      </c>
      <c r="U40">
        <v>58</v>
      </c>
      <c r="V40">
        <v>32.760000000000005</v>
      </c>
    </row>
    <row r="41" spans="1:22">
      <c r="A41" s="44" t="s">
        <v>553</v>
      </c>
      <c r="B41" s="44">
        <v>127</v>
      </c>
      <c r="C41" s="49">
        <v>2035</v>
      </c>
      <c r="D41" s="46">
        <v>0</v>
      </c>
      <c r="E41" s="47">
        <v>125.48784565119004</v>
      </c>
      <c r="F41" s="47">
        <v>179.84331938843604</v>
      </c>
      <c r="G41" s="48">
        <v>0</v>
      </c>
      <c r="H41" s="63">
        <f t="shared" si="1"/>
        <v>305.33116503962606</v>
      </c>
      <c r="I41" s="119">
        <f>NPV($I$19,H32:H41)/((1-(1+$I$19)^-10)/$I$19)</f>
        <v>77.156213688562687</v>
      </c>
      <c r="J41" s="119"/>
      <c r="K41" s="44">
        <v>117</v>
      </c>
      <c r="L41" s="119">
        <f t="shared" si="3"/>
        <v>8.1071738424032294</v>
      </c>
      <c r="M41" s="63">
        <f t="shared" si="0"/>
        <v>8.1071738424032294</v>
      </c>
      <c r="U41">
        <v>117</v>
      </c>
      <c r="V41">
        <v>7.2</v>
      </c>
    </row>
    <row r="42" spans="1:22">
      <c r="A42" s="44"/>
      <c r="B42" s="44" t="s">
        <v>401</v>
      </c>
      <c r="C42" s="49"/>
      <c r="D42" s="42"/>
      <c r="E42" s="19"/>
      <c r="F42" s="19"/>
      <c r="G42" s="43"/>
      <c r="H42" s="63">
        <f t="shared" si="1"/>
        <v>0</v>
      </c>
      <c r="I42" s="119"/>
      <c r="J42" s="119"/>
      <c r="K42" s="44">
        <v>230</v>
      </c>
      <c r="L42" s="119">
        <f t="shared" si="3"/>
        <v>190.66236919767223</v>
      </c>
      <c r="M42" s="63">
        <f t="shared" si="0"/>
        <v>190.66236919767223</v>
      </c>
      <c r="U42">
        <v>230</v>
      </c>
      <c r="V42">
        <v>73.53</v>
      </c>
    </row>
    <row r="43" spans="1:22">
      <c r="A43" s="44" t="s">
        <v>553</v>
      </c>
      <c r="B43" s="44">
        <v>122</v>
      </c>
      <c r="C43" s="49">
        <v>2026</v>
      </c>
      <c r="D43" s="46">
        <v>0</v>
      </c>
      <c r="E43" s="47">
        <v>0</v>
      </c>
      <c r="F43" s="47">
        <v>0</v>
      </c>
      <c r="G43" s="48">
        <v>0</v>
      </c>
      <c r="H43" s="63">
        <f t="shared" si="1"/>
        <v>0</v>
      </c>
      <c r="I43" s="119"/>
      <c r="J43" s="119"/>
      <c r="K43" s="44">
        <v>60</v>
      </c>
      <c r="L43" s="119">
        <f t="shared" si="3"/>
        <v>6.3833337514667656</v>
      </c>
      <c r="M43" s="63">
        <f t="shared" si="0"/>
        <v>6.3833337514667656</v>
      </c>
      <c r="U43">
        <v>60</v>
      </c>
      <c r="V43">
        <v>12.6</v>
      </c>
    </row>
    <row r="44" spans="1:22">
      <c r="A44" s="44" t="s">
        <v>553</v>
      </c>
      <c r="B44" s="44">
        <v>122</v>
      </c>
      <c r="C44" s="49">
        <v>2027</v>
      </c>
      <c r="D44" s="46">
        <v>0</v>
      </c>
      <c r="E44" s="47">
        <v>0</v>
      </c>
      <c r="F44" s="47">
        <v>0</v>
      </c>
      <c r="G44" s="48">
        <v>0</v>
      </c>
      <c r="H44" s="63">
        <f t="shared" si="1"/>
        <v>0</v>
      </c>
      <c r="I44" s="119"/>
      <c r="J44" s="119"/>
      <c r="K44" s="44">
        <v>74</v>
      </c>
      <c r="L44" s="119">
        <f t="shared" si="3"/>
        <v>3.0545920571679694</v>
      </c>
      <c r="M44" s="63">
        <f t="shared" si="0"/>
        <v>3.0545920571679694</v>
      </c>
      <c r="U44">
        <v>74</v>
      </c>
      <c r="V44">
        <v>18.900000000000002</v>
      </c>
    </row>
    <row r="45" spans="1:22">
      <c r="A45" s="44" t="s">
        <v>553</v>
      </c>
      <c r="B45" s="44">
        <v>122</v>
      </c>
      <c r="C45" s="49">
        <v>2028</v>
      </c>
      <c r="D45" s="46">
        <v>0</v>
      </c>
      <c r="E45" s="47">
        <v>0</v>
      </c>
      <c r="F45" s="47">
        <v>0</v>
      </c>
      <c r="G45" s="48">
        <v>0</v>
      </c>
      <c r="H45" s="63">
        <f t="shared" si="1"/>
        <v>0</v>
      </c>
      <c r="I45" s="119"/>
      <c r="J45" s="119"/>
      <c r="K45" s="44">
        <v>420</v>
      </c>
      <c r="L45" s="119">
        <f t="shared" si="3"/>
        <v>3.0545920571679694</v>
      </c>
      <c r="M45" s="63">
        <f t="shared" si="0"/>
        <v>3.0545920571679694</v>
      </c>
      <c r="U45">
        <v>420</v>
      </c>
      <c r="V45">
        <v>25.2</v>
      </c>
    </row>
    <row r="46" spans="1:22">
      <c r="A46" s="44" t="s">
        <v>553</v>
      </c>
      <c r="B46" s="44">
        <v>122</v>
      </c>
      <c r="C46" s="49">
        <v>2029</v>
      </c>
      <c r="D46" s="46">
        <v>0</v>
      </c>
      <c r="E46" s="47">
        <v>0</v>
      </c>
      <c r="F46" s="47">
        <v>0</v>
      </c>
      <c r="G46" s="48">
        <v>0</v>
      </c>
      <c r="H46" s="63">
        <f t="shared" si="1"/>
        <v>0</v>
      </c>
      <c r="I46" s="119"/>
      <c r="J46" s="119"/>
      <c r="K46" s="44">
        <v>136</v>
      </c>
      <c r="L46" s="119">
        <f t="shared" si="3"/>
        <v>2.6727680500219742</v>
      </c>
      <c r="M46" s="63">
        <f t="shared" si="0"/>
        <v>2.6727680500219742</v>
      </c>
      <c r="U46">
        <v>136</v>
      </c>
      <c r="V46">
        <v>14.4</v>
      </c>
    </row>
    <row r="47" spans="1:22">
      <c r="A47" s="44" t="s">
        <v>553</v>
      </c>
      <c r="B47" s="44">
        <v>122</v>
      </c>
      <c r="C47" s="49">
        <v>2030</v>
      </c>
      <c r="D47" s="46">
        <v>0</v>
      </c>
      <c r="E47" s="47">
        <v>0</v>
      </c>
      <c r="F47" s="47">
        <v>12.771421874515564</v>
      </c>
      <c r="G47" s="48">
        <v>0</v>
      </c>
      <c r="H47" s="63">
        <f t="shared" si="1"/>
        <v>12.771421874515564</v>
      </c>
      <c r="I47" s="119"/>
      <c r="J47" s="119"/>
      <c r="K47" s="44">
        <v>46</v>
      </c>
      <c r="L47" s="119">
        <f t="shared" si="3"/>
        <v>68.485867761409352</v>
      </c>
      <c r="M47" s="63">
        <f t="shared" si="0"/>
        <v>68.485867761409352</v>
      </c>
      <c r="U47">
        <v>46</v>
      </c>
      <c r="V47">
        <v>49.5</v>
      </c>
    </row>
    <row r="48" spans="1:22">
      <c r="A48" s="44" t="s">
        <v>553</v>
      </c>
      <c r="B48" s="44">
        <v>122</v>
      </c>
      <c r="C48" s="49">
        <v>2031</v>
      </c>
      <c r="D48" s="46">
        <v>0</v>
      </c>
      <c r="E48" s="47">
        <v>0</v>
      </c>
      <c r="F48" s="47">
        <v>59.428199534651093</v>
      </c>
      <c r="G48" s="48">
        <v>0</v>
      </c>
      <c r="H48" s="63">
        <f t="shared" si="1"/>
        <v>59.428199534651093</v>
      </c>
      <c r="I48" s="119"/>
      <c r="J48" s="119"/>
      <c r="K48" s="44">
        <v>65</v>
      </c>
      <c r="L48" s="119">
        <f t="shared" si="3"/>
        <v>86.728055976739626</v>
      </c>
      <c r="M48" s="63">
        <f t="shared" si="0"/>
        <v>86.728055976739626</v>
      </c>
      <c r="U48">
        <v>65</v>
      </c>
      <c r="V48">
        <v>192.60000000000002</v>
      </c>
    </row>
    <row r="49" spans="1:22">
      <c r="A49" s="44" t="s">
        <v>553</v>
      </c>
      <c r="B49" s="44">
        <v>122</v>
      </c>
      <c r="C49" s="49">
        <v>2032</v>
      </c>
      <c r="D49" s="46">
        <v>0</v>
      </c>
      <c r="E49" s="47">
        <v>0</v>
      </c>
      <c r="F49" s="47">
        <v>98.623589775801349</v>
      </c>
      <c r="G49" s="48">
        <v>0</v>
      </c>
      <c r="H49" s="63">
        <f t="shared" si="1"/>
        <v>98.623589775801349</v>
      </c>
      <c r="I49" s="119"/>
      <c r="J49" s="119"/>
      <c r="K49" s="44">
        <v>69</v>
      </c>
      <c r="L49" s="119">
        <f t="shared" si="3"/>
        <v>19.771158190949997</v>
      </c>
      <c r="M49" s="63">
        <f t="shared" si="0"/>
        <v>19.771158190949997</v>
      </c>
      <c r="U49">
        <v>69</v>
      </c>
      <c r="V49">
        <v>78.84</v>
      </c>
    </row>
    <row r="50" spans="1:22">
      <c r="A50" s="44" t="s">
        <v>553</v>
      </c>
      <c r="B50" s="44">
        <v>122</v>
      </c>
      <c r="C50" s="49">
        <v>2033</v>
      </c>
      <c r="D50" s="46">
        <v>0</v>
      </c>
      <c r="E50" s="47">
        <v>64.003199673094045</v>
      </c>
      <c r="F50" s="47">
        <v>121.08377554150758</v>
      </c>
      <c r="G50" s="48">
        <v>0</v>
      </c>
      <c r="H50" s="63">
        <f t="shared" si="1"/>
        <v>185.08697521460164</v>
      </c>
      <c r="I50" s="119"/>
      <c r="J50" s="119"/>
      <c r="K50" s="44">
        <v>70</v>
      </c>
      <c r="L50" s="119">
        <f t="shared" si="3"/>
        <v>61.86601049765374</v>
      </c>
      <c r="M50" s="63">
        <f t="shared" si="0"/>
        <v>61.86601049765374</v>
      </c>
      <c r="U50">
        <v>70</v>
      </c>
      <c r="V50">
        <v>118.8</v>
      </c>
    </row>
    <row r="51" spans="1:22">
      <c r="A51" s="44" t="s">
        <v>553</v>
      </c>
      <c r="B51" s="44">
        <v>122</v>
      </c>
      <c r="C51" s="49">
        <v>2034</v>
      </c>
      <c r="D51" s="46">
        <v>0</v>
      </c>
      <c r="E51" s="47">
        <v>65.283263666555925</v>
      </c>
      <c r="F51" s="47">
        <v>123.50545105233773</v>
      </c>
      <c r="G51" s="48">
        <v>0</v>
      </c>
      <c r="H51" s="63">
        <f t="shared" si="1"/>
        <v>188.78871471889366</v>
      </c>
      <c r="I51" s="119"/>
      <c r="J51" s="119"/>
      <c r="K51" s="44">
        <v>71</v>
      </c>
      <c r="L51" s="119">
        <f t="shared" si="3"/>
        <v>43.588650462003201</v>
      </c>
      <c r="M51" s="63">
        <f t="shared" si="0"/>
        <v>43.588650462003201</v>
      </c>
      <c r="U51">
        <v>71</v>
      </c>
      <c r="V51">
        <v>63.36</v>
      </c>
    </row>
    <row r="52" spans="1:22">
      <c r="A52" s="44" t="s">
        <v>553</v>
      </c>
      <c r="B52" s="44">
        <v>122</v>
      </c>
      <c r="C52" s="49">
        <v>2035</v>
      </c>
      <c r="D52" s="46">
        <v>0</v>
      </c>
      <c r="E52" s="47">
        <v>66.58892893988704</v>
      </c>
      <c r="F52" s="47">
        <v>125.97556007338449</v>
      </c>
      <c r="G52" s="48">
        <v>0</v>
      </c>
      <c r="H52" s="63">
        <f t="shared" si="1"/>
        <v>192.56448901327153</v>
      </c>
      <c r="I52" s="119">
        <f>NPV($I$19,H43:H52)/((1-(1+$I$19)^-10)/$I$19)</f>
        <v>59.621036964770298</v>
      </c>
      <c r="J52" s="119"/>
      <c r="K52" s="44">
        <v>93</v>
      </c>
      <c r="L52" s="119">
        <f t="shared" si="3"/>
        <v>35.799465400690309</v>
      </c>
      <c r="M52" s="63">
        <f t="shared" si="0"/>
        <v>35.799465400690309</v>
      </c>
      <c r="U52">
        <v>93</v>
      </c>
      <c r="V52">
        <v>111.24000000000001</v>
      </c>
    </row>
    <row r="53" spans="1:22">
      <c r="A53" s="44"/>
      <c r="B53" s="44" t="s">
        <v>401</v>
      </c>
      <c r="C53" s="49"/>
      <c r="D53" s="46"/>
      <c r="E53" s="47"/>
      <c r="F53" s="47"/>
      <c r="G53" s="48"/>
      <c r="H53" s="63">
        <f t="shared" si="1"/>
        <v>0</v>
      </c>
      <c r="I53" s="119"/>
      <c r="J53" s="119"/>
      <c r="K53" s="44">
        <v>112</v>
      </c>
      <c r="L53" s="119">
        <f t="shared" si="3"/>
        <v>23.292496874190686</v>
      </c>
      <c r="M53" s="63">
        <f t="shared" si="0"/>
        <v>23.292496874190686</v>
      </c>
      <c r="U53">
        <v>112</v>
      </c>
      <c r="V53">
        <v>72.900000000000006</v>
      </c>
    </row>
    <row r="54" spans="1:22">
      <c r="A54" s="44" t="s">
        <v>553</v>
      </c>
      <c r="B54" s="44">
        <v>156</v>
      </c>
      <c r="C54" s="49">
        <v>2026</v>
      </c>
      <c r="D54" s="46">
        <v>0</v>
      </c>
      <c r="E54" s="47">
        <v>0</v>
      </c>
      <c r="F54" s="47">
        <v>0</v>
      </c>
      <c r="G54" s="48">
        <v>0</v>
      </c>
      <c r="H54" s="63">
        <f t="shared" si="1"/>
        <v>0</v>
      </c>
      <c r="I54" s="119"/>
      <c r="J54" s="119"/>
      <c r="K54" s="44">
        <v>126</v>
      </c>
      <c r="L54" s="119">
        <f t="shared" si="3"/>
        <v>78.252008728381696</v>
      </c>
      <c r="M54" s="63">
        <f t="shared" si="0"/>
        <v>78.252008728381696</v>
      </c>
      <c r="U54">
        <v>126</v>
      </c>
      <c r="V54">
        <v>129.6</v>
      </c>
    </row>
    <row r="55" spans="1:22">
      <c r="A55" s="44" t="s">
        <v>553</v>
      </c>
      <c r="B55" s="44">
        <v>156</v>
      </c>
      <c r="C55" s="49">
        <v>2027</v>
      </c>
      <c r="D55" s="46">
        <v>0</v>
      </c>
      <c r="E55" s="47">
        <v>0</v>
      </c>
      <c r="F55" s="47">
        <v>0</v>
      </c>
      <c r="G55" s="48">
        <v>0</v>
      </c>
      <c r="H55" s="63">
        <f t="shared" si="1"/>
        <v>0</v>
      </c>
      <c r="I55" s="119"/>
      <c r="J55" s="119"/>
      <c r="K55" s="44">
        <v>72</v>
      </c>
      <c r="L55" s="119">
        <f t="shared" si="3"/>
        <v>14.68129332066586</v>
      </c>
      <c r="M55" s="63">
        <f t="shared" si="0"/>
        <v>14.68129332066586</v>
      </c>
      <c r="U55">
        <v>72</v>
      </c>
      <c r="V55">
        <v>18.900000000000002</v>
      </c>
    </row>
    <row r="56" spans="1:22">
      <c r="A56" s="44" t="s">
        <v>553</v>
      </c>
      <c r="B56" s="44">
        <v>156</v>
      </c>
      <c r="C56" s="49">
        <v>2028</v>
      </c>
      <c r="D56" s="46">
        <v>0</v>
      </c>
      <c r="E56" s="47">
        <v>0</v>
      </c>
      <c r="F56" s="47">
        <v>0</v>
      </c>
      <c r="G56" s="48">
        <v>0</v>
      </c>
      <c r="H56" s="63">
        <f t="shared" si="1"/>
        <v>0</v>
      </c>
      <c r="I56" s="119"/>
      <c r="J56" s="119"/>
      <c r="K56" s="44">
        <v>115</v>
      </c>
      <c r="L56" s="119">
        <f t="shared" si="3"/>
        <v>22.721450486034168</v>
      </c>
      <c r="M56" s="63">
        <f t="shared" si="0"/>
        <v>22.721450486034168</v>
      </c>
      <c r="U56">
        <v>115</v>
      </c>
      <c r="V56">
        <v>30.6</v>
      </c>
    </row>
    <row r="57" spans="1:22">
      <c r="A57" s="44" t="s">
        <v>553</v>
      </c>
      <c r="B57" s="44">
        <v>156</v>
      </c>
      <c r="C57" s="49">
        <v>2029</v>
      </c>
      <c r="D57" s="46">
        <v>0</v>
      </c>
      <c r="E57" s="47">
        <v>0</v>
      </c>
      <c r="F57" s="47">
        <v>0</v>
      </c>
      <c r="G57" s="48">
        <v>0</v>
      </c>
      <c r="H57" s="63">
        <f t="shared" si="1"/>
        <v>0</v>
      </c>
      <c r="I57" s="119"/>
      <c r="J57" s="119"/>
      <c r="K57" s="44">
        <v>216</v>
      </c>
      <c r="L57" s="119">
        <f t="shared" si="3"/>
        <v>24.940059569099141</v>
      </c>
      <c r="M57" s="63">
        <f t="shared" si="0"/>
        <v>24.940059569099141</v>
      </c>
      <c r="U57">
        <v>216</v>
      </c>
      <c r="V57">
        <v>54</v>
      </c>
    </row>
    <row r="58" spans="1:22">
      <c r="A58" s="44" t="s">
        <v>553</v>
      </c>
      <c r="B58" s="44">
        <v>156</v>
      </c>
      <c r="C58" s="49">
        <v>2030</v>
      </c>
      <c r="D58" s="46">
        <v>0</v>
      </c>
      <c r="E58" s="47">
        <v>0</v>
      </c>
      <c r="F58" s="47">
        <v>0</v>
      </c>
      <c r="G58" s="48">
        <v>0</v>
      </c>
      <c r="H58" s="63">
        <f t="shared" si="1"/>
        <v>0</v>
      </c>
      <c r="I58" s="119"/>
      <c r="J58" s="119"/>
      <c r="K58" s="44">
        <v>104</v>
      </c>
      <c r="L58" s="119">
        <f t="shared" si="3"/>
        <v>13.732727193945239</v>
      </c>
      <c r="M58" s="63">
        <f t="shared" si="0"/>
        <v>13.732727193945239</v>
      </c>
      <c r="U58">
        <v>104</v>
      </c>
      <c r="V58">
        <v>16.2</v>
      </c>
    </row>
    <row r="59" spans="1:22">
      <c r="A59" s="44" t="s">
        <v>553</v>
      </c>
      <c r="B59" s="44">
        <v>156</v>
      </c>
      <c r="C59" s="49">
        <v>2031</v>
      </c>
      <c r="D59" s="46">
        <v>0</v>
      </c>
      <c r="E59" s="47">
        <v>0</v>
      </c>
      <c r="F59" s="47">
        <v>0</v>
      </c>
      <c r="G59" s="48">
        <v>0</v>
      </c>
      <c r="H59" s="63">
        <f t="shared" si="1"/>
        <v>0</v>
      </c>
      <c r="I59" s="119"/>
      <c r="J59" s="119"/>
      <c r="K59" s="44" t="s">
        <v>554</v>
      </c>
      <c r="L59" s="119">
        <f t="shared" si="3"/>
        <v>6.8748504503297072</v>
      </c>
      <c r="M59" s="63">
        <f t="shared" si="0"/>
        <v>6.8748504503297072</v>
      </c>
      <c r="U59" t="s">
        <v>554</v>
      </c>
      <c r="V59">
        <v>6.3</v>
      </c>
    </row>
    <row r="60" spans="1:22">
      <c r="A60" s="44" t="s">
        <v>553</v>
      </c>
      <c r="B60" s="44">
        <v>156</v>
      </c>
      <c r="C60" s="49">
        <v>2032</v>
      </c>
      <c r="D60" s="46">
        <v>0</v>
      </c>
      <c r="E60" s="47">
        <v>0</v>
      </c>
      <c r="F60" s="47">
        <v>0</v>
      </c>
      <c r="G60" s="48">
        <v>30.874977013279953</v>
      </c>
      <c r="H60" s="63">
        <f t="shared" si="1"/>
        <v>30.874977013279953</v>
      </c>
      <c r="I60" s="119"/>
      <c r="J60" s="119"/>
      <c r="K60" s="44" t="s">
        <v>555</v>
      </c>
      <c r="L60" s="119">
        <f t="shared" si="3"/>
        <v>9.1664672671062775</v>
      </c>
      <c r="M60" s="63">
        <f t="shared" si="0"/>
        <v>9.1664672671062775</v>
      </c>
      <c r="U60" t="s">
        <v>555</v>
      </c>
      <c r="V60">
        <v>12.6</v>
      </c>
    </row>
    <row r="61" spans="1:22">
      <c r="A61" s="44" t="s">
        <v>553</v>
      </c>
      <c r="B61" s="44">
        <v>156</v>
      </c>
      <c r="C61" s="49">
        <v>2033</v>
      </c>
      <c r="D61" s="46">
        <v>0</v>
      </c>
      <c r="E61" s="47">
        <v>0</v>
      </c>
      <c r="F61" s="47">
        <v>0</v>
      </c>
      <c r="G61" s="48">
        <v>31.492476553545551</v>
      </c>
      <c r="H61" s="63">
        <f t="shared" si="1"/>
        <v>31.492476553545551</v>
      </c>
      <c r="I61" s="119"/>
      <c r="J61" s="119"/>
      <c r="K61" s="44">
        <v>762</v>
      </c>
      <c r="L61" s="119">
        <f t="shared" si="3"/>
        <v>20.614037227498308</v>
      </c>
      <c r="M61" s="63">
        <f t="shared" si="0"/>
        <v>20.614037227498308</v>
      </c>
      <c r="U61">
        <v>762</v>
      </c>
      <c r="V61">
        <v>19.8</v>
      </c>
    </row>
    <row r="62" spans="1:22">
      <c r="A62" s="44" t="s">
        <v>553</v>
      </c>
      <c r="B62" s="44">
        <v>156</v>
      </c>
      <c r="C62" s="49">
        <v>2034</v>
      </c>
      <c r="D62" s="46">
        <v>0</v>
      </c>
      <c r="E62" s="47">
        <v>0</v>
      </c>
      <c r="F62" s="47">
        <v>0</v>
      </c>
      <c r="G62" s="48">
        <v>32.122326084616461</v>
      </c>
      <c r="H62" s="63">
        <f t="shared" si="1"/>
        <v>32.122326084616461</v>
      </c>
      <c r="I62" s="119"/>
      <c r="J62" s="119"/>
      <c r="K62" s="44">
        <v>567</v>
      </c>
      <c r="L62" s="119">
        <f t="shared" si="3"/>
        <v>20.178293927418515</v>
      </c>
      <c r="M62" s="63">
        <f t="shared" si="0"/>
        <v>20.178293927418515</v>
      </c>
      <c r="U62">
        <v>567</v>
      </c>
      <c r="V62">
        <v>19.8</v>
      </c>
    </row>
    <row r="63" spans="1:22">
      <c r="A63" s="44" t="s">
        <v>553</v>
      </c>
      <c r="B63" s="44">
        <v>156</v>
      </c>
      <c r="C63" s="49">
        <v>2035</v>
      </c>
      <c r="D63" s="46">
        <v>0</v>
      </c>
      <c r="E63" s="47">
        <v>0</v>
      </c>
      <c r="F63" s="47">
        <v>0</v>
      </c>
      <c r="G63" s="48">
        <v>32.764772606308789</v>
      </c>
      <c r="H63" s="63">
        <f t="shared" si="1"/>
        <v>32.764772606308789</v>
      </c>
      <c r="I63" s="119">
        <f>NPV($I$19,H54:H63)/((1-(1+$I$19)^-10)/$I$19)</f>
        <v>10.214617376953118</v>
      </c>
      <c r="J63" s="119"/>
      <c r="K63" s="44">
        <v>769</v>
      </c>
      <c r="L63" s="119">
        <f t="shared" si="3"/>
        <v>25.207497743194917</v>
      </c>
      <c r="M63" s="63">
        <f t="shared" si="0"/>
        <v>25.207497743194917</v>
      </c>
      <c r="U63">
        <v>769</v>
      </c>
      <c r="V63">
        <v>118.8</v>
      </c>
    </row>
    <row r="64" spans="1:22">
      <c r="A64" s="44"/>
      <c r="B64" s="44" t="s">
        <v>401</v>
      </c>
      <c r="C64" s="49"/>
      <c r="D64" s="42"/>
      <c r="E64" s="19"/>
      <c r="F64" s="19"/>
      <c r="G64" s="43"/>
      <c r="H64" s="63">
        <f t="shared" si="1"/>
        <v>0</v>
      </c>
      <c r="I64" s="119"/>
      <c r="J64" s="119"/>
      <c r="K64" s="44">
        <v>766</v>
      </c>
      <c r="L64" s="119">
        <f t="shared" si="3"/>
        <v>25.28208192084729</v>
      </c>
      <c r="M64" s="63">
        <f t="shared" si="0"/>
        <v>25.28208192084729</v>
      </c>
      <c r="U64">
        <v>766</v>
      </c>
      <c r="V64">
        <v>18</v>
      </c>
    </row>
    <row r="65" spans="1:22">
      <c r="A65" s="44" t="s">
        <v>553</v>
      </c>
      <c r="B65" s="44">
        <v>154</v>
      </c>
      <c r="C65" s="49">
        <v>2026</v>
      </c>
      <c r="D65" s="46">
        <v>0</v>
      </c>
      <c r="E65" s="47">
        <v>0</v>
      </c>
      <c r="F65" s="47">
        <v>0</v>
      </c>
      <c r="G65" s="48">
        <v>0</v>
      </c>
      <c r="H65" s="63">
        <f t="shared" si="1"/>
        <v>0</v>
      </c>
      <c r="I65" s="119"/>
      <c r="J65" s="119"/>
      <c r="K65" s="44">
        <v>246</v>
      </c>
      <c r="L65" s="119">
        <f t="shared" si="3"/>
        <v>15.36252779059889</v>
      </c>
      <c r="M65" s="63">
        <f t="shared" si="0"/>
        <v>15.36252779059889</v>
      </c>
      <c r="U65">
        <v>246</v>
      </c>
      <c r="V65">
        <v>12.6</v>
      </c>
    </row>
    <row r="66" spans="1:22">
      <c r="A66" s="44" t="s">
        <v>553</v>
      </c>
      <c r="B66" s="44">
        <v>154</v>
      </c>
      <c r="C66" s="49">
        <v>2027</v>
      </c>
      <c r="D66" s="46">
        <v>0</v>
      </c>
      <c r="E66" s="47">
        <v>0</v>
      </c>
      <c r="F66" s="47">
        <v>0</v>
      </c>
      <c r="G66" s="48">
        <v>0</v>
      </c>
      <c r="H66" s="63">
        <f t="shared" si="1"/>
        <v>0</v>
      </c>
      <c r="I66" s="119"/>
      <c r="J66" s="119"/>
      <c r="K66" s="44">
        <v>205</v>
      </c>
      <c r="L66" s="119">
        <f t="shared" si="3"/>
        <v>18.324599273762111</v>
      </c>
      <c r="M66" s="63">
        <f t="shared" si="0"/>
        <v>18.324599273762111</v>
      </c>
      <c r="U66">
        <v>205</v>
      </c>
      <c r="V66">
        <v>15.434999999999999</v>
      </c>
    </row>
    <row r="67" spans="1:22">
      <c r="A67" s="44" t="s">
        <v>553</v>
      </c>
      <c r="B67" s="44">
        <v>154</v>
      </c>
      <c r="C67" s="49">
        <v>2028</v>
      </c>
      <c r="D67" s="46">
        <v>0</v>
      </c>
      <c r="E67" s="47">
        <v>0</v>
      </c>
      <c r="F67" s="47">
        <v>0</v>
      </c>
      <c r="G67" s="48">
        <v>0</v>
      </c>
      <c r="H67" s="63">
        <f t="shared" si="1"/>
        <v>0</v>
      </c>
      <c r="I67" s="119"/>
      <c r="J67" s="119"/>
      <c r="K67" s="119"/>
      <c r="L67" s="119"/>
      <c r="M67" s="119"/>
    </row>
    <row r="68" spans="1:22">
      <c r="A68" s="44" t="s">
        <v>553</v>
      </c>
      <c r="B68" s="44">
        <v>154</v>
      </c>
      <c r="C68" s="49">
        <v>2029</v>
      </c>
      <c r="D68" s="46">
        <v>0</v>
      </c>
      <c r="E68" s="47">
        <v>0</v>
      </c>
      <c r="F68" s="47">
        <v>0</v>
      </c>
      <c r="G68" s="48">
        <v>0</v>
      </c>
      <c r="H68" s="63">
        <f t="shared" si="1"/>
        <v>0</v>
      </c>
      <c r="I68" s="119"/>
      <c r="J68" s="119"/>
      <c r="K68" s="119"/>
      <c r="L68" s="119"/>
      <c r="M68" s="119"/>
    </row>
    <row r="69" spans="1:22">
      <c r="A69" s="44" t="s">
        <v>553</v>
      </c>
      <c r="B69" s="44">
        <v>154</v>
      </c>
      <c r="C69" s="49">
        <v>2030</v>
      </c>
      <c r="D69" s="46">
        <v>0</v>
      </c>
      <c r="E69" s="47">
        <v>0</v>
      </c>
      <c r="F69" s="47">
        <v>14.439596247765039</v>
      </c>
      <c r="G69" s="48">
        <v>0</v>
      </c>
      <c r="H69" s="63">
        <f t="shared" si="1"/>
        <v>14.439596247765039</v>
      </c>
      <c r="I69" s="119"/>
      <c r="J69" s="119"/>
      <c r="K69" s="119"/>
      <c r="L69" s="119"/>
      <c r="M69" s="119"/>
    </row>
    <row r="70" spans="1:22">
      <c r="A70" s="44" t="s">
        <v>553</v>
      </c>
      <c r="B70" s="44">
        <v>154</v>
      </c>
      <c r="C70" s="49">
        <v>2031</v>
      </c>
      <c r="D70" s="46">
        <v>0</v>
      </c>
      <c r="E70" s="47">
        <v>0</v>
      </c>
      <c r="F70" s="47">
        <v>70.121339183439986</v>
      </c>
      <c r="G70" s="48">
        <v>0</v>
      </c>
      <c r="H70" s="63">
        <f t="shared" si="1"/>
        <v>70.121339183439986</v>
      </c>
      <c r="I70" s="119"/>
      <c r="J70" s="119"/>
      <c r="K70" s="119"/>
      <c r="L70" s="119"/>
      <c r="M70" s="119"/>
    </row>
    <row r="71" spans="1:22">
      <c r="A71" s="44" t="s">
        <v>553</v>
      </c>
      <c r="B71" s="44">
        <v>154</v>
      </c>
      <c r="C71" s="49">
        <v>2032</v>
      </c>
      <c r="D71" s="46">
        <v>0</v>
      </c>
      <c r="E71" s="47">
        <v>0</v>
      </c>
      <c r="F71" s="47">
        <v>133.92799858126688</v>
      </c>
      <c r="G71" s="48">
        <v>30.874977013279953</v>
      </c>
      <c r="H71" s="63">
        <f t="shared" si="1"/>
        <v>164.80297559454684</v>
      </c>
      <c r="I71" s="119"/>
      <c r="J71" s="119"/>
      <c r="K71" s="119"/>
      <c r="L71" s="119"/>
      <c r="M71" s="119"/>
    </row>
    <row r="72" spans="1:22">
      <c r="A72" s="44" t="s">
        <v>553</v>
      </c>
      <c r="B72" s="44">
        <v>154</v>
      </c>
      <c r="C72" s="49">
        <v>2033</v>
      </c>
      <c r="D72" s="46">
        <v>0</v>
      </c>
      <c r="E72" s="47">
        <v>64.003199673094045</v>
      </c>
      <c r="F72" s="47">
        <v>196.677243013664</v>
      </c>
      <c r="G72" s="48">
        <v>31.492476553545551</v>
      </c>
      <c r="H72" s="63">
        <f t="shared" si="1"/>
        <v>292.1729192403036</v>
      </c>
      <c r="I72" s="119"/>
      <c r="J72" s="119"/>
      <c r="K72" s="119"/>
      <c r="L72" s="119"/>
      <c r="M72" s="119"/>
    </row>
    <row r="73" spans="1:22">
      <c r="A73" s="44" t="s">
        <v>553</v>
      </c>
      <c r="B73" s="44">
        <v>154</v>
      </c>
      <c r="C73" s="49">
        <v>2034</v>
      </c>
      <c r="D73" s="46">
        <v>0</v>
      </c>
      <c r="E73" s="47">
        <v>65.283263666555925</v>
      </c>
      <c r="F73" s="47">
        <v>200.61078787393728</v>
      </c>
      <c r="G73" s="48">
        <v>32.122326084616461</v>
      </c>
      <c r="H73" s="63">
        <f t="shared" si="1"/>
        <v>298.01637762510967</v>
      </c>
      <c r="I73" s="119"/>
      <c r="J73" s="119"/>
      <c r="K73" s="119"/>
      <c r="L73" s="119"/>
      <c r="M73" s="119"/>
    </row>
    <row r="74" spans="1:22">
      <c r="A74" s="44" t="s">
        <v>553</v>
      </c>
      <c r="B74" s="44">
        <v>154</v>
      </c>
      <c r="C74" s="49">
        <v>2035</v>
      </c>
      <c r="D74" s="46">
        <v>0</v>
      </c>
      <c r="E74" s="47">
        <v>66.58892893988704</v>
      </c>
      <c r="F74" s="47">
        <v>204.62300363141603</v>
      </c>
      <c r="G74" s="48">
        <v>32.764772606308789</v>
      </c>
      <c r="H74" s="63">
        <f t="shared" si="1"/>
        <v>303.97670517761185</v>
      </c>
      <c r="I74" s="119">
        <f>NPV($I$19,H65:H74)/((1-(1+$I$19)^-10)/$I$19)</f>
        <v>92.096067860683917</v>
      </c>
      <c r="J74" s="119"/>
      <c r="K74" s="119"/>
      <c r="L74" s="119"/>
      <c r="M74" s="119"/>
    </row>
    <row r="75" spans="1:22">
      <c r="A75" s="44"/>
      <c r="B75" s="44" t="s">
        <v>401</v>
      </c>
      <c r="C75" s="49"/>
      <c r="D75" s="46"/>
      <c r="E75" s="47"/>
      <c r="F75" s="47"/>
      <c r="G75" s="48"/>
      <c r="H75" s="63">
        <f t="shared" si="1"/>
        <v>0</v>
      </c>
      <c r="I75" s="119"/>
      <c r="J75" s="119"/>
      <c r="K75" s="119"/>
      <c r="L75" s="119"/>
      <c r="M75" s="119"/>
    </row>
    <row r="76" spans="1:22">
      <c r="A76" s="44" t="s">
        <v>556</v>
      </c>
      <c r="B76" s="44">
        <v>45</v>
      </c>
      <c r="C76" s="49">
        <v>2026</v>
      </c>
      <c r="D76" s="46">
        <v>0</v>
      </c>
      <c r="E76" s="47">
        <v>0</v>
      </c>
      <c r="F76" s="47">
        <v>0</v>
      </c>
      <c r="G76" s="48">
        <v>0</v>
      </c>
      <c r="H76" s="63">
        <f t="shared" si="1"/>
        <v>0</v>
      </c>
      <c r="I76" s="119"/>
      <c r="J76" s="119"/>
      <c r="K76" s="119"/>
      <c r="L76" s="119"/>
      <c r="M76" s="119"/>
    </row>
    <row r="77" spans="1:22">
      <c r="A77" s="44" t="s">
        <v>556</v>
      </c>
      <c r="B77" s="44">
        <v>45</v>
      </c>
      <c r="C77" s="49">
        <v>2027</v>
      </c>
      <c r="D77" s="46">
        <v>0</v>
      </c>
      <c r="E77" s="47">
        <v>64.622631428451413</v>
      </c>
      <c r="F77" s="47">
        <v>0</v>
      </c>
      <c r="G77" s="48">
        <v>0</v>
      </c>
      <c r="H77" s="63">
        <f t="shared" si="1"/>
        <v>64.622631428451413</v>
      </c>
      <c r="I77" s="119"/>
      <c r="J77" s="119"/>
      <c r="K77" s="119"/>
      <c r="L77" s="119"/>
      <c r="M77" s="119"/>
    </row>
    <row r="78" spans="1:22">
      <c r="A78" s="44" t="s">
        <v>556</v>
      </c>
      <c r="B78" s="44">
        <v>45</v>
      </c>
      <c r="C78" s="49">
        <v>2028</v>
      </c>
      <c r="D78" s="46">
        <v>0</v>
      </c>
      <c r="E78" s="47">
        <v>65.915084057020437</v>
      </c>
      <c r="F78" s="47">
        <v>0</v>
      </c>
      <c r="G78" s="48">
        <v>0</v>
      </c>
      <c r="H78" s="63">
        <f t="shared" si="1"/>
        <v>65.915084057020437</v>
      </c>
      <c r="I78" s="119"/>
      <c r="J78" s="119"/>
      <c r="K78" s="119"/>
      <c r="L78" s="119"/>
      <c r="M78" s="119"/>
    </row>
    <row r="79" spans="1:22">
      <c r="A79" s="44" t="s">
        <v>556</v>
      </c>
      <c r="B79" s="44">
        <v>45</v>
      </c>
      <c r="C79" s="49">
        <v>2029</v>
      </c>
      <c r="D79" s="46">
        <v>0</v>
      </c>
      <c r="E79" s="47">
        <v>67.233385738160848</v>
      </c>
      <c r="F79" s="47">
        <v>104.31336446267186</v>
      </c>
      <c r="G79" s="48">
        <v>0</v>
      </c>
      <c r="H79" s="63">
        <f t="shared" si="1"/>
        <v>171.54675020083272</v>
      </c>
      <c r="I79" s="119"/>
      <c r="J79" s="119"/>
      <c r="K79" s="119"/>
      <c r="L79" s="119"/>
      <c r="M79" s="119"/>
    </row>
    <row r="80" spans="1:22">
      <c r="A80" s="44" t="s">
        <v>556</v>
      </c>
      <c r="B80" s="44">
        <v>45</v>
      </c>
      <c r="C80" s="49">
        <v>2030</v>
      </c>
      <c r="D80" s="46">
        <v>0</v>
      </c>
      <c r="E80" s="47">
        <v>68.578053452924067</v>
      </c>
      <c r="F80" s="47">
        <v>106.3996317519253</v>
      </c>
      <c r="G80" s="48">
        <v>0</v>
      </c>
      <c r="H80" s="63">
        <f t="shared" si="1"/>
        <v>174.97768520484937</v>
      </c>
      <c r="I80" s="119"/>
      <c r="J80" s="119"/>
      <c r="K80" s="119"/>
      <c r="L80" s="119"/>
      <c r="M80" s="119"/>
    </row>
    <row r="81" spans="1:9">
      <c r="A81" s="44" t="s">
        <v>556</v>
      </c>
      <c r="B81" s="44">
        <v>45</v>
      </c>
      <c r="C81" s="49">
        <v>2031</v>
      </c>
      <c r="D81" s="46">
        <v>0</v>
      </c>
      <c r="E81" s="47">
        <v>69.949614521982554</v>
      </c>
      <c r="F81" s="47">
        <v>108.52762438696381</v>
      </c>
      <c r="G81" s="48">
        <v>0</v>
      </c>
      <c r="H81" s="63">
        <f t="shared" si="1"/>
        <v>178.47723890894636</v>
      </c>
      <c r="I81" s="119"/>
    </row>
    <row r="82" spans="1:9">
      <c r="A82" s="44" t="s">
        <v>556</v>
      </c>
      <c r="B82" s="44">
        <v>45</v>
      </c>
      <c r="C82" s="49">
        <v>2032</v>
      </c>
      <c r="D82" s="46">
        <v>0</v>
      </c>
      <c r="E82" s="47">
        <v>71.348606812422204</v>
      </c>
      <c r="F82" s="47">
        <v>110.69817687470308</v>
      </c>
      <c r="G82" s="48">
        <v>0</v>
      </c>
      <c r="H82" s="63">
        <f t="shared" si="1"/>
        <v>182.0467836871253</v>
      </c>
      <c r="I82" s="119"/>
    </row>
    <row r="83" spans="1:9">
      <c r="A83" s="44" t="s">
        <v>556</v>
      </c>
      <c r="B83" s="44">
        <v>45</v>
      </c>
      <c r="C83" s="49">
        <v>2033</v>
      </c>
      <c r="D83" s="46">
        <v>0</v>
      </c>
      <c r="E83" s="47">
        <v>72.775578948670656</v>
      </c>
      <c r="F83" s="47">
        <v>112.91214041219715</v>
      </c>
      <c r="G83" s="48">
        <v>0</v>
      </c>
      <c r="H83" s="63">
        <f t="shared" si="1"/>
        <v>185.68771936086779</v>
      </c>
      <c r="I83" s="119"/>
    </row>
    <row r="84" spans="1:9">
      <c r="A84" s="44" t="s">
        <v>556</v>
      </c>
      <c r="B84" s="44">
        <v>45</v>
      </c>
      <c r="C84" s="49">
        <v>2034</v>
      </c>
      <c r="D84" s="46">
        <v>0</v>
      </c>
      <c r="E84" s="47">
        <v>74.231090527644071</v>
      </c>
      <c r="F84" s="47">
        <v>115.1703832204411</v>
      </c>
      <c r="G84" s="48">
        <v>42.15381001577142</v>
      </c>
      <c r="H84" s="63">
        <f t="shared" si="1"/>
        <v>231.55528376385658</v>
      </c>
      <c r="I84" s="119"/>
    </row>
    <row r="85" spans="1:9">
      <c r="A85" s="44" t="s">
        <v>556</v>
      </c>
      <c r="B85" s="44">
        <v>45</v>
      </c>
      <c r="C85" s="49">
        <v>2035</v>
      </c>
      <c r="D85" s="46">
        <v>0</v>
      </c>
      <c r="E85" s="47">
        <v>75.715712338196951</v>
      </c>
      <c r="F85" s="47">
        <v>117.47379088484992</v>
      </c>
      <c r="G85" s="48">
        <v>42.99688621608685</v>
      </c>
      <c r="H85" s="63">
        <f t="shared" si="1"/>
        <v>236.18638943913373</v>
      </c>
      <c r="I85" s="119">
        <f>NPV($I$19,H76:H85)/((1-(1+$I$19)^-10)/$I$19)</f>
        <v>135.62805784581735</v>
      </c>
    </row>
    <row r="86" spans="1:9">
      <c r="A86" s="44"/>
      <c r="B86" s="44" t="s">
        <v>401</v>
      </c>
      <c r="C86" s="49"/>
      <c r="D86" s="42"/>
      <c r="E86" s="19"/>
      <c r="F86" s="19"/>
      <c r="G86" s="43"/>
      <c r="H86" s="63">
        <f t="shared" ref="H86:H149" si="4">SUM(D86:G86)</f>
        <v>0</v>
      </c>
      <c r="I86" s="119"/>
    </row>
    <row r="87" spans="1:9">
      <c r="A87" s="44" t="s">
        <v>556</v>
      </c>
      <c r="B87" s="44">
        <v>16</v>
      </c>
      <c r="C87" s="49">
        <v>2026</v>
      </c>
      <c r="D87" s="46">
        <v>0</v>
      </c>
      <c r="E87" s="47">
        <v>0</v>
      </c>
      <c r="F87" s="47">
        <v>0</v>
      </c>
      <c r="G87" s="48">
        <v>0</v>
      </c>
      <c r="H87" s="63">
        <f t="shared" si="4"/>
        <v>0</v>
      </c>
      <c r="I87" s="119"/>
    </row>
    <row r="88" spans="1:9">
      <c r="A88" s="44" t="s">
        <v>556</v>
      </c>
      <c r="B88" s="44">
        <v>16</v>
      </c>
      <c r="C88" s="49">
        <v>2027</v>
      </c>
      <c r="D88" s="46">
        <v>0</v>
      </c>
      <c r="E88" s="47">
        <v>87.621377874449323</v>
      </c>
      <c r="F88" s="47">
        <v>0</v>
      </c>
      <c r="G88" s="48">
        <v>0</v>
      </c>
      <c r="H88" s="63">
        <f t="shared" si="4"/>
        <v>87.621377874449323</v>
      </c>
      <c r="I88" s="119"/>
    </row>
    <row r="89" spans="1:9">
      <c r="A89" s="44" t="s">
        <v>556</v>
      </c>
      <c r="B89" s="44">
        <v>16</v>
      </c>
      <c r="C89" s="49">
        <v>2028</v>
      </c>
      <c r="D89" s="46">
        <v>0</v>
      </c>
      <c r="E89" s="47">
        <v>89.373805431938308</v>
      </c>
      <c r="F89" s="47">
        <v>66.047205491486324</v>
      </c>
      <c r="G89" s="48">
        <v>0</v>
      </c>
      <c r="H89" s="63">
        <f t="shared" si="4"/>
        <v>155.42101092342463</v>
      </c>
      <c r="I89" s="119"/>
    </row>
    <row r="90" spans="1:9">
      <c r="A90" s="44" t="s">
        <v>556</v>
      </c>
      <c r="B90" s="44">
        <v>16</v>
      </c>
      <c r="C90" s="49">
        <v>2029</v>
      </c>
      <c r="D90" s="46">
        <v>0</v>
      </c>
      <c r="E90" s="47">
        <v>91.161281540577079</v>
      </c>
      <c r="F90" s="47">
        <v>124.61621866183492</v>
      </c>
      <c r="G90" s="48">
        <v>0</v>
      </c>
      <c r="H90" s="63">
        <f t="shared" si="4"/>
        <v>215.777500202412</v>
      </c>
      <c r="I90" s="119"/>
    </row>
    <row r="91" spans="1:9">
      <c r="A91" s="44" t="s">
        <v>556</v>
      </c>
      <c r="B91" s="44">
        <v>16</v>
      </c>
      <c r="C91" s="49">
        <v>2030</v>
      </c>
      <c r="D91" s="46">
        <v>0</v>
      </c>
      <c r="E91" s="47">
        <v>92.984507171388628</v>
      </c>
      <c r="F91" s="47">
        <v>127.10854303507162</v>
      </c>
      <c r="G91" s="48">
        <v>0</v>
      </c>
      <c r="H91" s="63">
        <f t="shared" si="4"/>
        <v>220.09305020646025</v>
      </c>
      <c r="I91" s="119"/>
    </row>
    <row r="92" spans="1:9">
      <c r="A92" s="44" t="s">
        <v>556</v>
      </c>
      <c r="B92" s="44">
        <v>16</v>
      </c>
      <c r="C92" s="49">
        <v>2031</v>
      </c>
      <c r="D92" s="46">
        <v>0</v>
      </c>
      <c r="E92" s="47">
        <v>94.844197314816398</v>
      </c>
      <c r="F92" s="47">
        <v>129.65071389577307</v>
      </c>
      <c r="G92" s="48">
        <v>0</v>
      </c>
      <c r="H92" s="63">
        <f t="shared" si="4"/>
        <v>224.49491121058946</v>
      </c>
      <c r="I92" s="119"/>
    </row>
    <row r="93" spans="1:9">
      <c r="A93" s="44" t="s">
        <v>556</v>
      </c>
      <c r="B93" s="44">
        <v>16</v>
      </c>
      <c r="C93" s="49">
        <v>2032</v>
      </c>
      <c r="D93" s="46">
        <v>0</v>
      </c>
      <c r="E93" s="47">
        <v>96.741081261112726</v>
      </c>
      <c r="F93" s="47">
        <v>132.24372817368854</v>
      </c>
      <c r="G93" s="48">
        <v>0</v>
      </c>
      <c r="H93" s="63">
        <f t="shared" si="4"/>
        <v>228.98480943480126</v>
      </c>
      <c r="I93" s="119"/>
    </row>
    <row r="94" spans="1:9">
      <c r="A94" s="44" t="s">
        <v>556</v>
      </c>
      <c r="B94" s="44">
        <v>16</v>
      </c>
      <c r="C94" s="49">
        <v>2033</v>
      </c>
      <c r="D94" s="46">
        <v>0</v>
      </c>
      <c r="E94" s="47">
        <v>98.675902886334981</v>
      </c>
      <c r="F94" s="47">
        <v>134.8886027371623</v>
      </c>
      <c r="G94" s="48">
        <v>0</v>
      </c>
      <c r="H94" s="63">
        <f t="shared" si="4"/>
        <v>233.56450562349727</v>
      </c>
      <c r="I94" s="119"/>
    </row>
    <row r="95" spans="1:9">
      <c r="A95" s="44" t="s">
        <v>556</v>
      </c>
      <c r="B95" s="44">
        <v>16</v>
      </c>
      <c r="C95" s="49">
        <v>2034</v>
      </c>
      <c r="D95" s="46">
        <v>0</v>
      </c>
      <c r="E95" s="47">
        <v>100.64942094406169</v>
      </c>
      <c r="F95" s="47">
        <v>137.58637479190554</v>
      </c>
      <c r="G95" s="48">
        <v>0</v>
      </c>
      <c r="H95" s="63">
        <f t="shared" si="4"/>
        <v>238.23579573596723</v>
      </c>
      <c r="I95" s="119"/>
    </row>
    <row r="96" spans="1:9">
      <c r="A96" s="44" t="s">
        <v>556</v>
      </c>
      <c r="B96" s="44">
        <v>16</v>
      </c>
      <c r="C96" s="49">
        <v>2035</v>
      </c>
      <c r="D96" s="46">
        <v>0</v>
      </c>
      <c r="E96" s="47">
        <v>102.66240936294292</v>
      </c>
      <c r="F96" s="47">
        <v>140.33810228774365</v>
      </c>
      <c r="G96" s="48">
        <v>0</v>
      </c>
      <c r="H96" s="63">
        <f t="shared" si="4"/>
        <v>243.00051165068658</v>
      </c>
      <c r="I96" s="119">
        <f>NPV($I$19,H87:H96)/((1-(1+$I$19)^-10)/$I$19)</f>
        <v>171.77955856129279</v>
      </c>
    </row>
    <row r="97" spans="1:9">
      <c r="A97" s="44"/>
      <c r="B97" s="44" t="s">
        <v>401</v>
      </c>
      <c r="C97" s="49"/>
      <c r="D97" s="46"/>
      <c r="E97" s="47"/>
      <c r="F97" s="47"/>
      <c r="G97" s="48"/>
      <c r="H97" s="63">
        <f t="shared" si="4"/>
        <v>0</v>
      </c>
      <c r="I97" s="119"/>
    </row>
    <row r="98" spans="1:9">
      <c r="A98" s="44" t="s">
        <v>556</v>
      </c>
      <c r="B98" s="44">
        <v>424</v>
      </c>
      <c r="C98" s="49">
        <v>2026</v>
      </c>
      <c r="D98" s="46">
        <v>0</v>
      </c>
      <c r="E98" s="47">
        <v>0</v>
      </c>
      <c r="F98" s="47">
        <v>0</v>
      </c>
      <c r="G98" s="48">
        <v>0</v>
      </c>
      <c r="H98" s="63">
        <f t="shared" si="4"/>
        <v>0</v>
      </c>
      <c r="I98" s="119"/>
    </row>
    <row r="99" spans="1:9">
      <c r="A99" s="44" t="s">
        <v>556</v>
      </c>
      <c r="B99" s="44">
        <v>424</v>
      </c>
      <c r="C99" s="49">
        <v>2027</v>
      </c>
      <c r="D99" s="46">
        <v>0</v>
      </c>
      <c r="E99" s="47">
        <v>0</v>
      </c>
      <c r="F99" s="47">
        <v>0</v>
      </c>
      <c r="G99" s="48">
        <v>0</v>
      </c>
      <c r="H99" s="63">
        <f t="shared" si="4"/>
        <v>0</v>
      </c>
      <c r="I99" s="119"/>
    </row>
    <row r="100" spans="1:9">
      <c r="A100" s="44" t="s">
        <v>556</v>
      </c>
      <c r="B100" s="44">
        <v>424</v>
      </c>
      <c r="C100" s="49">
        <v>2028</v>
      </c>
      <c r="D100" s="46">
        <v>0</v>
      </c>
      <c r="E100" s="47">
        <v>44.850518400618753</v>
      </c>
      <c r="F100" s="47">
        <v>0</v>
      </c>
      <c r="G100" s="48">
        <v>0</v>
      </c>
      <c r="H100" s="63">
        <f t="shared" si="4"/>
        <v>44.850518400618753</v>
      </c>
      <c r="I100" s="119"/>
    </row>
    <row r="101" spans="1:9">
      <c r="A101" s="44" t="s">
        <v>556</v>
      </c>
      <c r="B101" s="44">
        <v>424</v>
      </c>
      <c r="C101" s="49">
        <v>2029</v>
      </c>
      <c r="D101" s="46">
        <v>0</v>
      </c>
      <c r="E101" s="47">
        <v>45.747528768631128</v>
      </c>
      <c r="F101" s="47">
        <v>0</v>
      </c>
      <c r="G101" s="48">
        <v>59.425162730566662</v>
      </c>
      <c r="H101" s="63">
        <f t="shared" si="4"/>
        <v>105.17269149919778</v>
      </c>
      <c r="I101" s="119"/>
    </row>
    <row r="102" spans="1:9">
      <c r="A102" s="44" t="s">
        <v>556</v>
      </c>
      <c r="B102" s="44">
        <v>424</v>
      </c>
      <c r="C102" s="49">
        <v>2030</v>
      </c>
      <c r="D102" s="46">
        <v>0</v>
      </c>
      <c r="E102" s="47">
        <v>46.662479344003749</v>
      </c>
      <c r="F102" s="47">
        <v>0</v>
      </c>
      <c r="G102" s="48">
        <v>60.613665985177995</v>
      </c>
      <c r="H102" s="63">
        <f t="shared" si="4"/>
        <v>107.27614532918174</v>
      </c>
      <c r="I102" s="119"/>
    </row>
    <row r="103" spans="1:9">
      <c r="A103" s="44" t="s">
        <v>556</v>
      </c>
      <c r="B103" s="44">
        <v>424</v>
      </c>
      <c r="C103" s="49">
        <v>2031</v>
      </c>
      <c r="D103" s="46">
        <v>0</v>
      </c>
      <c r="E103" s="47">
        <v>47.595728930883823</v>
      </c>
      <c r="F103" s="47">
        <v>0</v>
      </c>
      <c r="G103" s="48">
        <v>61.825939304881558</v>
      </c>
      <c r="H103" s="63">
        <f t="shared" si="4"/>
        <v>109.42166823576538</v>
      </c>
      <c r="I103" s="119"/>
    </row>
    <row r="104" spans="1:9">
      <c r="A104" s="44" t="s">
        <v>556</v>
      </c>
      <c r="B104" s="44">
        <v>424</v>
      </c>
      <c r="C104" s="49">
        <v>2032</v>
      </c>
      <c r="D104" s="46">
        <v>0</v>
      </c>
      <c r="E104" s="47">
        <v>48.547643509501498</v>
      </c>
      <c r="F104" s="47">
        <v>0</v>
      </c>
      <c r="G104" s="48">
        <v>63.062458090979192</v>
      </c>
      <c r="H104" s="63">
        <f t="shared" si="4"/>
        <v>111.61010160048069</v>
      </c>
      <c r="I104" s="119"/>
    </row>
    <row r="105" spans="1:9">
      <c r="A105" s="44" t="s">
        <v>556</v>
      </c>
      <c r="B105" s="44">
        <v>424</v>
      </c>
      <c r="C105" s="49">
        <v>2033</v>
      </c>
      <c r="D105" s="46">
        <v>0</v>
      </c>
      <c r="E105" s="47">
        <v>49.51859637969153</v>
      </c>
      <c r="F105" s="47">
        <v>0</v>
      </c>
      <c r="G105" s="48">
        <v>64.323707252798783</v>
      </c>
      <c r="H105" s="63">
        <f t="shared" si="4"/>
        <v>113.84230363249031</v>
      </c>
      <c r="I105" s="119"/>
    </row>
    <row r="106" spans="1:9">
      <c r="A106" s="44" t="s">
        <v>556</v>
      </c>
      <c r="B106" s="44">
        <v>424</v>
      </c>
      <c r="C106" s="49">
        <v>2034</v>
      </c>
      <c r="D106" s="46">
        <v>0</v>
      </c>
      <c r="E106" s="47">
        <v>50.508968307285365</v>
      </c>
      <c r="F106" s="47">
        <v>0</v>
      </c>
      <c r="G106" s="48">
        <v>65.61018139785476</v>
      </c>
      <c r="H106" s="63">
        <f t="shared" si="4"/>
        <v>116.11914970514013</v>
      </c>
      <c r="I106" s="119"/>
    </row>
    <row r="107" spans="1:9">
      <c r="A107" s="44" t="s">
        <v>556</v>
      </c>
      <c r="B107" s="44">
        <v>424</v>
      </c>
      <c r="C107" s="49">
        <v>2035</v>
      </c>
      <c r="D107" s="46">
        <v>0</v>
      </c>
      <c r="E107" s="47">
        <v>51.519147673431071</v>
      </c>
      <c r="F107" s="47">
        <v>0</v>
      </c>
      <c r="G107" s="48">
        <v>66.922385025811863</v>
      </c>
      <c r="H107" s="63">
        <f t="shared" si="4"/>
        <v>118.44153269924294</v>
      </c>
      <c r="I107" s="119">
        <f>NPV($I$19,H98:H107)/((1-(1+$I$19)^-10)/$I$19)</f>
        <v>74.830073688537325</v>
      </c>
    </row>
    <row r="108" spans="1:9">
      <c r="A108" s="44"/>
      <c r="B108" s="44" t="s">
        <v>401</v>
      </c>
      <c r="C108" s="49"/>
      <c r="D108" s="42"/>
      <c r="E108" s="19"/>
      <c r="F108" s="19"/>
      <c r="G108" s="43"/>
      <c r="H108" s="63">
        <f t="shared" si="4"/>
        <v>0</v>
      </c>
      <c r="I108" s="119"/>
    </row>
    <row r="109" spans="1:9">
      <c r="A109" s="44" t="s">
        <v>556</v>
      </c>
      <c r="B109" s="44">
        <v>89</v>
      </c>
      <c r="C109" s="49">
        <v>2026</v>
      </c>
      <c r="D109" s="46">
        <v>0</v>
      </c>
      <c r="E109" s="47">
        <v>0</v>
      </c>
      <c r="F109" s="47">
        <v>0</v>
      </c>
      <c r="G109" s="48">
        <v>0</v>
      </c>
      <c r="H109" s="63">
        <f t="shared" si="4"/>
        <v>0</v>
      </c>
      <c r="I109" s="119"/>
    </row>
    <row r="110" spans="1:9">
      <c r="A110" s="44" t="s">
        <v>556</v>
      </c>
      <c r="B110" s="44">
        <v>89</v>
      </c>
      <c r="C110" s="49">
        <v>2027</v>
      </c>
      <c r="D110" s="46">
        <v>0</v>
      </c>
      <c r="E110" s="47">
        <v>35.947832430116186</v>
      </c>
      <c r="F110" s="47">
        <v>33.748478270822751</v>
      </c>
      <c r="G110" s="48">
        <v>0</v>
      </c>
      <c r="H110" s="63">
        <f t="shared" si="4"/>
        <v>69.696310700938938</v>
      </c>
      <c r="I110" s="119"/>
    </row>
    <row r="111" spans="1:9">
      <c r="A111" s="44" t="s">
        <v>556</v>
      </c>
      <c r="B111" s="44">
        <v>89</v>
      </c>
      <c r="C111" s="49">
        <v>2028</v>
      </c>
      <c r="D111" s="46">
        <v>0</v>
      </c>
      <c r="E111" s="47">
        <v>36.666789078718509</v>
      </c>
      <c r="F111" s="47">
        <v>61.943327531127863</v>
      </c>
      <c r="G111" s="48">
        <v>0</v>
      </c>
      <c r="H111" s="63">
        <f t="shared" si="4"/>
        <v>98.610116609846372</v>
      </c>
      <c r="I111" s="119"/>
    </row>
    <row r="112" spans="1:9">
      <c r="A112" s="44" t="s">
        <v>556</v>
      </c>
      <c r="B112" s="44">
        <v>89</v>
      </c>
      <c r="C112" s="49">
        <v>2029</v>
      </c>
      <c r="D112" s="46">
        <v>0</v>
      </c>
      <c r="E112" s="47">
        <v>37.400124860292877</v>
      </c>
      <c r="F112" s="47">
        <v>94.975290820862526</v>
      </c>
      <c r="G112" s="48">
        <v>0</v>
      </c>
      <c r="H112" s="63">
        <f t="shared" si="4"/>
        <v>132.3754156811554</v>
      </c>
      <c r="I112" s="119"/>
    </row>
    <row r="113" spans="1:9">
      <c r="A113" s="44" t="s">
        <v>556</v>
      </c>
      <c r="B113" s="44">
        <v>89</v>
      </c>
      <c r="C113" s="49">
        <v>2030</v>
      </c>
      <c r="D113" s="46">
        <v>0</v>
      </c>
      <c r="E113" s="47">
        <v>38.148127357498737</v>
      </c>
      <c r="F113" s="47">
        <v>139.78383006594669</v>
      </c>
      <c r="G113" s="48">
        <v>0</v>
      </c>
      <c r="H113" s="63">
        <f t="shared" si="4"/>
        <v>177.93195742344543</v>
      </c>
      <c r="I113" s="119"/>
    </row>
    <row r="114" spans="1:9">
      <c r="A114" s="44" t="s">
        <v>556</v>
      </c>
      <c r="B114" s="44">
        <v>89</v>
      </c>
      <c r="C114" s="49">
        <v>2031</v>
      </c>
      <c r="D114" s="46">
        <v>0</v>
      </c>
      <c r="E114" s="47">
        <v>38.911089904648712</v>
      </c>
      <c r="F114" s="47">
        <v>142.57950666726563</v>
      </c>
      <c r="G114" s="48">
        <v>0</v>
      </c>
      <c r="H114" s="63">
        <f t="shared" si="4"/>
        <v>181.49059657191435</v>
      </c>
      <c r="I114" s="119"/>
    </row>
    <row r="115" spans="1:9">
      <c r="A115" s="44" t="s">
        <v>556</v>
      </c>
      <c r="B115" s="44">
        <v>89</v>
      </c>
      <c r="C115" s="49">
        <v>2032</v>
      </c>
      <c r="D115" s="46">
        <v>0</v>
      </c>
      <c r="E115" s="47">
        <v>39.689311702741684</v>
      </c>
      <c r="F115" s="47">
        <v>145.43109680061096</v>
      </c>
      <c r="G115" s="48">
        <v>0</v>
      </c>
      <c r="H115" s="63">
        <f t="shared" si="4"/>
        <v>185.12040850335265</v>
      </c>
      <c r="I115" s="119"/>
    </row>
    <row r="116" spans="1:9">
      <c r="A116" s="44" t="s">
        <v>556</v>
      </c>
      <c r="B116" s="44">
        <v>89</v>
      </c>
      <c r="C116" s="49">
        <v>2033</v>
      </c>
      <c r="D116" s="46">
        <v>0</v>
      </c>
      <c r="E116" s="47">
        <v>40.483097936796518</v>
      </c>
      <c r="F116" s="47">
        <v>148.33971873662318</v>
      </c>
      <c r="G116" s="48">
        <v>0</v>
      </c>
      <c r="H116" s="63">
        <f t="shared" si="4"/>
        <v>188.82281667341971</v>
      </c>
      <c r="I116" s="119"/>
    </row>
    <row r="117" spans="1:9">
      <c r="A117" s="44" t="s">
        <v>556</v>
      </c>
      <c r="B117" s="44">
        <v>89</v>
      </c>
      <c r="C117" s="49">
        <v>2034</v>
      </c>
      <c r="D117" s="46">
        <v>0</v>
      </c>
      <c r="E117" s="47">
        <v>41.292759895532448</v>
      </c>
      <c r="F117" s="47">
        <v>151.30651311135566</v>
      </c>
      <c r="G117" s="48">
        <v>0</v>
      </c>
      <c r="H117" s="63">
        <f t="shared" si="4"/>
        <v>192.5992730068881</v>
      </c>
      <c r="I117" s="119"/>
    </row>
    <row r="118" spans="1:9">
      <c r="A118" s="44" t="s">
        <v>556</v>
      </c>
      <c r="B118" s="44">
        <v>89</v>
      </c>
      <c r="C118" s="49">
        <v>2035</v>
      </c>
      <c r="D118" s="46">
        <v>0</v>
      </c>
      <c r="E118" s="47">
        <v>42.118615093443097</v>
      </c>
      <c r="F118" s="47">
        <v>154.33264337358278</v>
      </c>
      <c r="G118" s="48">
        <v>0</v>
      </c>
      <c r="H118" s="63">
        <f t="shared" si="4"/>
        <v>196.45125846702587</v>
      </c>
      <c r="I118" s="119">
        <f>NPV($I$19,H109:H118)/((1-(1+$I$19)^-10)/$I$19)</f>
        <v>131.02232411406402</v>
      </c>
    </row>
    <row r="119" spans="1:9">
      <c r="A119" s="44"/>
      <c r="B119" s="44" t="s">
        <v>401</v>
      </c>
      <c r="C119" s="49"/>
      <c r="D119" s="46"/>
      <c r="E119" s="47"/>
      <c r="F119" s="47"/>
      <c r="G119" s="48"/>
      <c r="H119" s="63">
        <f t="shared" si="4"/>
        <v>0</v>
      </c>
      <c r="I119" s="119"/>
    </row>
    <row r="120" spans="1:9">
      <c r="A120" s="44" t="s">
        <v>556</v>
      </c>
      <c r="B120" s="44">
        <v>255</v>
      </c>
      <c r="C120" s="49">
        <v>2026</v>
      </c>
      <c r="D120" s="46">
        <v>0</v>
      </c>
      <c r="E120" s="47">
        <v>0</v>
      </c>
      <c r="F120" s="47">
        <v>0</v>
      </c>
      <c r="G120" s="48">
        <v>0</v>
      </c>
      <c r="H120" s="63">
        <f t="shared" si="4"/>
        <v>0</v>
      </c>
      <c r="I120" s="119"/>
    </row>
    <row r="121" spans="1:9">
      <c r="A121" s="44" t="s">
        <v>556</v>
      </c>
      <c r="B121" s="44">
        <v>255</v>
      </c>
      <c r="C121" s="49">
        <v>2027</v>
      </c>
      <c r="D121" s="46">
        <v>0</v>
      </c>
      <c r="E121" s="47">
        <v>0</v>
      </c>
      <c r="F121" s="47">
        <v>0</v>
      </c>
      <c r="G121" s="48">
        <v>0</v>
      </c>
      <c r="H121" s="63">
        <f t="shared" si="4"/>
        <v>0</v>
      </c>
      <c r="I121" s="119"/>
    </row>
    <row r="122" spans="1:9">
      <c r="A122" s="44" t="s">
        <v>556</v>
      </c>
      <c r="B122" s="44">
        <v>255</v>
      </c>
      <c r="C122" s="49">
        <v>2028</v>
      </c>
      <c r="D122" s="46">
        <v>0</v>
      </c>
      <c r="E122" s="47">
        <v>0</v>
      </c>
      <c r="F122" s="47">
        <v>0</v>
      </c>
      <c r="G122" s="48">
        <v>0</v>
      </c>
      <c r="H122" s="63">
        <f t="shared" si="4"/>
        <v>0</v>
      </c>
      <c r="I122" s="119"/>
    </row>
    <row r="123" spans="1:9">
      <c r="A123" s="44" t="s">
        <v>556</v>
      </c>
      <c r="B123" s="44">
        <v>255</v>
      </c>
      <c r="C123" s="49">
        <v>2029</v>
      </c>
      <c r="D123" s="46">
        <v>0</v>
      </c>
      <c r="E123" s="47">
        <v>0</v>
      </c>
      <c r="F123" s="47">
        <v>0</v>
      </c>
      <c r="G123" s="48">
        <v>40.561332748508953</v>
      </c>
      <c r="H123" s="63">
        <f t="shared" si="4"/>
        <v>40.561332748508953</v>
      </c>
      <c r="I123" s="119"/>
    </row>
    <row r="124" spans="1:9">
      <c r="A124" s="44" t="s">
        <v>556</v>
      </c>
      <c r="B124" s="44">
        <v>255</v>
      </c>
      <c r="C124" s="49">
        <v>2030</v>
      </c>
      <c r="D124" s="46">
        <v>0</v>
      </c>
      <c r="E124" s="47">
        <v>0</v>
      </c>
      <c r="F124" s="47">
        <v>25.89081087294436</v>
      </c>
      <c r="G124" s="48">
        <v>44.600407329846021</v>
      </c>
      <c r="H124" s="63">
        <f t="shared" si="4"/>
        <v>70.491218202790378</v>
      </c>
      <c r="I124" s="119"/>
    </row>
    <row r="125" spans="1:9">
      <c r="A125" s="44" t="s">
        <v>556</v>
      </c>
      <c r="B125" s="44">
        <v>255</v>
      </c>
      <c r="C125" s="49">
        <v>2031</v>
      </c>
      <c r="D125" s="46">
        <v>0</v>
      </c>
      <c r="E125" s="47">
        <v>0</v>
      </c>
      <c r="F125" s="47">
        <v>52.688820855870318</v>
      </c>
      <c r="G125" s="48">
        <v>66.382914548293357</v>
      </c>
      <c r="H125" s="63">
        <f t="shared" si="4"/>
        <v>119.07173540416368</v>
      </c>
      <c r="I125" s="119"/>
    </row>
    <row r="126" spans="1:9">
      <c r="A126" s="44" t="s">
        <v>556</v>
      </c>
      <c r="B126" s="44">
        <v>255</v>
      </c>
      <c r="C126" s="49">
        <v>2032</v>
      </c>
      <c r="D126" s="46">
        <v>0</v>
      </c>
      <c r="E126" s="47">
        <v>0</v>
      </c>
      <c r="F126" s="47">
        <v>53.742597272987723</v>
      </c>
      <c r="G126" s="48">
        <v>81.943748431224037</v>
      </c>
      <c r="H126" s="63">
        <f t="shared" si="4"/>
        <v>135.68634570421176</v>
      </c>
      <c r="I126" s="119"/>
    </row>
    <row r="127" spans="1:9">
      <c r="A127" s="44" t="s">
        <v>556</v>
      </c>
      <c r="B127" s="44">
        <v>255</v>
      </c>
      <c r="C127" s="49">
        <v>2033</v>
      </c>
      <c r="D127" s="46">
        <v>0</v>
      </c>
      <c r="E127" s="47">
        <v>0</v>
      </c>
      <c r="F127" s="47">
        <v>54.817449218447479</v>
      </c>
      <c r="G127" s="48">
        <v>83.582623399848515</v>
      </c>
      <c r="H127" s="63">
        <f t="shared" si="4"/>
        <v>138.40007261829601</v>
      </c>
      <c r="I127" s="119"/>
    </row>
    <row r="128" spans="1:9">
      <c r="A128" s="44" t="s">
        <v>556</v>
      </c>
      <c r="B128" s="44">
        <v>255</v>
      </c>
      <c r="C128" s="49">
        <v>2034</v>
      </c>
      <c r="D128" s="46">
        <v>0</v>
      </c>
      <c r="E128" s="47">
        <v>0</v>
      </c>
      <c r="F128" s="47">
        <v>55.91379820281643</v>
      </c>
      <c r="G128" s="48">
        <v>85.254275867845493</v>
      </c>
      <c r="H128" s="63">
        <f t="shared" si="4"/>
        <v>141.16807407066193</v>
      </c>
      <c r="I128" s="119"/>
    </row>
    <row r="129" spans="1:9">
      <c r="A129" s="44" t="s">
        <v>556</v>
      </c>
      <c r="B129" s="44">
        <v>255</v>
      </c>
      <c r="C129" s="49">
        <v>2035</v>
      </c>
      <c r="D129" s="46">
        <v>0</v>
      </c>
      <c r="E129" s="47">
        <v>0</v>
      </c>
      <c r="F129" s="47">
        <v>57.032074166872761</v>
      </c>
      <c r="G129" s="48">
        <v>86.959361385202399</v>
      </c>
      <c r="H129" s="63">
        <f t="shared" si="4"/>
        <v>143.99143555207516</v>
      </c>
      <c r="I129" s="119">
        <f>NPV($I$19,H120:H129)/((1-(1+$I$19)^-10)/$I$19)</f>
        <v>67.750215705099507</v>
      </c>
    </row>
    <row r="130" spans="1:9">
      <c r="A130" s="44"/>
      <c r="B130" s="44" t="s">
        <v>401</v>
      </c>
      <c r="C130" s="49"/>
      <c r="D130" s="42"/>
      <c r="E130" s="19"/>
      <c r="F130" s="19"/>
      <c r="G130" s="43"/>
      <c r="H130" s="63">
        <f t="shared" si="4"/>
        <v>0</v>
      </c>
      <c r="I130" s="119"/>
    </row>
    <row r="131" spans="1:9">
      <c r="A131" s="44" t="s">
        <v>556</v>
      </c>
      <c r="B131" s="44">
        <v>124</v>
      </c>
      <c r="C131" s="49">
        <v>2026</v>
      </c>
      <c r="D131" s="46">
        <v>0</v>
      </c>
      <c r="E131" s="47">
        <v>0</v>
      </c>
      <c r="F131" s="47">
        <v>0</v>
      </c>
      <c r="G131" s="48">
        <v>0</v>
      </c>
      <c r="H131" s="63">
        <f t="shared" si="4"/>
        <v>0</v>
      </c>
      <c r="I131" s="119"/>
    </row>
    <row r="132" spans="1:9">
      <c r="A132" s="44" t="s">
        <v>556</v>
      </c>
      <c r="B132" s="44">
        <v>124</v>
      </c>
      <c r="C132" s="49">
        <v>2027</v>
      </c>
      <c r="D132" s="46">
        <v>0</v>
      </c>
      <c r="E132" s="47">
        <v>0</v>
      </c>
      <c r="F132" s="47">
        <v>0</v>
      </c>
      <c r="G132" s="48">
        <v>0</v>
      </c>
      <c r="H132" s="63">
        <f t="shared" si="4"/>
        <v>0</v>
      </c>
      <c r="I132" s="119"/>
    </row>
    <row r="133" spans="1:9">
      <c r="A133" s="44" t="s">
        <v>556</v>
      </c>
      <c r="B133" s="44">
        <v>124</v>
      </c>
      <c r="C133" s="49">
        <v>2028</v>
      </c>
      <c r="D133" s="46">
        <v>0</v>
      </c>
      <c r="E133" s="47">
        <v>0</v>
      </c>
      <c r="F133" s="47">
        <v>0</v>
      </c>
      <c r="G133" s="48">
        <v>0</v>
      </c>
      <c r="H133" s="63">
        <f t="shared" si="4"/>
        <v>0</v>
      </c>
      <c r="I133" s="119"/>
    </row>
    <row r="134" spans="1:9">
      <c r="A134" s="44" t="s">
        <v>556</v>
      </c>
      <c r="B134" s="44">
        <v>124</v>
      </c>
      <c r="C134" s="49">
        <v>2029</v>
      </c>
      <c r="D134" s="46">
        <v>0</v>
      </c>
      <c r="E134" s="47">
        <v>0</v>
      </c>
      <c r="F134" s="47">
        <v>0</v>
      </c>
      <c r="G134" s="48">
        <v>0</v>
      </c>
      <c r="H134" s="63">
        <f t="shared" si="4"/>
        <v>0</v>
      </c>
      <c r="I134" s="119"/>
    </row>
    <row r="135" spans="1:9">
      <c r="A135" s="44" t="s">
        <v>556</v>
      </c>
      <c r="B135" s="44">
        <v>124</v>
      </c>
      <c r="C135" s="49">
        <v>2030</v>
      </c>
      <c r="D135" s="46">
        <v>0</v>
      </c>
      <c r="E135" s="47">
        <v>0</v>
      </c>
      <c r="F135" s="47">
        <v>10.530946918628638</v>
      </c>
      <c r="G135" s="48">
        <v>0</v>
      </c>
      <c r="H135" s="63">
        <f t="shared" si="4"/>
        <v>10.530946918628638</v>
      </c>
      <c r="I135" s="119"/>
    </row>
    <row r="136" spans="1:9">
      <c r="A136" s="44" t="s">
        <v>556</v>
      </c>
      <c r="B136" s="44">
        <v>124</v>
      </c>
      <c r="C136" s="49">
        <v>2031</v>
      </c>
      <c r="D136" s="46">
        <v>0</v>
      </c>
      <c r="E136" s="47">
        <v>0</v>
      </c>
      <c r="F136" s="47">
        <v>51.140218059646749</v>
      </c>
      <c r="G136" s="48">
        <v>0</v>
      </c>
      <c r="H136" s="63">
        <f t="shared" si="4"/>
        <v>51.140218059646749</v>
      </c>
      <c r="I136" s="119"/>
    </row>
    <row r="137" spans="1:9">
      <c r="A137" s="44" t="s">
        <v>556</v>
      </c>
      <c r="B137" s="44">
        <v>124</v>
      </c>
      <c r="C137" s="49">
        <v>2032</v>
      </c>
      <c r="D137" s="46">
        <v>0</v>
      </c>
      <c r="E137" s="47">
        <v>0</v>
      </c>
      <c r="F137" s="47">
        <v>158.75868723786584</v>
      </c>
      <c r="G137" s="48">
        <v>0</v>
      </c>
      <c r="H137" s="63">
        <f t="shared" si="4"/>
        <v>158.75868723786584</v>
      </c>
      <c r="I137" s="119"/>
    </row>
    <row r="138" spans="1:9">
      <c r="A138" s="44" t="s">
        <v>556</v>
      </c>
      <c r="B138" s="44">
        <v>124</v>
      </c>
      <c r="C138" s="49">
        <v>2033</v>
      </c>
      <c r="D138" s="46">
        <v>0</v>
      </c>
      <c r="E138" s="47">
        <v>0</v>
      </c>
      <c r="F138" s="47">
        <v>184.23604406446216</v>
      </c>
      <c r="G138" s="48">
        <v>0</v>
      </c>
      <c r="H138" s="63">
        <f t="shared" si="4"/>
        <v>184.23604406446216</v>
      </c>
      <c r="I138" s="119"/>
    </row>
    <row r="139" spans="1:9">
      <c r="A139" s="44" t="s">
        <v>556</v>
      </c>
      <c r="B139" s="44">
        <v>124</v>
      </c>
      <c r="C139" s="49">
        <v>2034</v>
      </c>
      <c r="D139" s="46">
        <v>0</v>
      </c>
      <c r="E139" s="47">
        <v>0</v>
      </c>
      <c r="F139" s="47">
        <v>187.92076494575142</v>
      </c>
      <c r="G139" s="48">
        <v>0</v>
      </c>
      <c r="H139" s="63">
        <f t="shared" si="4"/>
        <v>187.92076494575142</v>
      </c>
      <c r="I139" s="119"/>
    </row>
    <row r="140" spans="1:9">
      <c r="A140" s="44" t="s">
        <v>556</v>
      </c>
      <c r="B140" s="44">
        <v>124</v>
      </c>
      <c r="C140" s="49">
        <v>2035</v>
      </c>
      <c r="D140" s="46">
        <v>0</v>
      </c>
      <c r="E140" s="47">
        <v>0</v>
      </c>
      <c r="F140" s="47">
        <v>191.67918024466644</v>
      </c>
      <c r="G140" s="48">
        <v>36.884583763799995</v>
      </c>
      <c r="H140" s="63">
        <f t="shared" si="4"/>
        <v>228.56376400846642</v>
      </c>
      <c r="I140" s="119">
        <f>NPV($I$19,H131:H140)/((1-(1+$I$19)^-10)/$I$19)</f>
        <v>66.412346527869559</v>
      </c>
    </row>
    <row r="141" spans="1:9">
      <c r="A141" s="44"/>
      <c r="B141" s="44" t="s">
        <v>401</v>
      </c>
      <c r="C141" s="49"/>
      <c r="D141" s="42"/>
      <c r="E141" s="19"/>
      <c r="F141" s="19"/>
      <c r="G141" s="43"/>
      <c r="H141" s="63">
        <f t="shared" si="4"/>
        <v>0</v>
      </c>
      <c r="I141" s="119"/>
    </row>
    <row r="142" spans="1:9">
      <c r="A142" s="44" t="s">
        <v>556</v>
      </c>
      <c r="B142" s="44">
        <v>19</v>
      </c>
      <c r="C142" s="49">
        <v>2026</v>
      </c>
      <c r="D142" s="46">
        <v>0</v>
      </c>
      <c r="E142" s="47">
        <v>0</v>
      </c>
      <c r="F142" s="47">
        <v>0</v>
      </c>
      <c r="G142" s="48">
        <v>0</v>
      </c>
      <c r="H142" s="63">
        <f t="shared" si="4"/>
        <v>0</v>
      </c>
      <c r="I142" s="119"/>
    </row>
    <row r="143" spans="1:9">
      <c r="A143" s="44" t="s">
        <v>556</v>
      </c>
      <c r="B143" s="44">
        <v>19</v>
      </c>
      <c r="C143" s="49">
        <v>2027</v>
      </c>
      <c r="D143" s="46">
        <v>0</v>
      </c>
      <c r="E143" s="47">
        <v>0</v>
      </c>
      <c r="F143" s="47">
        <v>0</v>
      </c>
      <c r="G143" s="48">
        <v>0</v>
      </c>
      <c r="H143" s="63">
        <f t="shared" si="4"/>
        <v>0</v>
      </c>
      <c r="I143" s="119"/>
    </row>
    <row r="144" spans="1:9">
      <c r="A144" s="44" t="s">
        <v>556</v>
      </c>
      <c r="B144" s="44">
        <v>19</v>
      </c>
      <c r="C144" s="49">
        <v>2028</v>
      </c>
      <c r="D144" s="46">
        <v>0</v>
      </c>
      <c r="E144" s="47">
        <v>0</v>
      </c>
      <c r="F144" s="47">
        <v>0</v>
      </c>
      <c r="G144" s="48">
        <v>0</v>
      </c>
      <c r="H144" s="63">
        <f t="shared" si="4"/>
        <v>0</v>
      </c>
      <c r="I144" s="119"/>
    </row>
    <row r="145" spans="1:9">
      <c r="A145" s="44" t="s">
        <v>556</v>
      </c>
      <c r="B145" s="44">
        <v>19</v>
      </c>
      <c r="C145" s="49">
        <v>2029</v>
      </c>
      <c r="D145" s="46">
        <v>0</v>
      </c>
      <c r="E145" s="47">
        <v>0</v>
      </c>
      <c r="F145" s="47">
        <v>0</v>
      </c>
      <c r="G145" s="48">
        <v>0</v>
      </c>
      <c r="H145" s="63">
        <f t="shared" si="4"/>
        <v>0</v>
      </c>
      <c r="I145" s="119"/>
    </row>
    <row r="146" spans="1:9">
      <c r="A146" s="44" t="s">
        <v>556</v>
      </c>
      <c r="B146" s="44">
        <v>19</v>
      </c>
      <c r="C146" s="49">
        <v>2030</v>
      </c>
      <c r="D146" s="46">
        <v>0</v>
      </c>
      <c r="E146" s="47">
        <v>47.542315937565263</v>
      </c>
      <c r="F146" s="47">
        <v>0</v>
      </c>
      <c r="G146" s="48">
        <v>0</v>
      </c>
      <c r="H146" s="63">
        <f t="shared" si="4"/>
        <v>47.542315937565263</v>
      </c>
      <c r="I146" s="119"/>
    </row>
    <row r="147" spans="1:9">
      <c r="A147" s="44" t="s">
        <v>556</v>
      </c>
      <c r="B147" s="44">
        <v>19</v>
      </c>
      <c r="C147" s="49">
        <v>2031</v>
      </c>
      <c r="D147" s="46">
        <v>0</v>
      </c>
      <c r="E147" s="47">
        <v>48.493162256316566</v>
      </c>
      <c r="F147" s="47">
        <v>0</v>
      </c>
      <c r="G147" s="48">
        <v>10.061709645507026</v>
      </c>
      <c r="H147" s="63">
        <f t="shared" si="4"/>
        <v>58.554871901823589</v>
      </c>
      <c r="I147" s="119"/>
    </row>
    <row r="148" spans="1:9">
      <c r="A148" s="44" t="s">
        <v>556</v>
      </c>
      <c r="B148" s="44">
        <v>19</v>
      </c>
      <c r="C148" s="49">
        <v>2032</v>
      </c>
      <c r="D148" s="46">
        <v>0</v>
      </c>
      <c r="E148" s="47">
        <v>49.4630255014429</v>
      </c>
      <c r="F148" s="47">
        <v>14.72108024640564</v>
      </c>
      <c r="G148" s="48">
        <v>53.673703270378013</v>
      </c>
      <c r="H148" s="63">
        <f t="shared" si="4"/>
        <v>117.85780901822655</v>
      </c>
      <c r="I148" s="119"/>
    </row>
    <row r="149" spans="1:9">
      <c r="A149" s="44" t="s">
        <v>556</v>
      </c>
      <c r="B149" s="44">
        <v>19</v>
      </c>
      <c r="C149" s="49">
        <v>2033</v>
      </c>
      <c r="D149" s="46">
        <v>0</v>
      </c>
      <c r="E149" s="47">
        <v>50.452286011471756</v>
      </c>
      <c r="F149" s="47">
        <v>83.821672668840847</v>
      </c>
      <c r="G149" s="48">
        <v>73.008305397839678</v>
      </c>
      <c r="H149" s="63">
        <f t="shared" si="4"/>
        <v>207.28226407815228</v>
      </c>
      <c r="I149" s="119"/>
    </row>
    <row r="150" spans="1:9">
      <c r="A150" s="44" t="s">
        <v>556</v>
      </c>
      <c r="B150" s="44">
        <v>19</v>
      </c>
      <c r="C150" s="49">
        <v>2034</v>
      </c>
      <c r="D150" s="46">
        <v>0</v>
      </c>
      <c r="E150" s="47">
        <v>51.461331731701193</v>
      </c>
      <c r="F150" s="47">
        <v>178.11870530633564</v>
      </c>
      <c r="G150" s="48">
        <v>74.468471505796472</v>
      </c>
      <c r="H150" s="63">
        <f t="shared" ref="H150:H213" si="5">SUM(D150:G150)</f>
        <v>304.04850854383329</v>
      </c>
      <c r="I150" s="119"/>
    </row>
    <row r="151" spans="1:9">
      <c r="A151" s="44" t="s">
        <v>556</v>
      </c>
      <c r="B151" s="44">
        <v>19</v>
      </c>
      <c r="C151" s="49">
        <v>2035</v>
      </c>
      <c r="D151" s="46">
        <v>0</v>
      </c>
      <c r="E151" s="47">
        <v>52.490558366335215</v>
      </c>
      <c r="F151" s="47">
        <v>230.74395036767015</v>
      </c>
      <c r="G151" s="48">
        <v>75.957840935912401</v>
      </c>
      <c r="H151" s="63">
        <f t="shared" si="5"/>
        <v>359.1923496699178</v>
      </c>
      <c r="I151" s="119">
        <f>NPV($I$19,H142:H151)/((1-(1+$I$19)^-10)/$I$19)</f>
        <v>87.623652109532884</v>
      </c>
    </row>
    <row r="152" spans="1:9">
      <c r="A152" s="44"/>
      <c r="B152" s="44" t="s">
        <v>401</v>
      </c>
      <c r="C152" s="49"/>
      <c r="D152" s="42"/>
      <c r="E152" s="19"/>
      <c r="F152" s="19"/>
      <c r="G152" s="43"/>
      <c r="H152" s="63">
        <f t="shared" si="5"/>
        <v>0</v>
      </c>
      <c r="I152" s="119"/>
    </row>
    <row r="153" spans="1:9">
      <c r="A153" s="44" t="s">
        <v>556</v>
      </c>
      <c r="B153" s="44">
        <v>29</v>
      </c>
      <c r="C153" s="49">
        <v>2026</v>
      </c>
      <c r="D153" s="46">
        <v>0</v>
      </c>
      <c r="E153" s="47">
        <v>0</v>
      </c>
      <c r="F153" s="47">
        <v>0</v>
      </c>
      <c r="G153" s="48">
        <v>0</v>
      </c>
      <c r="H153" s="63">
        <f t="shared" si="5"/>
        <v>0</v>
      </c>
      <c r="I153" s="119"/>
    </row>
    <row r="154" spans="1:9">
      <c r="A154" s="44" t="s">
        <v>556</v>
      </c>
      <c r="B154" s="44">
        <v>29</v>
      </c>
      <c r="C154" s="49">
        <v>2027</v>
      </c>
      <c r="D154" s="46">
        <v>0</v>
      </c>
      <c r="E154" s="47">
        <v>0</v>
      </c>
      <c r="F154" s="47">
        <v>0</v>
      </c>
      <c r="G154" s="48">
        <v>0</v>
      </c>
      <c r="H154" s="63">
        <f t="shared" si="5"/>
        <v>0</v>
      </c>
      <c r="I154" s="119"/>
    </row>
    <row r="155" spans="1:9">
      <c r="A155" s="44" t="s">
        <v>556</v>
      </c>
      <c r="B155" s="44">
        <v>29</v>
      </c>
      <c r="C155" s="49">
        <v>2028</v>
      </c>
      <c r="D155" s="46">
        <v>0</v>
      </c>
      <c r="E155" s="47">
        <v>0</v>
      </c>
      <c r="F155" s="47">
        <v>0</v>
      </c>
      <c r="G155" s="48">
        <v>0</v>
      </c>
      <c r="H155" s="63">
        <f t="shared" si="5"/>
        <v>0</v>
      </c>
      <c r="I155" s="119"/>
    </row>
    <row r="156" spans="1:9">
      <c r="A156" s="44" t="s">
        <v>556</v>
      </c>
      <c r="B156" s="44">
        <v>29</v>
      </c>
      <c r="C156" s="49">
        <v>2029</v>
      </c>
      <c r="D156" s="46">
        <v>0</v>
      </c>
      <c r="E156" s="47">
        <v>0</v>
      </c>
      <c r="F156" s="47">
        <v>0</v>
      </c>
      <c r="G156" s="48">
        <v>0</v>
      </c>
      <c r="H156" s="63">
        <f t="shared" si="5"/>
        <v>0</v>
      </c>
      <c r="I156" s="119"/>
    </row>
    <row r="157" spans="1:9">
      <c r="A157" s="44" t="s">
        <v>556</v>
      </c>
      <c r="B157" s="44">
        <v>29</v>
      </c>
      <c r="C157" s="49">
        <v>2030</v>
      </c>
      <c r="D157" s="46">
        <v>0</v>
      </c>
      <c r="E157" s="47">
        <v>0</v>
      </c>
      <c r="F157" s="47">
        <v>0</v>
      </c>
      <c r="G157" s="48">
        <v>0</v>
      </c>
      <c r="H157" s="63">
        <f t="shared" si="5"/>
        <v>0</v>
      </c>
      <c r="I157" s="119"/>
    </row>
    <row r="158" spans="1:9">
      <c r="A158" s="44" t="s">
        <v>556</v>
      </c>
      <c r="B158" s="44">
        <v>29</v>
      </c>
      <c r="C158" s="49">
        <v>2031</v>
      </c>
      <c r="D158" s="46">
        <v>0</v>
      </c>
      <c r="E158" s="47">
        <v>81.779952682819371</v>
      </c>
      <c r="F158" s="47">
        <v>0</v>
      </c>
      <c r="G158" s="48">
        <v>10.061709645507026</v>
      </c>
      <c r="H158" s="63">
        <f t="shared" si="5"/>
        <v>91.841662328326393</v>
      </c>
      <c r="I158" s="119"/>
    </row>
    <row r="159" spans="1:9">
      <c r="A159" s="44" t="s">
        <v>556</v>
      </c>
      <c r="B159" s="44">
        <v>29</v>
      </c>
      <c r="C159" s="49">
        <v>2032</v>
      </c>
      <c r="D159" s="46">
        <v>0</v>
      </c>
      <c r="E159" s="47">
        <v>83.415551736475763</v>
      </c>
      <c r="F159" s="47">
        <v>13.802570238494152</v>
      </c>
      <c r="G159" s="48">
        <v>53.673703270378013</v>
      </c>
      <c r="H159" s="63">
        <f t="shared" si="5"/>
        <v>150.89182524534795</v>
      </c>
      <c r="I159" s="119"/>
    </row>
    <row r="160" spans="1:9">
      <c r="A160" s="44" t="s">
        <v>556</v>
      </c>
      <c r="B160" s="44">
        <v>29</v>
      </c>
      <c r="C160" s="49">
        <v>2033</v>
      </c>
      <c r="D160" s="46">
        <v>0</v>
      </c>
      <c r="E160" s="47">
        <v>85.083862771205276</v>
      </c>
      <c r="F160" s="47">
        <v>78.591686557936413</v>
      </c>
      <c r="G160" s="48">
        <v>73.008305397839678</v>
      </c>
      <c r="H160" s="63">
        <f t="shared" si="5"/>
        <v>236.68385472698137</v>
      </c>
      <c r="I160" s="119"/>
    </row>
    <row r="161" spans="1:9">
      <c r="A161" s="44" t="s">
        <v>556</v>
      </c>
      <c r="B161" s="44">
        <v>29</v>
      </c>
      <c r="C161" s="49">
        <v>2034</v>
      </c>
      <c r="D161" s="46">
        <v>0</v>
      </c>
      <c r="E161" s="47">
        <v>86.785540026629377</v>
      </c>
      <c r="F161" s="47">
        <v>167.00513139180907</v>
      </c>
      <c r="G161" s="48">
        <v>74.468471505796472</v>
      </c>
      <c r="H161" s="63">
        <f t="shared" si="5"/>
        <v>328.25914292423494</v>
      </c>
      <c r="I161" s="119"/>
    </row>
    <row r="162" spans="1:9">
      <c r="A162" s="44" t="s">
        <v>556</v>
      </c>
      <c r="B162" s="44">
        <v>29</v>
      </c>
      <c r="C162" s="49">
        <v>2035</v>
      </c>
      <c r="D162" s="46">
        <v>0</v>
      </c>
      <c r="E162" s="47">
        <v>88.521250827161964</v>
      </c>
      <c r="F162" s="47">
        <v>216.34686644922027</v>
      </c>
      <c r="G162" s="48">
        <v>75.957840935912401</v>
      </c>
      <c r="H162" s="63">
        <f t="shared" si="5"/>
        <v>380.82595821229461</v>
      </c>
      <c r="I162" s="119">
        <f>NPV($I$19,H153:H162)/((1-(1+$I$19)^-10)/$I$19)</f>
        <v>94.769052360082711</v>
      </c>
    </row>
    <row r="163" spans="1:9">
      <c r="A163" s="44"/>
      <c r="B163" s="44" t="s">
        <v>401</v>
      </c>
      <c r="C163" s="49"/>
      <c r="D163" s="42"/>
      <c r="E163" s="19"/>
      <c r="F163" s="19"/>
      <c r="G163" s="43"/>
      <c r="H163" s="63">
        <f t="shared" si="5"/>
        <v>0</v>
      </c>
      <c r="I163" s="119"/>
    </row>
    <row r="164" spans="1:9">
      <c r="A164" s="44" t="s">
        <v>556</v>
      </c>
      <c r="B164" s="44">
        <v>49</v>
      </c>
      <c r="C164" s="49">
        <v>2026</v>
      </c>
      <c r="D164" s="46">
        <v>0</v>
      </c>
      <c r="E164" s="47">
        <v>0</v>
      </c>
      <c r="F164" s="47">
        <v>0</v>
      </c>
      <c r="G164" s="48">
        <v>0</v>
      </c>
      <c r="H164" s="63">
        <f t="shared" si="5"/>
        <v>0</v>
      </c>
      <c r="I164" s="119"/>
    </row>
    <row r="165" spans="1:9">
      <c r="A165" s="44" t="s">
        <v>556</v>
      </c>
      <c r="B165" s="44">
        <v>49</v>
      </c>
      <c r="C165" s="49">
        <v>2027</v>
      </c>
      <c r="D165" s="46">
        <v>0</v>
      </c>
      <c r="E165" s="47">
        <v>0</v>
      </c>
      <c r="F165" s="47">
        <v>0</v>
      </c>
      <c r="G165" s="48">
        <v>0</v>
      </c>
      <c r="H165" s="63">
        <f t="shared" si="5"/>
        <v>0</v>
      </c>
      <c r="I165" s="119"/>
    </row>
    <row r="166" spans="1:9">
      <c r="A166" s="44" t="s">
        <v>556</v>
      </c>
      <c r="B166" s="44">
        <v>49</v>
      </c>
      <c r="C166" s="49">
        <v>2028</v>
      </c>
      <c r="D166" s="46">
        <v>0</v>
      </c>
      <c r="E166" s="47">
        <v>0</v>
      </c>
      <c r="F166" s="47">
        <v>0</v>
      </c>
      <c r="G166" s="48">
        <v>0</v>
      </c>
      <c r="H166" s="63">
        <f t="shared" si="5"/>
        <v>0</v>
      </c>
      <c r="I166" s="119"/>
    </row>
    <row r="167" spans="1:9">
      <c r="A167" s="44" t="s">
        <v>556</v>
      </c>
      <c r="B167" s="44">
        <v>49</v>
      </c>
      <c r="C167" s="49">
        <v>2029</v>
      </c>
      <c r="D167" s="46">
        <v>0</v>
      </c>
      <c r="E167" s="47">
        <v>0</v>
      </c>
      <c r="F167" s="47">
        <v>0</v>
      </c>
      <c r="G167" s="48">
        <v>0</v>
      </c>
      <c r="H167" s="63">
        <f t="shared" si="5"/>
        <v>0</v>
      </c>
      <c r="I167" s="119"/>
    </row>
    <row r="168" spans="1:9">
      <c r="A168" s="44" t="s">
        <v>556</v>
      </c>
      <c r="B168" s="44">
        <v>49</v>
      </c>
      <c r="C168" s="49">
        <v>2030</v>
      </c>
      <c r="D168" s="46">
        <v>0</v>
      </c>
      <c r="E168" s="47">
        <v>0</v>
      </c>
      <c r="F168" s="47">
        <v>0</v>
      </c>
      <c r="G168" s="48">
        <v>0</v>
      </c>
      <c r="H168" s="63">
        <f t="shared" si="5"/>
        <v>0</v>
      </c>
      <c r="I168" s="119"/>
    </row>
    <row r="169" spans="1:9">
      <c r="A169" s="44" t="s">
        <v>556</v>
      </c>
      <c r="B169" s="44">
        <v>49</v>
      </c>
      <c r="C169" s="49">
        <v>2031</v>
      </c>
      <c r="D169" s="46">
        <v>0</v>
      </c>
      <c r="E169" s="47">
        <v>0</v>
      </c>
      <c r="F169" s="47">
        <v>0</v>
      </c>
      <c r="G169" s="48">
        <v>10.061709645507026</v>
      </c>
      <c r="H169" s="63">
        <f t="shared" si="5"/>
        <v>10.061709645507026</v>
      </c>
      <c r="I169" s="119"/>
    </row>
    <row r="170" spans="1:9">
      <c r="A170" s="44" t="s">
        <v>556</v>
      </c>
      <c r="B170" s="44">
        <v>49</v>
      </c>
      <c r="C170" s="49">
        <v>2032</v>
      </c>
      <c r="D170" s="46">
        <v>0</v>
      </c>
      <c r="E170" s="47">
        <v>86.153644659789094</v>
      </c>
      <c r="F170" s="47">
        <v>13.863900783357234</v>
      </c>
      <c r="G170" s="48">
        <v>53.673703270378013</v>
      </c>
      <c r="H170" s="63">
        <f t="shared" si="5"/>
        <v>153.69124871352435</v>
      </c>
      <c r="I170" s="119"/>
    </row>
    <row r="171" spans="1:9">
      <c r="A171" s="44" t="s">
        <v>556</v>
      </c>
      <c r="B171" s="44">
        <v>49</v>
      </c>
      <c r="C171" s="49">
        <v>2033</v>
      </c>
      <c r="D171" s="46">
        <v>0</v>
      </c>
      <c r="E171" s="47">
        <v>87.876717552984871</v>
      </c>
      <c r="F171" s="47">
        <v>78.940902021072674</v>
      </c>
      <c r="G171" s="48">
        <v>73.008305397839678</v>
      </c>
      <c r="H171" s="63">
        <f t="shared" si="5"/>
        <v>239.82592497189722</v>
      </c>
      <c r="I171" s="119"/>
    </row>
    <row r="172" spans="1:9">
      <c r="A172" s="44" t="s">
        <v>556</v>
      </c>
      <c r="B172" s="44">
        <v>49</v>
      </c>
      <c r="C172" s="49">
        <v>2034</v>
      </c>
      <c r="D172" s="46">
        <v>0</v>
      </c>
      <c r="E172" s="47">
        <v>89.634251904044575</v>
      </c>
      <c r="F172" s="47">
        <v>167.7472044641579</v>
      </c>
      <c r="G172" s="48">
        <v>74.468471505796472</v>
      </c>
      <c r="H172" s="63">
        <f t="shared" si="5"/>
        <v>331.84992787399892</v>
      </c>
      <c r="I172" s="119"/>
    </row>
    <row r="173" spans="1:9">
      <c r="A173" s="44" t="s">
        <v>556</v>
      </c>
      <c r="B173" s="44">
        <v>49</v>
      </c>
      <c r="C173" s="49">
        <v>2035</v>
      </c>
      <c r="D173" s="46">
        <v>0</v>
      </c>
      <c r="E173" s="47">
        <v>91.426936942125465</v>
      </c>
      <c r="F173" s="47">
        <v>217.30818531733556</v>
      </c>
      <c r="G173" s="48">
        <v>75.957840935912401</v>
      </c>
      <c r="H173" s="63">
        <f t="shared" si="5"/>
        <v>384.69296319537341</v>
      </c>
      <c r="I173" s="119">
        <f>NPV($I$19,H164:H173)/((1-(1+$I$19)^-10)/$I$19)</f>
        <v>88.075951632312112</v>
      </c>
    </row>
    <row r="174" spans="1:9">
      <c r="A174" s="44"/>
      <c r="B174" s="44" t="s">
        <v>401</v>
      </c>
      <c r="C174" s="19"/>
      <c r="D174" s="46"/>
      <c r="E174" s="47"/>
      <c r="F174" s="47"/>
      <c r="G174" s="48"/>
      <c r="H174" s="63">
        <f t="shared" si="5"/>
        <v>0</v>
      </c>
      <c r="I174" s="119"/>
    </row>
    <row r="175" spans="1:9">
      <c r="A175" s="44" t="s">
        <v>556</v>
      </c>
      <c r="B175" s="44">
        <v>81</v>
      </c>
      <c r="C175" s="45">
        <v>2026</v>
      </c>
      <c r="D175" s="46">
        <v>0</v>
      </c>
      <c r="E175" s="47">
        <v>0</v>
      </c>
      <c r="F175" s="47">
        <v>0</v>
      </c>
      <c r="G175" s="48">
        <v>0</v>
      </c>
      <c r="H175" s="63">
        <f t="shared" si="5"/>
        <v>0</v>
      </c>
      <c r="I175" s="119"/>
    </row>
    <row r="176" spans="1:9">
      <c r="A176" s="44" t="s">
        <v>556</v>
      </c>
      <c r="B176" s="44">
        <v>81</v>
      </c>
      <c r="C176" s="45">
        <v>2027</v>
      </c>
      <c r="D176" s="46">
        <v>0</v>
      </c>
      <c r="E176" s="47">
        <v>0</v>
      </c>
      <c r="F176" s="47">
        <v>0</v>
      </c>
      <c r="G176" s="48">
        <v>0</v>
      </c>
      <c r="H176" s="63">
        <f t="shared" si="5"/>
        <v>0</v>
      </c>
      <c r="I176" s="119"/>
    </row>
    <row r="177" spans="1:9">
      <c r="A177" s="44" t="s">
        <v>556</v>
      </c>
      <c r="B177" s="44">
        <v>81</v>
      </c>
      <c r="C177" s="49">
        <v>2028</v>
      </c>
      <c r="D177" s="46">
        <v>0</v>
      </c>
      <c r="E177" s="47">
        <v>0</v>
      </c>
      <c r="F177" s="47">
        <v>0</v>
      </c>
      <c r="G177" s="48">
        <v>0</v>
      </c>
      <c r="H177" s="63">
        <f t="shared" si="5"/>
        <v>0</v>
      </c>
      <c r="I177" s="119"/>
    </row>
    <row r="178" spans="1:9">
      <c r="A178" s="44" t="s">
        <v>556</v>
      </c>
      <c r="B178" s="44">
        <v>81</v>
      </c>
      <c r="C178" s="49">
        <v>2029</v>
      </c>
      <c r="D178" s="46">
        <v>0</v>
      </c>
      <c r="E178" s="47">
        <v>0</v>
      </c>
      <c r="F178" s="47">
        <v>0</v>
      </c>
      <c r="G178" s="48">
        <v>0</v>
      </c>
      <c r="H178" s="63">
        <f t="shared" si="5"/>
        <v>0</v>
      </c>
      <c r="I178" s="119"/>
    </row>
    <row r="179" spans="1:9">
      <c r="A179" s="44" t="s">
        <v>556</v>
      </c>
      <c r="B179" s="44">
        <v>81</v>
      </c>
      <c r="C179" s="49">
        <v>2030</v>
      </c>
      <c r="D179" s="46">
        <v>0</v>
      </c>
      <c r="E179" s="47">
        <v>0</v>
      </c>
      <c r="F179" s="47">
        <v>0</v>
      </c>
      <c r="G179" s="48">
        <v>0</v>
      </c>
      <c r="H179" s="63">
        <f t="shared" si="5"/>
        <v>0</v>
      </c>
      <c r="I179" s="119"/>
    </row>
    <row r="180" spans="1:9">
      <c r="A180" s="44" t="s">
        <v>556</v>
      </c>
      <c r="B180" s="44">
        <v>81</v>
      </c>
      <c r="C180" s="49">
        <v>2031</v>
      </c>
      <c r="D180" s="46">
        <v>0</v>
      </c>
      <c r="E180" s="47">
        <v>0</v>
      </c>
      <c r="F180" s="47">
        <v>0</v>
      </c>
      <c r="G180" s="48">
        <v>10.061709645507026</v>
      </c>
      <c r="H180" s="63">
        <f t="shared" si="5"/>
        <v>10.061709645507026</v>
      </c>
      <c r="I180" s="119"/>
    </row>
    <row r="181" spans="1:9">
      <c r="A181" s="44" t="s">
        <v>556</v>
      </c>
      <c r="B181" s="44">
        <v>81</v>
      </c>
      <c r="C181" s="49">
        <v>2032</v>
      </c>
      <c r="D181" s="46">
        <v>0</v>
      </c>
      <c r="E181" s="47">
        <v>0</v>
      </c>
      <c r="F181" s="47">
        <v>14.672628329053074</v>
      </c>
      <c r="G181" s="48">
        <v>53.673703270378013</v>
      </c>
      <c r="H181" s="63">
        <f t="shared" si="5"/>
        <v>68.346331599431082</v>
      </c>
      <c r="I181" s="119"/>
    </row>
    <row r="182" spans="1:9">
      <c r="A182" s="44" t="s">
        <v>556</v>
      </c>
      <c r="B182" s="44">
        <v>81</v>
      </c>
      <c r="C182" s="49">
        <v>2033</v>
      </c>
      <c r="D182" s="46">
        <v>0</v>
      </c>
      <c r="E182" s="47">
        <v>96.004833935252591</v>
      </c>
      <c r="F182" s="47">
        <v>83.545787972301937</v>
      </c>
      <c r="G182" s="48">
        <v>73.008305397839678</v>
      </c>
      <c r="H182" s="63">
        <f t="shared" si="5"/>
        <v>252.55892730539421</v>
      </c>
      <c r="I182" s="119"/>
    </row>
    <row r="183" spans="1:9">
      <c r="A183" s="44" t="s">
        <v>556</v>
      </c>
      <c r="B183" s="44">
        <v>81</v>
      </c>
      <c r="C183" s="49">
        <v>2034</v>
      </c>
      <c r="D183" s="46">
        <v>0</v>
      </c>
      <c r="E183" s="47">
        <v>97.924930613957642</v>
      </c>
      <c r="F183" s="47">
        <v>165.31120182274859</v>
      </c>
      <c r="G183" s="48">
        <v>74.468471505796472</v>
      </c>
      <c r="H183" s="63">
        <f t="shared" si="5"/>
        <v>337.70460394250267</v>
      </c>
      <c r="I183" s="119"/>
    </row>
    <row r="184" spans="1:9">
      <c r="A184" s="44" t="s">
        <v>556</v>
      </c>
      <c r="B184" s="44">
        <v>81</v>
      </c>
      <c r="C184" s="49">
        <v>2035</v>
      </c>
      <c r="D184" s="46">
        <v>0</v>
      </c>
      <c r="E184" s="47">
        <v>99.8834292262368</v>
      </c>
      <c r="F184" s="47">
        <v>217.51881476765857</v>
      </c>
      <c r="G184" s="48">
        <v>75.957840935912401</v>
      </c>
      <c r="H184" s="63">
        <f t="shared" si="5"/>
        <v>393.36008492980773</v>
      </c>
      <c r="I184" s="119">
        <f>NPV($I$19,H175:H184)/((1-(1+$I$19)^-10)/$I$19)</f>
        <v>82.642924062635629</v>
      </c>
    </row>
    <row r="185" spans="1:9">
      <c r="A185" s="44">
        <v>0</v>
      </c>
      <c r="B185" s="44" t="s">
        <v>401</v>
      </c>
      <c r="C185" s="49"/>
      <c r="D185" s="42"/>
      <c r="E185" s="19"/>
      <c r="F185" s="19"/>
      <c r="G185" s="43"/>
      <c r="H185" s="63">
        <f t="shared" si="5"/>
        <v>0</v>
      </c>
      <c r="I185" s="119"/>
    </row>
    <row r="186" spans="1:9">
      <c r="A186" s="44" t="s">
        <v>556</v>
      </c>
      <c r="B186" s="44">
        <v>103</v>
      </c>
      <c r="C186" s="49">
        <v>2026</v>
      </c>
      <c r="D186" s="46">
        <v>0</v>
      </c>
      <c r="E186" s="47">
        <v>0</v>
      </c>
      <c r="F186" s="47">
        <v>0</v>
      </c>
      <c r="G186" s="48">
        <v>0</v>
      </c>
      <c r="H186" s="63">
        <f t="shared" si="5"/>
        <v>0</v>
      </c>
      <c r="I186" s="119"/>
    </row>
    <row r="187" spans="1:9">
      <c r="A187" s="44" t="s">
        <v>556</v>
      </c>
      <c r="B187" s="44">
        <v>103</v>
      </c>
      <c r="C187" s="49">
        <v>2027</v>
      </c>
      <c r="D187" s="46">
        <v>0</v>
      </c>
      <c r="E187" s="47">
        <v>0</v>
      </c>
      <c r="F187" s="47">
        <v>0</v>
      </c>
      <c r="G187" s="48">
        <v>0</v>
      </c>
      <c r="H187" s="63">
        <f t="shared" si="5"/>
        <v>0</v>
      </c>
      <c r="I187" s="119"/>
    </row>
    <row r="188" spans="1:9">
      <c r="A188" s="44" t="s">
        <v>556</v>
      </c>
      <c r="B188" s="44">
        <v>103</v>
      </c>
      <c r="C188" s="49">
        <v>2028</v>
      </c>
      <c r="D188" s="46">
        <v>0</v>
      </c>
      <c r="E188" s="47">
        <v>0</v>
      </c>
      <c r="F188" s="47">
        <v>0</v>
      </c>
      <c r="G188" s="48">
        <v>0</v>
      </c>
      <c r="H188" s="63">
        <f t="shared" si="5"/>
        <v>0</v>
      </c>
      <c r="I188" s="119"/>
    </row>
    <row r="189" spans="1:9">
      <c r="A189" s="44" t="s">
        <v>556</v>
      </c>
      <c r="B189" s="44">
        <v>103</v>
      </c>
      <c r="C189" s="49">
        <v>2029</v>
      </c>
      <c r="D189" s="46">
        <v>0</v>
      </c>
      <c r="E189" s="47">
        <v>0</v>
      </c>
      <c r="F189" s="47">
        <v>0</v>
      </c>
      <c r="G189" s="48">
        <v>0</v>
      </c>
      <c r="H189" s="63">
        <f t="shared" si="5"/>
        <v>0</v>
      </c>
      <c r="I189" s="119"/>
    </row>
    <row r="190" spans="1:9">
      <c r="A190" s="44" t="s">
        <v>556</v>
      </c>
      <c r="B190" s="44">
        <v>103</v>
      </c>
      <c r="C190" s="49">
        <v>2030</v>
      </c>
      <c r="D190" s="46">
        <v>0</v>
      </c>
      <c r="E190" s="47">
        <v>0</v>
      </c>
      <c r="F190" s="47">
        <v>0</v>
      </c>
      <c r="G190" s="48">
        <v>0</v>
      </c>
      <c r="H190" s="63">
        <f t="shared" si="5"/>
        <v>0</v>
      </c>
      <c r="I190" s="119"/>
    </row>
    <row r="191" spans="1:9">
      <c r="A191" s="44" t="s">
        <v>556</v>
      </c>
      <c r="B191" s="44">
        <v>103</v>
      </c>
      <c r="C191" s="49">
        <v>2031</v>
      </c>
      <c r="D191" s="46">
        <v>0</v>
      </c>
      <c r="E191" s="47">
        <v>0</v>
      </c>
      <c r="F191" s="47">
        <v>0</v>
      </c>
      <c r="G191" s="48">
        <v>10.061709645507026</v>
      </c>
      <c r="H191" s="63">
        <f t="shared" si="5"/>
        <v>10.061709645507026</v>
      </c>
      <c r="I191" s="119"/>
    </row>
    <row r="192" spans="1:9">
      <c r="A192" s="44" t="s">
        <v>556</v>
      </c>
      <c r="B192" s="44">
        <v>103</v>
      </c>
      <c r="C192" s="49">
        <v>2032</v>
      </c>
      <c r="D192" s="46">
        <v>0</v>
      </c>
      <c r="E192" s="47">
        <v>0</v>
      </c>
      <c r="F192" s="47">
        <v>14.672628329053074</v>
      </c>
      <c r="G192" s="48">
        <v>53.673703270378013</v>
      </c>
      <c r="H192" s="63">
        <f t="shared" si="5"/>
        <v>68.346331599431082</v>
      </c>
      <c r="I192" s="119"/>
    </row>
    <row r="193" spans="1:9">
      <c r="A193" s="44" t="s">
        <v>556</v>
      </c>
      <c r="B193" s="44">
        <v>103</v>
      </c>
      <c r="C193" s="49">
        <v>2033</v>
      </c>
      <c r="D193" s="46">
        <v>0</v>
      </c>
      <c r="E193" s="47">
        <v>0</v>
      </c>
      <c r="F193" s="47">
        <v>83.545787972301937</v>
      </c>
      <c r="G193" s="48">
        <v>73.008305397839678</v>
      </c>
      <c r="H193" s="63">
        <f t="shared" si="5"/>
        <v>156.55409337014163</v>
      </c>
      <c r="I193" s="119"/>
    </row>
    <row r="194" spans="1:9">
      <c r="A194" s="44" t="s">
        <v>556</v>
      </c>
      <c r="B194" s="44">
        <v>103</v>
      </c>
      <c r="C194" s="49">
        <v>2034</v>
      </c>
      <c r="D194" s="46">
        <v>0</v>
      </c>
      <c r="E194" s="47">
        <v>96.004833935252591</v>
      </c>
      <c r="F194" s="47">
        <v>165.31120182274859</v>
      </c>
      <c r="G194" s="48">
        <v>74.468471505796472</v>
      </c>
      <c r="H194" s="63">
        <f t="shared" si="5"/>
        <v>335.78450726379765</v>
      </c>
      <c r="I194" s="119"/>
    </row>
    <row r="195" spans="1:9">
      <c r="A195" s="44" t="s">
        <v>556</v>
      </c>
      <c r="B195" s="44">
        <v>103</v>
      </c>
      <c r="C195" s="49">
        <v>2035</v>
      </c>
      <c r="D195" s="46">
        <v>0</v>
      </c>
      <c r="E195" s="47">
        <v>97.924930613957642</v>
      </c>
      <c r="F195" s="47">
        <v>217.51881476765857</v>
      </c>
      <c r="G195" s="48">
        <v>75.957840935912401</v>
      </c>
      <c r="H195" s="63">
        <f t="shared" si="5"/>
        <v>391.40158631752865</v>
      </c>
      <c r="I195" s="119">
        <f>NPV($I$19,H186:H195)/((1-(1+$I$19)^-10)/$I$19)</f>
        <v>74.391046368158484</v>
      </c>
    </row>
    <row r="196" spans="1:9">
      <c r="A196" s="44">
        <v>0</v>
      </c>
      <c r="B196" s="44" t="s">
        <v>401</v>
      </c>
      <c r="C196" s="49"/>
      <c r="D196" s="46"/>
      <c r="E196" s="47"/>
      <c r="F196" s="47"/>
      <c r="G196" s="48"/>
      <c r="H196" s="63">
        <f t="shared" si="5"/>
        <v>0</v>
      </c>
      <c r="I196" s="119"/>
    </row>
    <row r="197" spans="1:9">
      <c r="A197" s="44" t="s">
        <v>556</v>
      </c>
      <c r="B197" s="44">
        <v>23</v>
      </c>
      <c r="C197" s="49">
        <v>2026</v>
      </c>
      <c r="D197" s="46">
        <v>0</v>
      </c>
      <c r="E197" s="47">
        <v>0</v>
      </c>
      <c r="F197" s="47">
        <v>0</v>
      </c>
      <c r="G197" s="48">
        <v>0</v>
      </c>
      <c r="H197" s="63">
        <f t="shared" si="5"/>
        <v>0</v>
      </c>
      <c r="I197" s="119"/>
    </row>
    <row r="198" spans="1:9">
      <c r="A198" s="44" t="s">
        <v>556</v>
      </c>
      <c r="B198" s="44">
        <v>23</v>
      </c>
      <c r="C198" s="49">
        <v>2027</v>
      </c>
      <c r="D198" s="46">
        <v>0</v>
      </c>
      <c r="E198" s="47">
        <v>0</v>
      </c>
      <c r="F198" s="47">
        <v>0</v>
      </c>
      <c r="G198" s="48">
        <v>0</v>
      </c>
      <c r="H198" s="63">
        <f t="shared" si="5"/>
        <v>0</v>
      </c>
      <c r="I198" s="119"/>
    </row>
    <row r="199" spans="1:9">
      <c r="A199" s="44" t="s">
        <v>556</v>
      </c>
      <c r="B199" s="44">
        <v>23</v>
      </c>
      <c r="C199" s="49">
        <v>2028</v>
      </c>
      <c r="D199" s="46">
        <v>0</v>
      </c>
      <c r="E199" s="47">
        <v>0</v>
      </c>
      <c r="F199" s="47">
        <v>0</v>
      </c>
      <c r="G199" s="48">
        <v>0</v>
      </c>
      <c r="H199" s="63">
        <f t="shared" si="5"/>
        <v>0</v>
      </c>
      <c r="I199" s="119"/>
    </row>
    <row r="200" spans="1:9">
      <c r="A200" s="44" t="s">
        <v>556</v>
      </c>
      <c r="B200" s="44">
        <v>23</v>
      </c>
      <c r="C200" s="49">
        <v>2029</v>
      </c>
      <c r="D200" s="46">
        <v>0</v>
      </c>
      <c r="E200" s="47">
        <v>0</v>
      </c>
      <c r="F200" s="47">
        <v>0</v>
      </c>
      <c r="G200" s="48">
        <v>0</v>
      </c>
      <c r="H200" s="63">
        <f t="shared" si="5"/>
        <v>0</v>
      </c>
      <c r="I200" s="119"/>
    </row>
    <row r="201" spans="1:9">
      <c r="A201" s="44" t="s">
        <v>556</v>
      </c>
      <c r="B201" s="44">
        <v>23</v>
      </c>
      <c r="C201" s="49">
        <v>2030</v>
      </c>
      <c r="D201" s="46">
        <v>0</v>
      </c>
      <c r="E201" s="47">
        <v>0</v>
      </c>
      <c r="F201" s="47">
        <v>0</v>
      </c>
      <c r="G201" s="48">
        <v>0</v>
      </c>
      <c r="H201" s="63">
        <f t="shared" si="5"/>
        <v>0</v>
      </c>
      <c r="I201" s="119"/>
    </row>
    <row r="202" spans="1:9">
      <c r="A202" s="44" t="s">
        <v>556</v>
      </c>
      <c r="B202" s="44">
        <v>23</v>
      </c>
      <c r="C202" s="49">
        <v>2031</v>
      </c>
      <c r="D202" s="46">
        <v>0</v>
      </c>
      <c r="E202" s="47">
        <v>0</v>
      </c>
      <c r="F202" s="47">
        <v>0</v>
      </c>
      <c r="G202" s="48">
        <v>5.3247413260258831</v>
      </c>
      <c r="H202" s="63">
        <f t="shared" si="5"/>
        <v>5.3247413260258831</v>
      </c>
      <c r="I202" s="119"/>
    </row>
    <row r="203" spans="1:9">
      <c r="A203" s="44" t="s">
        <v>556</v>
      </c>
      <c r="B203" s="44">
        <v>23</v>
      </c>
      <c r="C203" s="49">
        <v>2032</v>
      </c>
      <c r="D203" s="46">
        <v>0</v>
      </c>
      <c r="E203" s="47">
        <v>0</v>
      </c>
      <c r="F203" s="47">
        <v>0</v>
      </c>
      <c r="G203" s="48">
        <v>28.404574967262487</v>
      </c>
      <c r="H203" s="63">
        <f t="shared" si="5"/>
        <v>28.404574967262487</v>
      </c>
      <c r="I203" s="119"/>
    </row>
    <row r="204" spans="1:9">
      <c r="A204" s="44" t="s">
        <v>556</v>
      </c>
      <c r="B204" s="44">
        <v>23</v>
      </c>
      <c r="C204" s="49">
        <v>2033</v>
      </c>
      <c r="D204" s="46">
        <v>0</v>
      </c>
      <c r="E204" s="47">
        <v>0</v>
      </c>
      <c r="F204" s="47">
        <v>0</v>
      </c>
      <c r="G204" s="48">
        <v>38.636608945338509</v>
      </c>
      <c r="H204" s="63">
        <f t="shared" si="5"/>
        <v>38.636608945338509</v>
      </c>
      <c r="I204" s="119"/>
    </row>
    <row r="205" spans="1:9">
      <c r="A205" s="44" t="s">
        <v>556</v>
      </c>
      <c r="B205" s="44">
        <v>23</v>
      </c>
      <c r="C205" s="49">
        <v>2034</v>
      </c>
      <c r="D205" s="46">
        <v>0</v>
      </c>
      <c r="E205" s="47">
        <v>0</v>
      </c>
      <c r="F205" s="47">
        <v>0</v>
      </c>
      <c r="G205" s="48">
        <v>39.40934112424528</v>
      </c>
      <c r="H205" s="63">
        <f t="shared" si="5"/>
        <v>39.40934112424528</v>
      </c>
      <c r="I205" s="119"/>
    </row>
    <row r="206" spans="1:9">
      <c r="A206" s="44" t="s">
        <v>556</v>
      </c>
      <c r="B206" s="44">
        <v>23</v>
      </c>
      <c r="C206" s="49">
        <v>2035</v>
      </c>
      <c r="D206" s="46">
        <v>0</v>
      </c>
      <c r="E206" s="47">
        <v>76.453272349048675</v>
      </c>
      <c r="F206" s="47">
        <v>0</v>
      </c>
      <c r="G206" s="48">
        <v>40.197527946730183</v>
      </c>
      <c r="H206" s="63">
        <f t="shared" si="5"/>
        <v>116.65080029577885</v>
      </c>
      <c r="I206" s="119">
        <f>NPV($I$19,H197:H206)/((1-(1+$I$19)^-10)/$I$19)</f>
        <v>17.736691718548286</v>
      </c>
    </row>
    <row r="207" spans="1:9">
      <c r="A207" s="44"/>
      <c r="B207" s="44" t="s">
        <v>401</v>
      </c>
      <c r="C207" s="49"/>
      <c r="D207" s="42"/>
      <c r="E207" s="19"/>
      <c r="F207" s="19"/>
      <c r="G207" s="43"/>
      <c r="H207" s="63">
        <f t="shared" si="5"/>
        <v>0</v>
      </c>
      <c r="I207" s="119"/>
    </row>
    <row r="208" spans="1:9">
      <c r="A208" s="44"/>
      <c r="B208" s="44" t="s">
        <v>401</v>
      </c>
      <c r="C208" s="49"/>
      <c r="D208" s="46"/>
      <c r="E208" s="47"/>
      <c r="F208" s="47"/>
      <c r="G208" s="48"/>
      <c r="H208" s="63">
        <f t="shared" si="5"/>
        <v>0</v>
      </c>
      <c r="I208" s="119"/>
    </row>
    <row r="209" spans="1:9">
      <c r="A209" s="44" t="s">
        <v>556</v>
      </c>
      <c r="B209" s="44">
        <v>23</v>
      </c>
      <c r="C209" s="49">
        <v>2026</v>
      </c>
      <c r="D209" s="46">
        <v>0</v>
      </c>
      <c r="E209" s="47">
        <v>0</v>
      </c>
      <c r="F209" s="47">
        <v>0</v>
      </c>
      <c r="G209" s="48">
        <v>0</v>
      </c>
      <c r="H209" s="63">
        <f t="shared" si="5"/>
        <v>0</v>
      </c>
      <c r="I209" s="119"/>
    </row>
    <row r="210" spans="1:9">
      <c r="A210" s="44" t="s">
        <v>556</v>
      </c>
      <c r="B210" s="44">
        <v>23</v>
      </c>
      <c r="C210" s="49">
        <v>2027</v>
      </c>
      <c r="D210" s="46">
        <v>0</v>
      </c>
      <c r="E210" s="47">
        <v>0</v>
      </c>
      <c r="F210" s="47">
        <v>0</v>
      </c>
      <c r="G210" s="48">
        <v>0</v>
      </c>
      <c r="H210" s="63">
        <f t="shared" si="5"/>
        <v>0</v>
      </c>
      <c r="I210" s="119"/>
    </row>
    <row r="211" spans="1:9">
      <c r="A211" s="44" t="s">
        <v>556</v>
      </c>
      <c r="B211" s="44">
        <v>23</v>
      </c>
      <c r="C211" s="49">
        <v>2028</v>
      </c>
      <c r="D211" s="46">
        <v>0</v>
      </c>
      <c r="E211" s="47">
        <v>0</v>
      </c>
      <c r="F211" s="47">
        <v>0</v>
      </c>
      <c r="G211" s="48">
        <v>0</v>
      </c>
      <c r="H211" s="63">
        <f t="shared" si="5"/>
        <v>0</v>
      </c>
      <c r="I211" s="119"/>
    </row>
    <row r="212" spans="1:9">
      <c r="A212" s="44" t="s">
        <v>556</v>
      </c>
      <c r="B212" s="44">
        <v>23</v>
      </c>
      <c r="C212" s="49">
        <v>2029</v>
      </c>
      <c r="D212" s="46">
        <v>0</v>
      </c>
      <c r="E212" s="47">
        <v>0</v>
      </c>
      <c r="F212" s="47">
        <v>0</v>
      </c>
      <c r="G212" s="48">
        <v>0</v>
      </c>
      <c r="H212" s="63">
        <f t="shared" si="5"/>
        <v>0</v>
      </c>
      <c r="I212" s="119"/>
    </row>
    <row r="213" spans="1:9">
      <c r="A213" s="44" t="s">
        <v>556</v>
      </c>
      <c r="B213" s="44">
        <v>23</v>
      </c>
      <c r="C213" s="49">
        <v>2030</v>
      </c>
      <c r="D213" s="46">
        <v>0</v>
      </c>
      <c r="E213" s="47">
        <v>0</v>
      </c>
      <c r="F213" s="47">
        <v>0</v>
      </c>
      <c r="G213" s="48">
        <v>0</v>
      </c>
      <c r="H213" s="63">
        <f t="shared" si="5"/>
        <v>0</v>
      </c>
      <c r="I213" s="119"/>
    </row>
    <row r="214" spans="1:9">
      <c r="A214" s="44" t="s">
        <v>556</v>
      </c>
      <c r="B214" s="44">
        <v>23</v>
      </c>
      <c r="C214" s="49">
        <v>2031</v>
      </c>
      <c r="D214" s="46">
        <v>0</v>
      </c>
      <c r="E214" s="47">
        <v>0</v>
      </c>
      <c r="F214" s="47">
        <v>0</v>
      </c>
      <c r="G214" s="48">
        <v>5.3247413260258831</v>
      </c>
      <c r="H214" s="63">
        <f t="shared" ref="H214:H277" si="6">SUM(D214:G214)</f>
        <v>5.3247413260258831</v>
      </c>
      <c r="I214" s="119"/>
    </row>
    <row r="215" spans="1:9">
      <c r="A215" s="44" t="s">
        <v>556</v>
      </c>
      <c r="B215" s="44">
        <v>23</v>
      </c>
      <c r="C215" s="49">
        <v>2032</v>
      </c>
      <c r="D215" s="46">
        <v>0</v>
      </c>
      <c r="E215" s="47">
        <v>0</v>
      </c>
      <c r="F215" s="47">
        <v>0</v>
      </c>
      <c r="G215" s="48">
        <v>28.404574967262487</v>
      </c>
      <c r="H215" s="63">
        <f t="shared" si="6"/>
        <v>28.404574967262487</v>
      </c>
      <c r="I215" s="119"/>
    </row>
    <row r="216" spans="1:9">
      <c r="A216" s="44" t="s">
        <v>556</v>
      </c>
      <c r="B216" s="44">
        <v>23</v>
      </c>
      <c r="C216" s="49">
        <v>2033</v>
      </c>
      <c r="D216" s="46">
        <v>0</v>
      </c>
      <c r="E216" s="47">
        <v>0</v>
      </c>
      <c r="F216" s="47">
        <v>0</v>
      </c>
      <c r="G216" s="48">
        <v>38.636608945338509</v>
      </c>
      <c r="H216" s="63">
        <f t="shared" si="6"/>
        <v>38.636608945338509</v>
      </c>
      <c r="I216" s="119"/>
    </row>
    <row r="217" spans="1:9">
      <c r="A217" s="44" t="s">
        <v>556</v>
      </c>
      <c r="B217" s="44">
        <v>23</v>
      </c>
      <c r="C217" s="49">
        <v>2034</v>
      </c>
      <c r="D217" s="46">
        <v>0</v>
      </c>
      <c r="E217" s="47">
        <v>0</v>
      </c>
      <c r="F217" s="47">
        <v>0</v>
      </c>
      <c r="G217" s="48">
        <v>39.40934112424528</v>
      </c>
      <c r="H217" s="63">
        <f t="shared" si="6"/>
        <v>39.40934112424528</v>
      </c>
      <c r="I217" s="119"/>
    </row>
    <row r="218" spans="1:9">
      <c r="A218" s="44" t="s">
        <v>556</v>
      </c>
      <c r="B218" s="44">
        <v>23</v>
      </c>
      <c r="C218" s="49">
        <v>2035</v>
      </c>
      <c r="D218" s="46">
        <v>0</v>
      </c>
      <c r="E218" s="47">
        <v>76.453272349048675</v>
      </c>
      <c r="F218" s="47">
        <v>0</v>
      </c>
      <c r="G218" s="48">
        <v>40.197527946730183</v>
      </c>
      <c r="H218" s="63">
        <f t="shared" si="6"/>
        <v>116.65080029577885</v>
      </c>
      <c r="I218" s="119">
        <f>NPV($I$19,H209:H218)/((1-(1+$I$19)^-10)/$I$19)</f>
        <v>17.736691718548286</v>
      </c>
    </row>
    <row r="219" spans="1:9">
      <c r="A219" s="44"/>
      <c r="B219" s="44" t="s">
        <v>401</v>
      </c>
      <c r="C219" s="49"/>
      <c r="D219" s="42"/>
      <c r="E219" s="19"/>
      <c r="F219" s="19"/>
      <c r="G219" s="43"/>
      <c r="H219" s="63">
        <f t="shared" si="6"/>
        <v>0</v>
      </c>
      <c r="I219" s="119"/>
    </row>
    <row r="220" spans="1:9">
      <c r="A220" s="44" t="s">
        <v>556</v>
      </c>
      <c r="B220" s="44">
        <v>55</v>
      </c>
      <c r="C220" s="49">
        <v>2026</v>
      </c>
      <c r="D220" s="46">
        <v>0</v>
      </c>
      <c r="E220" s="47">
        <v>0</v>
      </c>
      <c r="F220" s="47">
        <v>0</v>
      </c>
      <c r="G220" s="48">
        <v>0</v>
      </c>
      <c r="H220" s="63">
        <f t="shared" si="6"/>
        <v>0</v>
      </c>
      <c r="I220" s="119"/>
    </row>
    <row r="221" spans="1:9">
      <c r="A221" s="44" t="s">
        <v>556</v>
      </c>
      <c r="B221" s="44">
        <v>55</v>
      </c>
      <c r="C221" s="49">
        <v>2027</v>
      </c>
      <c r="D221" s="46">
        <v>0</v>
      </c>
      <c r="E221" s="47">
        <v>0</v>
      </c>
      <c r="F221" s="47">
        <v>0</v>
      </c>
      <c r="G221" s="48">
        <v>0</v>
      </c>
      <c r="H221" s="63">
        <f t="shared" si="6"/>
        <v>0</v>
      </c>
      <c r="I221" s="119"/>
    </row>
    <row r="222" spans="1:9">
      <c r="A222" s="44" t="s">
        <v>556</v>
      </c>
      <c r="B222" s="44">
        <v>55</v>
      </c>
      <c r="C222" s="49">
        <v>2028</v>
      </c>
      <c r="D222" s="46">
        <v>0</v>
      </c>
      <c r="E222" s="47">
        <v>0</v>
      </c>
      <c r="F222" s="47">
        <v>0</v>
      </c>
      <c r="G222" s="48">
        <v>0</v>
      </c>
      <c r="H222" s="63">
        <f t="shared" si="6"/>
        <v>0</v>
      </c>
      <c r="I222" s="119"/>
    </row>
    <row r="223" spans="1:9">
      <c r="A223" s="44" t="s">
        <v>556</v>
      </c>
      <c r="B223" s="44">
        <v>55</v>
      </c>
      <c r="C223" s="49">
        <v>2029</v>
      </c>
      <c r="D223" s="46">
        <v>0</v>
      </c>
      <c r="E223" s="47">
        <v>0</v>
      </c>
      <c r="F223" s="47">
        <v>0</v>
      </c>
      <c r="G223" s="48">
        <v>0</v>
      </c>
      <c r="H223" s="63">
        <f t="shared" si="6"/>
        <v>0</v>
      </c>
      <c r="I223" s="119"/>
    </row>
    <row r="224" spans="1:9">
      <c r="A224" s="44" t="s">
        <v>556</v>
      </c>
      <c r="B224" s="44">
        <v>55</v>
      </c>
      <c r="C224" s="49">
        <v>2030</v>
      </c>
      <c r="D224" s="46">
        <v>0</v>
      </c>
      <c r="E224" s="47">
        <v>0</v>
      </c>
      <c r="F224" s="47">
        <v>0</v>
      </c>
      <c r="G224" s="48">
        <v>0</v>
      </c>
      <c r="H224" s="63">
        <f t="shared" si="6"/>
        <v>0</v>
      </c>
      <c r="I224" s="119"/>
    </row>
    <row r="225" spans="1:9">
      <c r="A225" s="44" t="s">
        <v>556</v>
      </c>
      <c r="B225" s="44">
        <v>55</v>
      </c>
      <c r="C225" s="49">
        <v>2031</v>
      </c>
      <c r="D225" s="46">
        <v>0</v>
      </c>
      <c r="E225" s="47">
        <v>0</v>
      </c>
      <c r="F225" s="47">
        <v>55.352435018781364</v>
      </c>
      <c r="G225" s="48">
        <v>0</v>
      </c>
      <c r="H225" s="63">
        <f t="shared" si="6"/>
        <v>55.352435018781364</v>
      </c>
      <c r="I225" s="119"/>
    </row>
    <row r="226" spans="1:9">
      <c r="A226" s="44" t="s">
        <v>556</v>
      </c>
      <c r="B226" s="44">
        <v>55</v>
      </c>
      <c r="C226" s="49">
        <v>2032</v>
      </c>
      <c r="D226" s="46">
        <v>0</v>
      </c>
      <c r="E226" s="47">
        <v>0</v>
      </c>
      <c r="F226" s="47">
        <v>107.79907298067329</v>
      </c>
      <c r="G226" s="48">
        <v>0</v>
      </c>
      <c r="H226" s="63">
        <f t="shared" si="6"/>
        <v>107.79907298067329</v>
      </c>
      <c r="I226" s="119"/>
    </row>
    <row r="227" spans="1:9">
      <c r="A227" s="44" t="s">
        <v>556</v>
      </c>
      <c r="B227" s="44">
        <v>55</v>
      </c>
      <c r="C227" s="49">
        <v>2033</v>
      </c>
      <c r="D227" s="46">
        <v>0</v>
      </c>
      <c r="E227" s="47">
        <v>0</v>
      </c>
      <c r="F227" s="47">
        <v>160.22101526283876</v>
      </c>
      <c r="G227" s="48">
        <v>0</v>
      </c>
      <c r="H227" s="63">
        <f t="shared" si="6"/>
        <v>160.22101526283876</v>
      </c>
      <c r="I227" s="119"/>
    </row>
    <row r="228" spans="1:9">
      <c r="A228" s="44" t="s">
        <v>556</v>
      </c>
      <c r="B228" s="44">
        <v>55</v>
      </c>
      <c r="C228" s="49">
        <v>2034</v>
      </c>
      <c r="D228" s="46">
        <v>0</v>
      </c>
      <c r="E228" s="47">
        <v>35.234340164293684</v>
      </c>
      <c r="F228" s="47">
        <v>211.30012286089493</v>
      </c>
      <c r="G228" s="48">
        <v>0</v>
      </c>
      <c r="H228" s="63">
        <f t="shared" si="6"/>
        <v>246.53446302518861</v>
      </c>
      <c r="I228" s="119"/>
    </row>
    <row r="229" spans="1:9">
      <c r="A229" s="44" t="s">
        <v>556</v>
      </c>
      <c r="B229" s="44">
        <v>55</v>
      </c>
      <c r="C229" s="49">
        <v>2035</v>
      </c>
      <c r="D229" s="46">
        <v>0</v>
      </c>
      <c r="E229" s="47">
        <v>35.939026967579558</v>
      </c>
      <c r="F229" s="47">
        <v>215.52612531811283</v>
      </c>
      <c r="G229" s="48">
        <v>36.884583763799995</v>
      </c>
      <c r="H229" s="63">
        <f t="shared" si="6"/>
        <v>288.34973604949238</v>
      </c>
      <c r="I229" s="119">
        <f>NPV($I$19,H220:H229)/((1-(1+$I$19)^-10)/$I$19)</f>
        <v>68.106915252089991</v>
      </c>
    </row>
    <row r="230" spans="1:9">
      <c r="A230" s="44"/>
      <c r="B230" s="44" t="s">
        <v>401</v>
      </c>
      <c r="C230" s="49"/>
      <c r="D230" s="46"/>
      <c r="E230" s="47"/>
      <c r="F230" s="47"/>
      <c r="G230" s="48"/>
      <c r="H230" s="63">
        <f t="shared" si="6"/>
        <v>0</v>
      </c>
      <c r="I230" s="119"/>
    </row>
    <row r="231" spans="1:9">
      <c r="A231" s="44" t="s">
        <v>556</v>
      </c>
      <c r="B231" s="44">
        <v>62</v>
      </c>
      <c r="C231" s="49">
        <v>2026</v>
      </c>
      <c r="D231" s="46">
        <v>0</v>
      </c>
      <c r="E231" s="47">
        <v>0</v>
      </c>
      <c r="F231" s="47">
        <v>0</v>
      </c>
      <c r="G231" s="48">
        <v>0</v>
      </c>
      <c r="H231" s="63">
        <f t="shared" si="6"/>
        <v>0</v>
      </c>
      <c r="I231" s="119"/>
    </row>
    <row r="232" spans="1:9">
      <c r="A232" s="44" t="s">
        <v>556</v>
      </c>
      <c r="B232" s="44">
        <v>62</v>
      </c>
      <c r="C232" s="49">
        <v>2027</v>
      </c>
      <c r="D232" s="46">
        <v>0</v>
      </c>
      <c r="E232" s="47">
        <v>0</v>
      </c>
      <c r="F232" s="47">
        <v>0</v>
      </c>
      <c r="G232" s="48">
        <v>0</v>
      </c>
      <c r="H232" s="63">
        <f t="shared" si="6"/>
        <v>0</v>
      </c>
      <c r="I232" s="119"/>
    </row>
    <row r="233" spans="1:9">
      <c r="A233" s="44" t="s">
        <v>556</v>
      </c>
      <c r="B233" s="44">
        <v>62</v>
      </c>
      <c r="C233" s="49">
        <v>2028</v>
      </c>
      <c r="D233" s="46">
        <v>0</v>
      </c>
      <c r="E233" s="47">
        <v>0</v>
      </c>
      <c r="F233" s="47">
        <v>0</v>
      </c>
      <c r="G233" s="48">
        <v>0</v>
      </c>
      <c r="H233" s="63">
        <f t="shared" si="6"/>
        <v>0</v>
      </c>
      <c r="I233" s="119"/>
    </row>
    <row r="234" spans="1:9">
      <c r="A234" s="44" t="s">
        <v>556</v>
      </c>
      <c r="B234" s="44">
        <v>62</v>
      </c>
      <c r="C234" s="49">
        <v>2029</v>
      </c>
      <c r="D234" s="46">
        <v>0</v>
      </c>
      <c r="E234" s="47">
        <v>0</v>
      </c>
      <c r="F234" s="47">
        <v>0</v>
      </c>
      <c r="G234" s="48">
        <v>0</v>
      </c>
      <c r="H234" s="63">
        <f t="shared" si="6"/>
        <v>0</v>
      </c>
      <c r="I234" s="119"/>
    </row>
    <row r="235" spans="1:9">
      <c r="A235" s="44" t="s">
        <v>556</v>
      </c>
      <c r="B235" s="44">
        <v>62</v>
      </c>
      <c r="C235" s="49">
        <v>2030</v>
      </c>
      <c r="D235" s="46">
        <v>0</v>
      </c>
      <c r="E235" s="47">
        <v>0</v>
      </c>
      <c r="F235" s="47">
        <v>0</v>
      </c>
      <c r="G235" s="48">
        <v>0</v>
      </c>
      <c r="H235" s="63">
        <f t="shared" si="6"/>
        <v>0</v>
      </c>
      <c r="I235" s="119"/>
    </row>
    <row r="236" spans="1:9">
      <c r="A236" s="44" t="s">
        <v>556</v>
      </c>
      <c r="B236" s="44">
        <v>62</v>
      </c>
      <c r="C236" s="49">
        <v>2031</v>
      </c>
      <c r="D236" s="46">
        <v>0</v>
      </c>
      <c r="E236" s="47">
        <v>0</v>
      </c>
      <c r="F236" s="47">
        <v>53.04684267533861</v>
      </c>
      <c r="G236" s="48">
        <v>0</v>
      </c>
      <c r="H236" s="63">
        <f t="shared" si="6"/>
        <v>53.04684267533861</v>
      </c>
      <c r="I236" s="119"/>
    </row>
    <row r="237" spans="1:9">
      <c r="A237" s="44" t="s">
        <v>556</v>
      </c>
      <c r="B237" s="44">
        <v>62</v>
      </c>
      <c r="C237" s="49">
        <v>2032</v>
      </c>
      <c r="D237" s="46">
        <v>0</v>
      </c>
      <c r="E237" s="47">
        <v>0</v>
      </c>
      <c r="F237" s="47">
        <v>103.30892332040747</v>
      </c>
      <c r="G237" s="48">
        <v>0</v>
      </c>
      <c r="H237" s="63">
        <f t="shared" si="6"/>
        <v>103.30892332040747</v>
      </c>
      <c r="I237" s="119"/>
    </row>
    <row r="238" spans="1:9">
      <c r="A238" s="44" t="s">
        <v>556</v>
      </c>
      <c r="B238" s="44">
        <v>62</v>
      </c>
      <c r="C238" s="49">
        <v>2033</v>
      </c>
      <c r="D238" s="46">
        <v>0</v>
      </c>
      <c r="E238" s="47">
        <v>0</v>
      </c>
      <c r="F238" s="47">
        <v>153.54733693372307</v>
      </c>
      <c r="G238" s="48">
        <v>0</v>
      </c>
      <c r="H238" s="63">
        <f t="shared" si="6"/>
        <v>153.54733693372307</v>
      </c>
      <c r="I238" s="119"/>
    </row>
    <row r="239" spans="1:9">
      <c r="A239" s="44" t="s">
        <v>556</v>
      </c>
      <c r="B239" s="44">
        <v>62</v>
      </c>
      <c r="C239" s="49">
        <v>2034</v>
      </c>
      <c r="D239" s="46">
        <v>0</v>
      </c>
      <c r="E239" s="47">
        <v>35.234340164293684</v>
      </c>
      <c r="F239" s="47">
        <v>202.49884889216543</v>
      </c>
      <c r="G239" s="48">
        <v>0</v>
      </c>
      <c r="H239" s="63">
        <f t="shared" si="6"/>
        <v>237.73318905645911</v>
      </c>
      <c r="I239" s="119"/>
    </row>
    <row r="240" spans="1:9">
      <c r="A240" s="44" t="s">
        <v>556</v>
      </c>
      <c r="B240" s="44">
        <v>62</v>
      </c>
      <c r="C240" s="49">
        <v>2035</v>
      </c>
      <c r="D240" s="46">
        <v>0</v>
      </c>
      <c r="E240" s="47">
        <v>35.939026967579558</v>
      </c>
      <c r="F240" s="47">
        <v>206.54882587000873</v>
      </c>
      <c r="G240" s="48">
        <v>0</v>
      </c>
      <c r="H240" s="63">
        <f t="shared" si="6"/>
        <v>242.48785283758829</v>
      </c>
      <c r="I240" s="119">
        <f>NPV($I$19,H231:H240)/((1-(1+$I$19)^-10)/$I$19)</f>
        <v>62.930861997025694</v>
      </c>
    </row>
    <row r="241" spans="1:9">
      <c r="A241" s="44"/>
      <c r="B241" s="44" t="s">
        <v>401</v>
      </c>
      <c r="C241" s="49"/>
      <c r="D241" s="42"/>
      <c r="E241" s="19"/>
      <c r="F241" s="19"/>
      <c r="G241" s="43"/>
      <c r="H241" s="63">
        <f t="shared" si="6"/>
        <v>0</v>
      </c>
      <c r="I241" s="119"/>
    </row>
    <row r="242" spans="1:9">
      <c r="A242" s="44" t="s">
        <v>556</v>
      </c>
      <c r="B242" s="44">
        <v>109</v>
      </c>
      <c r="C242" s="49">
        <v>2026</v>
      </c>
      <c r="D242" s="46">
        <v>0</v>
      </c>
      <c r="E242" s="47">
        <v>0</v>
      </c>
      <c r="F242" s="47">
        <v>0</v>
      </c>
      <c r="G242" s="48">
        <v>0</v>
      </c>
      <c r="H242" s="63">
        <f t="shared" si="6"/>
        <v>0</v>
      </c>
      <c r="I242" s="119"/>
    </row>
    <row r="243" spans="1:9">
      <c r="A243" s="44" t="s">
        <v>556</v>
      </c>
      <c r="B243" s="44">
        <v>109</v>
      </c>
      <c r="C243" s="49">
        <v>2027</v>
      </c>
      <c r="D243" s="46">
        <v>0</v>
      </c>
      <c r="E243" s="47">
        <v>0</v>
      </c>
      <c r="F243" s="47">
        <v>0</v>
      </c>
      <c r="G243" s="48">
        <v>0</v>
      </c>
      <c r="H243" s="63">
        <f t="shared" si="6"/>
        <v>0</v>
      </c>
      <c r="I243" s="119"/>
    </row>
    <row r="244" spans="1:9">
      <c r="A244" s="44" t="s">
        <v>556</v>
      </c>
      <c r="B244" s="44">
        <v>109</v>
      </c>
      <c r="C244" s="49">
        <v>2028</v>
      </c>
      <c r="D244" s="46">
        <v>0</v>
      </c>
      <c r="E244" s="47">
        <v>0</v>
      </c>
      <c r="F244" s="47">
        <v>0</v>
      </c>
      <c r="G244" s="48">
        <v>0</v>
      </c>
      <c r="H244" s="63">
        <f t="shared" si="6"/>
        <v>0</v>
      </c>
      <c r="I244" s="119"/>
    </row>
    <row r="245" spans="1:9">
      <c r="A245" s="44" t="s">
        <v>556</v>
      </c>
      <c r="B245" s="44">
        <v>109</v>
      </c>
      <c r="C245" s="49">
        <v>2029</v>
      </c>
      <c r="D245" s="46">
        <v>0</v>
      </c>
      <c r="E245" s="47">
        <v>0</v>
      </c>
      <c r="F245" s="47">
        <v>0</v>
      </c>
      <c r="G245" s="48">
        <v>0</v>
      </c>
      <c r="H245" s="63">
        <f t="shared" si="6"/>
        <v>0</v>
      </c>
      <c r="I245" s="119"/>
    </row>
    <row r="246" spans="1:9">
      <c r="A246" s="44" t="s">
        <v>556</v>
      </c>
      <c r="B246" s="44">
        <v>109</v>
      </c>
      <c r="C246" s="49">
        <v>2030</v>
      </c>
      <c r="D246" s="46">
        <v>0</v>
      </c>
      <c r="E246" s="47">
        <v>0</v>
      </c>
      <c r="F246" s="47">
        <v>0</v>
      </c>
      <c r="G246" s="48">
        <v>0</v>
      </c>
      <c r="H246" s="63">
        <f t="shared" si="6"/>
        <v>0</v>
      </c>
      <c r="I246" s="119"/>
    </row>
    <row r="247" spans="1:9">
      <c r="A247" s="44" t="s">
        <v>556</v>
      </c>
      <c r="B247" s="44">
        <v>109</v>
      </c>
      <c r="C247" s="49">
        <v>2031</v>
      </c>
      <c r="D247" s="46">
        <v>0</v>
      </c>
      <c r="E247" s="47">
        <v>0</v>
      </c>
      <c r="F247" s="47">
        <v>0</v>
      </c>
      <c r="G247" s="48">
        <v>0</v>
      </c>
      <c r="H247" s="63">
        <f t="shared" si="6"/>
        <v>0</v>
      </c>
      <c r="I247" s="119"/>
    </row>
    <row r="248" spans="1:9">
      <c r="A248" s="44" t="s">
        <v>556</v>
      </c>
      <c r="B248" s="44">
        <v>109</v>
      </c>
      <c r="C248" s="49">
        <v>2032</v>
      </c>
      <c r="D248" s="46">
        <v>0</v>
      </c>
      <c r="E248" s="47">
        <v>0</v>
      </c>
      <c r="F248" s="47">
        <v>73.408106537010639</v>
      </c>
      <c r="G248" s="48">
        <v>0</v>
      </c>
      <c r="H248" s="63">
        <f t="shared" si="6"/>
        <v>73.408106537010639</v>
      </c>
      <c r="I248" s="119"/>
    </row>
    <row r="249" spans="1:9">
      <c r="A249" s="44" t="s">
        <v>556</v>
      </c>
      <c r="B249" s="44">
        <v>109</v>
      </c>
      <c r="C249" s="49">
        <v>2033</v>
      </c>
      <c r="D249" s="46">
        <v>0</v>
      </c>
      <c r="E249" s="47">
        <v>0</v>
      </c>
      <c r="F249" s="47">
        <v>146.74924350693675</v>
      </c>
      <c r="G249" s="48">
        <v>0</v>
      </c>
      <c r="H249" s="63">
        <f t="shared" si="6"/>
        <v>146.74924350693675</v>
      </c>
      <c r="I249" s="119"/>
    </row>
    <row r="250" spans="1:9">
      <c r="A250" s="44" t="s">
        <v>556</v>
      </c>
      <c r="B250" s="44">
        <v>109</v>
      </c>
      <c r="C250" s="49">
        <v>2034</v>
      </c>
      <c r="D250" s="46">
        <v>0</v>
      </c>
      <c r="E250" s="47">
        <v>35.332489044287954</v>
      </c>
      <c r="F250" s="47">
        <v>218.13803168496918</v>
      </c>
      <c r="G250" s="48">
        <v>0</v>
      </c>
      <c r="H250" s="63">
        <f t="shared" si="6"/>
        <v>253.47052072925715</v>
      </c>
      <c r="I250" s="119"/>
    </row>
    <row r="251" spans="1:9">
      <c r="A251" s="44" t="s">
        <v>556</v>
      </c>
      <c r="B251" s="44">
        <v>109</v>
      </c>
      <c r="C251" s="49">
        <v>2035</v>
      </c>
      <c r="D251" s="46">
        <v>0</v>
      </c>
      <c r="E251" s="47">
        <v>36.039138825173715</v>
      </c>
      <c r="F251" s="47">
        <v>222.50079231866857</v>
      </c>
      <c r="G251" s="48">
        <v>0</v>
      </c>
      <c r="H251" s="63">
        <f t="shared" si="6"/>
        <v>258.5399311438423</v>
      </c>
      <c r="I251" s="119">
        <f>NPV($I$19,H242:H251)/((1-(1+$I$19)^-10)/$I$19)</f>
        <v>57.063882838284904</v>
      </c>
    </row>
    <row r="252" spans="1:9">
      <c r="A252" s="44"/>
      <c r="B252" s="44" t="s">
        <v>401</v>
      </c>
      <c r="C252" s="49"/>
      <c r="D252" s="46"/>
      <c r="E252" s="47"/>
      <c r="F252" s="47"/>
      <c r="G252" s="48"/>
      <c r="H252" s="63">
        <f t="shared" si="6"/>
        <v>0</v>
      </c>
      <c r="I252" s="119"/>
    </row>
    <row r="253" spans="1:9">
      <c r="A253" s="44" t="s">
        <v>556</v>
      </c>
      <c r="B253" s="44">
        <v>58</v>
      </c>
      <c r="C253" s="49">
        <v>2026</v>
      </c>
      <c r="D253" s="46">
        <v>0</v>
      </c>
      <c r="E253" s="47">
        <v>0</v>
      </c>
      <c r="F253" s="47">
        <v>0</v>
      </c>
      <c r="G253" s="48">
        <v>0</v>
      </c>
      <c r="H253" s="63">
        <f t="shared" si="6"/>
        <v>0</v>
      </c>
      <c r="I253" s="119"/>
    </row>
    <row r="254" spans="1:9">
      <c r="A254" s="44" t="s">
        <v>556</v>
      </c>
      <c r="B254" s="44">
        <v>58</v>
      </c>
      <c r="C254" s="49">
        <v>2027</v>
      </c>
      <c r="D254" s="46">
        <v>0</v>
      </c>
      <c r="E254" s="47">
        <v>0</v>
      </c>
      <c r="F254" s="47">
        <v>0</v>
      </c>
      <c r="G254" s="48">
        <v>0</v>
      </c>
      <c r="H254" s="63">
        <f t="shared" si="6"/>
        <v>0</v>
      </c>
      <c r="I254" s="119"/>
    </row>
    <row r="255" spans="1:9">
      <c r="A255" s="44" t="s">
        <v>556</v>
      </c>
      <c r="B255" s="44">
        <v>58</v>
      </c>
      <c r="C255" s="49">
        <v>2028</v>
      </c>
      <c r="D255" s="46">
        <v>0</v>
      </c>
      <c r="E255" s="47">
        <v>0</v>
      </c>
      <c r="F255" s="47">
        <v>0</v>
      </c>
      <c r="G255" s="48">
        <v>0</v>
      </c>
      <c r="H255" s="63">
        <f t="shared" si="6"/>
        <v>0</v>
      </c>
      <c r="I255" s="119"/>
    </row>
    <row r="256" spans="1:9">
      <c r="A256" s="44" t="s">
        <v>556</v>
      </c>
      <c r="B256" s="44">
        <v>58</v>
      </c>
      <c r="C256" s="49">
        <v>2029</v>
      </c>
      <c r="D256" s="46">
        <v>0</v>
      </c>
      <c r="E256" s="47">
        <v>0</v>
      </c>
      <c r="F256" s="47">
        <v>0</v>
      </c>
      <c r="G256" s="48">
        <v>0</v>
      </c>
      <c r="H256" s="63">
        <f t="shared" si="6"/>
        <v>0</v>
      </c>
      <c r="I256" s="119"/>
    </row>
    <row r="257" spans="1:9">
      <c r="A257" s="44" t="s">
        <v>556</v>
      </c>
      <c r="B257" s="44">
        <v>58</v>
      </c>
      <c r="C257" s="49">
        <v>2030</v>
      </c>
      <c r="D257" s="46">
        <v>0</v>
      </c>
      <c r="E257" s="47">
        <v>0</v>
      </c>
      <c r="F257" s="47">
        <v>0</v>
      </c>
      <c r="G257" s="48">
        <v>0</v>
      </c>
      <c r="H257" s="63">
        <f t="shared" si="6"/>
        <v>0</v>
      </c>
      <c r="I257" s="119"/>
    </row>
    <row r="258" spans="1:9">
      <c r="A258" s="44" t="s">
        <v>556</v>
      </c>
      <c r="B258" s="44">
        <v>58</v>
      </c>
      <c r="C258" s="49">
        <v>2031</v>
      </c>
      <c r="D258" s="46">
        <v>0</v>
      </c>
      <c r="E258" s="47">
        <v>0</v>
      </c>
      <c r="F258" s="47">
        <v>0</v>
      </c>
      <c r="G258" s="48">
        <v>0</v>
      </c>
      <c r="H258" s="63">
        <f t="shared" si="6"/>
        <v>0</v>
      </c>
      <c r="I258" s="119"/>
    </row>
    <row r="259" spans="1:9">
      <c r="A259" s="44" t="s">
        <v>556</v>
      </c>
      <c r="B259" s="44">
        <v>58</v>
      </c>
      <c r="C259" s="49">
        <v>2032</v>
      </c>
      <c r="D259" s="46">
        <v>0</v>
      </c>
      <c r="E259" s="47">
        <v>0</v>
      </c>
      <c r="F259" s="47">
        <v>0</v>
      </c>
      <c r="G259" s="48">
        <v>0</v>
      </c>
      <c r="H259" s="63">
        <f t="shared" si="6"/>
        <v>0</v>
      </c>
      <c r="I259" s="119"/>
    </row>
    <row r="260" spans="1:9">
      <c r="A260" s="44" t="s">
        <v>556</v>
      </c>
      <c r="B260" s="44">
        <v>58</v>
      </c>
      <c r="C260" s="49">
        <v>2033</v>
      </c>
      <c r="D260" s="46">
        <v>0</v>
      </c>
      <c r="E260" s="47">
        <v>0</v>
      </c>
      <c r="F260" s="47">
        <v>125.30518577076228</v>
      </c>
      <c r="G260" s="48">
        <v>0</v>
      </c>
      <c r="H260" s="63">
        <f t="shared" si="6"/>
        <v>125.30518577076228</v>
      </c>
      <c r="I260" s="119"/>
    </row>
    <row r="261" spans="1:9">
      <c r="A261" s="44" t="s">
        <v>556</v>
      </c>
      <c r="B261" s="44">
        <v>58</v>
      </c>
      <c r="C261" s="49">
        <v>2034</v>
      </c>
      <c r="D261" s="46">
        <v>0</v>
      </c>
      <c r="E261" s="47">
        <v>0</v>
      </c>
      <c r="F261" s="47">
        <v>167.70882302725272</v>
      </c>
      <c r="G261" s="48">
        <v>42.15381001577142</v>
      </c>
      <c r="H261" s="63">
        <f t="shared" si="6"/>
        <v>209.86263304302415</v>
      </c>
      <c r="I261" s="119"/>
    </row>
    <row r="262" spans="1:9">
      <c r="A262" s="44" t="s">
        <v>556</v>
      </c>
      <c r="B262" s="44">
        <v>58</v>
      </c>
      <c r="C262" s="49">
        <v>2035</v>
      </c>
      <c r="D262" s="46">
        <v>0</v>
      </c>
      <c r="E262" s="47">
        <v>0</v>
      </c>
      <c r="F262" s="47">
        <v>171.06299948779778</v>
      </c>
      <c r="G262" s="48">
        <v>42.99688621608685</v>
      </c>
      <c r="H262" s="63">
        <f t="shared" si="6"/>
        <v>214.05988570388462</v>
      </c>
      <c r="I262" s="119">
        <f>NPV($I$19,H253:H262)/((1-(1+$I$19)^-10)/$I$19)</f>
        <v>42.170235135506189</v>
      </c>
    </row>
    <row r="263" spans="1:9">
      <c r="A263" s="44"/>
      <c r="B263" s="44" t="s">
        <v>401</v>
      </c>
      <c r="C263" s="49"/>
      <c r="D263" s="42"/>
      <c r="E263" s="19"/>
      <c r="F263" s="19"/>
      <c r="G263" s="43"/>
      <c r="H263" s="63">
        <f t="shared" si="6"/>
        <v>0</v>
      </c>
      <c r="I263" s="119"/>
    </row>
    <row r="264" spans="1:9">
      <c r="A264" s="44" t="s">
        <v>556</v>
      </c>
      <c r="B264" s="44">
        <v>117</v>
      </c>
      <c r="C264" s="49">
        <v>2026</v>
      </c>
      <c r="D264" s="46">
        <v>0</v>
      </c>
      <c r="E264" s="47">
        <v>0</v>
      </c>
      <c r="F264" s="47">
        <v>0</v>
      </c>
      <c r="G264" s="48">
        <v>0</v>
      </c>
      <c r="H264" s="63">
        <f t="shared" si="6"/>
        <v>0</v>
      </c>
      <c r="I264" s="119"/>
    </row>
    <row r="265" spans="1:9">
      <c r="A265" s="44" t="s">
        <v>556</v>
      </c>
      <c r="B265" s="44">
        <v>117</v>
      </c>
      <c r="C265" s="49">
        <v>2027</v>
      </c>
      <c r="D265" s="46">
        <v>0</v>
      </c>
      <c r="E265" s="47">
        <v>0</v>
      </c>
      <c r="F265" s="47">
        <v>0</v>
      </c>
      <c r="G265" s="48">
        <v>0</v>
      </c>
      <c r="H265" s="63">
        <f t="shared" si="6"/>
        <v>0</v>
      </c>
      <c r="I265" s="119"/>
    </row>
    <row r="266" spans="1:9">
      <c r="A266" s="44" t="s">
        <v>556</v>
      </c>
      <c r="B266" s="44">
        <v>117</v>
      </c>
      <c r="C266" s="49">
        <v>2028</v>
      </c>
      <c r="D266" s="46">
        <v>0</v>
      </c>
      <c r="E266" s="47">
        <v>0</v>
      </c>
      <c r="F266" s="47">
        <v>0</v>
      </c>
      <c r="G266" s="48">
        <v>0</v>
      </c>
      <c r="H266" s="63">
        <f t="shared" si="6"/>
        <v>0</v>
      </c>
      <c r="I266" s="119"/>
    </row>
    <row r="267" spans="1:9">
      <c r="A267" s="44" t="s">
        <v>556</v>
      </c>
      <c r="B267" s="44">
        <v>117</v>
      </c>
      <c r="C267" s="49">
        <v>2029</v>
      </c>
      <c r="D267" s="46">
        <v>0</v>
      </c>
      <c r="E267" s="47">
        <v>0</v>
      </c>
      <c r="F267" s="47">
        <v>0</v>
      </c>
      <c r="G267" s="48">
        <v>0</v>
      </c>
      <c r="H267" s="63">
        <f t="shared" si="6"/>
        <v>0</v>
      </c>
      <c r="I267" s="119"/>
    </row>
    <row r="268" spans="1:9">
      <c r="A268" s="44" t="s">
        <v>556</v>
      </c>
      <c r="B268" s="44">
        <v>117</v>
      </c>
      <c r="C268" s="49">
        <v>2030</v>
      </c>
      <c r="D268" s="46">
        <v>0</v>
      </c>
      <c r="E268" s="47">
        <v>0</v>
      </c>
      <c r="F268" s="47">
        <v>0</v>
      </c>
      <c r="G268" s="48">
        <v>0</v>
      </c>
      <c r="H268" s="63">
        <f t="shared" si="6"/>
        <v>0</v>
      </c>
      <c r="I268" s="119"/>
    </row>
    <row r="269" spans="1:9">
      <c r="A269" s="44" t="s">
        <v>556</v>
      </c>
      <c r="B269" s="44">
        <v>117</v>
      </c>
      <c r="C269" s="49">
        <v>2031</v>
      </c>
      <c r="D269" s="46">
        <v>0</v>
      </c>
      <c r="E269" s="47">
        <v>0</v>
      </c>
      <c r="F269" s="47">
        <v>0</v>
      </c>
      <c r="G269" s="48">
        <v>0</v>
      </c>
      <c r="H269" s="63">
        <f t="shared" si="6"/>
        <v>0</v>
      </c>
      <c r="I269" s="119"/>
    </row>
    <row r="270" spans="1:9">
      <c r="A270" s="44" t="s">
        <v>556</v>
      </c>
      <c r="B270" s="44">
        <v>117</v>
      </c>
      <c r="C270" s="49">
        <v>2032</v>
      </c>
      <c r="D270" s="46">
        <v>0</v>
      </c>
      <c r="E270" s="47">
        <v>0</v>
      </c>
      <c r="F270" s="47">
        <v>0</v>
      </c>
      <c r="G270" s="48">
        <v>0</v>
      </c>
      <c r="H270" s="63">
        <f t="shared" si="6"/>
        <v>0</v>
      </c>
      <c r="I270" s="119"/>
    </row>
    <row r="271" spans="1:9">
      <c r="A271" s="44" t="s">
        <v>556</v>
      </c>
      <c r="B271" s="44">
        <v>117</v>
      </c>
      <c r="C271" s="49">
        <v>2033</v>
      </c>
      <c r="D271" s="46">
        <v>0</v>
      </c>
      <c r="E271" s="47">
        <v>0</v>
      </c>
      <c r="F271" s="47">
        <v>0</v>
      </c>
      <c r="G271" s="48">
        <v>34.152392373888887</v>
      </c>
      <c r="H271" s="63">
        <f t="shared" si="6"/>
        <v>34.152392373888887</v>
      </c>
      <c r="I271" s="119"/>
    </row>
    <row r="272" spans="1:9">
      <c r="A272" s="44" t="s">
        <v>556</v>
      </c>
      <c r="B272" s="44">
        <v>117</v>
      </c>
      <c r="C272" s="49">
        <v>2034</v>
      </c>
      <c r="D272" s="46">
        <v>0</v>
      </c>
      <c r="E272" s="47">
        <v>0</v>
      </c>
      <c r="F272" s="47">
        <v>0</v>
      </c>
      <c r="G272" s="48">
        <v>34.835440221366667</v>
      </c>
      <c r="H272" s="63">
        <f t="shared" si="6"/>
        <v>34.835440221366667</v>
      </c>
      <c r="I272" s="119"/>
    </row>
    <row r="273" spans="1:9">
      <c r="A273" s="44" t="s">
        <v>556</v>
      </c>
      <c r="B273" s="44">
        <v>117</v>
      </c>
      <c r="C273" s="49">
        <v>2035</v>
      </c>
      <c r="D273" s="46">
        <v>0</v>
      </c>
      <c r="E273" s="47">
        <v>0</v>
      </c>
      <c r="F273" s="47">
        <v>0</v>
      </c>
      <c r="G273" s="48">
        <v>35.532149025793998</v>
      </c>
      <c r="H273" s="63">
        <f t="shared" si="6"/>
        <v>35.532149025793998</v>
      </c>
      <c r="I273" s="119">
        <f>NPV($I$19,H264:H273)/((1-(1+$I$19)^-10)/$I$19)</f>
        <v>8.1071738424032294</v>
      </c>
    </row>
    <row r="274" spans="1:9">
      <c r="A274" s="44"/>
      <c r="B274" s="44" t="s">
        <v>401</v>
      </c>
      <c r="C274" s="49"/>
      <c r="D274" s="46"/>
      <c r="E274" s="47"/>
      <c r="F274" s="47"/>
      <c r="G274" s="48"/>
      <c r="H274" s="63">
        <f t="shared" si="6"/>
        <v>0</v>
      </c>
      <c r="I274" s="119"/>
    </row>
    <row r="275" spans="1:9">
      <c r="A275" s="44" t="s">
        <v>556</v>
      </c>
      <c r="B275" s="44">
        <v>230</v>
      </c>
      <c r="C275" s="49">
        <v>2026</v>
      </c>
      <c r="D275" s="46">
        <v>0</v>
      </c>
      <c r="E275" s="47">
        <v>0</v>
      </c>
      <c r="F275" s="47">
        <v>0</v>
      </c>
      <c r="G275" s="48">
        <v>0</v>
      </c>
      <c r="H275" s="63">
        <f t="shared" si="6"/>
        <v>0</v>
      </c>
      <c r="I275" s="119"/>
    </row>
    <row r="276" spans="1:9">
      <c r="A276" s="44" t="s">
        <v>556</v>
      </c>
      <c r="B276" s="44">
        <v>230</v>
      </c>
      <c r="C276" s="49">
        <v>2027</v>
      </c>
      <c r="D276" s="46">
        <v>0</v>
      </c>
      <c r="E276" s="47">
        <v>0</v>
      </c>
      <c r="F276" s="47">
        <v>0</v>
      </c>
      <c r="G276" s="48">
        <v>0</v>
      </c>
      <c r="H276" s="63">
        <f t="shared" si="6"/>
        <v>0</v>
      </c>
      <c r="I276" s="119"/>
    </row>
    <row r="277" spans="1:9">
      <c r="A277" s="44" t="s">
        <v>556</v>
      </c>
      <c r="B277" s="44">
        <v>230</v>
      </c>
      <c r="C277" s="49">
        <v>2028</v>
      </c>
      <c r="D277" s="46">
        <v>0</v>
      </c>
      <c r="E277" s="47">
        <v>0</v>
      </c>
      <c r="F277" s="47">
        <v>0</v>
      </c>
      <c r="G277" s="48">
        <v>0</v>
      </c>
      <c r="H277" s="63">
        <f t="shared" si="6"/>
        <v>0</v>
      </c>
      <c r="I277" s="119"/>
    </row>
    <row r="278" spans="1:9">
      <c r="A278" s="44" t="s">
        <v>556</v>
      </c>
      <c r="B278" s="44">
        <v>230</v>
      </c>
      <c r="C278" s="49">
        <v>2029</v>
      </c>
      <c r="D278" s="46">
        <v>0</v>
      </c>
      <c r="E278" s="47">
        <v>0</v>
      </c>
      <c r="F278" s="47">
        <v>0</v>
      </c>
      <c r="G278" s="48">
        <v>0</v>
      </c>
      <c r="H278" s="63">
        <f t="shared" ref="H278:H341" si="7">SUM(D278:G278)</f>
        <v>0</v>
      </c>
      <c r="I278" s="119"/>
    </row>
    <row r="279" spans="1:9">
      <c r="A279" s="44" t="s">
        <v>556</v>
      </c>
      <c r="B279" s="44">
        <v>230</v>
      </c>
      <c r="C279" s="49">
        <v>2030</v>
      </c>
      <c r="D279" s="46">
        <v>0</v>
      </c>
      <c r="E279" s="47">
        <v>0</v>
      </c>
      <c r="F279" s="47">
        <v>0</v>
      </c>
      <c r="G279" s="48">
        <v>0</v>
      </c>
      <c r="H279" s="63">
        <f t="shared" si="7"/>
        <v>0</v>
      </c>
      <c r="I279" s="119"/>
    </row>
    <row r="280" spans="1:9">
      <c r="A280" s="44" t="s">
        <v>556</v>
      </c>
      <c r="B280" s="44">
        <v>230</v>
      </c>
      <c r="C280" s="49">
        <v>2031</v>
      </c>
      <c r="D280" s="46">
        <v>0</v>
      </c>
      <c r="E280" s="47">
        <v>0</v>
      </c>
      <c r="F280" s="47">
        <v>0</v>
      </c>
      <c r="G280" s="48">
        <v>0</v>
      </c>
      <c r="H280" s="63">
        <f t="shared" si="7"/>
        <v>0</v>
      </c>
      <c r="I280" s="119"/>
    </row>
    <row r="281" spans="1:9">
      <c r="A281" s="44" t="s">
        <v>556</v>
      </c>
      <c r="B281" s="44">
        <v>230</v>
      </c>
      <c r="C281" s="49">
        <v>2032</v>
      </c>
      <c r="D281" s="46">
        <v>0</v>
      </c>
      <c r="E281" s="47">
        <v>0</v>
      </c>
      <c r="F281" s="47">
        <v>166.97100616417646</v>
      </c>
      <c r="G281" s="48">
        <v>0</v>
      </c>
      <c r="H281" s="63">
        <f t="shared" si="7"/>
        <v>166.97100616417646</v>
      </c>
      <c r="I281" s="119"/>
    </row>
    <row r="282" spans="1:9">
      <c r="A282" s="44" t="s">
        <v>556</v>
      </c>
      <c r="B282" s="44">
        <v>230</v>
      </c>
      <c r="C282" s="49">
        <v>2033</v>
      </c>
      <c r="D282" s="46">
        <v>0</v>
      </c>
      <c r="E282" s="47">
        <v>0</v>
      </c>
      <c r="F282" s="47">
        <v>197.12362173231799</v>
      </c>
      <c r="G282" s="48">
        <v>142.07395227537779</v>
      </c>
      <c r="H282" s="63">
        <f t="shared" si="7"/>
        <v>339.19757400769578</v>
      </c>
      <c r="I282" s="119"/>
    </row>
    <row r="283" spans="1:9">
      <c r="A283" s="44" t="s">
        <v>556</v>
      </c>
      <c r="B283" s="44">
        <v>230</v>
      </c>
      <c r="C283" s="49">
        <v>2034</v>
      </c>
      <c r="D283" s="46">
        <v>0</v>
      </c>
      <c r="E283" s="47">
        <v>0</v>
      </c>
      <c r="F283" s="47">
        <v>201.06609416696435</v>
      </c>
      <c r="G283" s="48">
        <v>144.91543132088535</v>
      </c>
      <c r="H283" s="63">
        <f t="shared" si="7"/>
        <v>345.98152548784969</v>
      </c>
      <c r="I283" s="119"/>
    </row>
    <row r="284" spans="1:9">
      <c r="A284" s="44" t="s">
        <v>556</v>
      </c>
      <c r="B284" s="44">
        <v>230</v>
      </c>
      <c r="C284" s="49">
        <v>2035</v>
      </c>
      <c r="D284" s="46">
        <v>0</v>
      </c>
      <c r="E284" s="47">
        <v>0</v>
      </c>
      <c r="F284" s="47">
        <v>205.08741605030363</v>
      </c>
      <c r="G284" s="48">
        <v>147.81373994730305</v>
      </c>
      <c r="H284" s="63">
        <f t="shared" si="7"/>
        <v>352.90115599760668</v>
      </c>
      <c r="I284" s="119">
        <f>NPV($I$19,H275:H284)/((1-(1+$I$19)^-10)/$I$19)</f>
        <v>95.331184598836117</v>
      </c>
    </row>
    <row r="285" spans="1:9">
      <c r="A285" s="44"/>
      <c r="B285" s="44" t="s">
        <v>401</v>
      </c>
      <c r="C285" s="49"/>
      <c r="D285" s="42"/>
      <c r="E285" s="19"/>
      <c r="F285" s="19"/>
      <c r="G285" s="43"/>
      <c r="H285" s="63">
        <f t="shared" si="7"/>
        <v>0</v>
      </c>
      <c r="I285" s="119"/>
    </row>
    <row r="286" spans="1:9">
      <c r="A286" s="44"/>
      <c r="B286" s="44" t="s">
        <v>401</v>
      </c>
      <c r="C286" s="49"/>
      <c r="D286" s="46"/>
      <c r="E286" s="47"/>
      <c r="F286" s="47"/>
      <c r="G286" s="48"/>
      <c r="H286" s="63">
        <f t="shared" si="7"/>
        <v>0</v>
      </c>
      <c r="I286" s="119"/>
    </row>
    <row r="287" spans="1:9">
      <c r="A287" s="44" t="s">
        <v>556</v>
      </c>
      <c r="B287" s="44">
        <v>230</v>
      </c>
      <c r="C287" s="49">
        <v>2026</v>
      </c>
      <c r="D287" s="46">
        <v>0</v>
      </c>
      <c r="E287" s="47">
        <v>0</v>
      </c>
      <c r="F287" s="47">
        <v>0</v>
      </c>
      <c r="G287" s="48">
        <v>0</v>
      </c>
      <c r="H287" s="63">
        <f t="shared" si="7"/>
        <v>0</v>
      </c>
      <c r="I287" s="119"/>
    </row>
    <row r="288" spans="1:9">
      <c r="A288" s="44" t="s">
        <v>556</v>
      </c>
      <c r="B288" s="44">
        <v>230</v>
      </c>
      <c r="C288" s="49">
        <v>2027</v>
      </c>
      <c r="D288" s="46">
        <v>0</v>
      </c>
      <c r="E288" s="47">
        <v>0</v>
      </c>
      <c r="F288" s="47">
        <v>0</v>
      </c>
      <c r="G288" s="48">
        <v>0</v>
      </c>
      <c r="H288" s="63">
        <f t="shared" si="7"/>
        <v>0</v>
      </c>
      <c r="I288" s="119"/>
    </row>
    <row r="289" spans="1:9">
      <c r="A289" s="44" t="s">
        <v>556</v>
      </c>
      <c r="B289" s="44">
        <v>230</v>
      </c>
      <c r="C289" s="49">
        <v>2028</v>
      </c>
      <c r="D289" s="46">
        <v>0</v>
      </c>
      <c r="E289" s="47">
        <v>0</v>
      </c>
      <c r="F289" s="47">
        <v>0</v>
      </c>
      <c r="G289" s="48">
        <v>0</v>
      </c>
      <c r="H289" s="63">
        <f t="shared" si="7"/>
        <v>0</v>
      </c>
      <c r="I289" s="119"/>
    </row>
    <row r="290" spans="1:9">
      <c r="A290" s="44" t="s">
        <v>556</v>
      </c>
      <c r="B290" s="44">
        <v>230</v>
      </c>
      <c r="C290" s="49">
        <v>2029</v>
      </c>
      <c r="D290" s="46">
        <v>0</v>
      </c>
      <c r="E290" s="47">
        <v>0</v>
      </c>
      <c r="F290" s="47">
        <v>0</v>
      </c>
      <c r="G290" s="48">
        <v>0</v>
      </c>
      <c r="H290" s="63">
        <f t="shared" si="7"/>
        <v>0</v>
      </c>
      <c r="I290" s="119"/>
    </row>
    <row r="291" spans="1:9">
      <c r="A291" s="44" t="s">
        <v>556</v>
      </c>
      <c r="B291" s="44">
        <v>230</v>
      </c>
      <c r="C291" s="49">
        <v>2030</v>
      </c>
      <c r="D291" s="46">
        <v>0</v>
      </c>
      <c r="E291" s="47">
        <v>0</v>
      </c>
      <c r="F291" s="47">
        <v>0</v>
      </c>
      <c r="G291" s="48">
        <v>0</v>
      </c>
      <c r="H291" s="63">
        <f t="shared" si="7"/>
        <v>0</v>
      </c>
      <c r="I291" s="119"/>
    </row>
    <row r="292" spans="1:9">
      <c r="A292" s="44" t="s">
        <v>556</v>
      </c>
      <c r="B292" s="44">
        <v>230</v>
      </c>
      <c r="C292" s="49">
        <v>2031</v>
      </c>
      <c r="D292" s="46">
        <v>0</v>
      </c>
      <c r="E292" s="47">
        <v>0</v>
      </c>
      <c r="F292" s="47">
        <v>0</v>
      </c>
      <c r="G292" s="48">
        <v>0</v>
      </c>
      <c r="H292" s="63">
        <f t="shared" si="7"/>
        <v>0</v>
      </c>
      <c r="I292" s="119"/>
    </row>
    <row r="293" spans="1:9">
      <c r="A293" s="44" t="s">
        <v>556</v>
      </c>
      <c r="B293" s="44">
        <v>230</v>
      </c>
      <c r="C293" s="49">
        <v>2032</v>
      </c>
      <c r="D293" s="46">
        <v>0</v>
      </c>
      <c r="E293" s="47">
        <v>0</v>
      </c>
      <c r="F293" s="47">
        <v>166.97100616417646</v>
      </c>
      <c r="G293" s="48">
        <v>0</v>
      </c>
      <c r="H293" s="63">
        <f t="shared" si="7"/>
        <v>166.97100616417646</v>
      </c>
      <c r="I293" s="119"/>
    </row>
    <row r="294" spans="1:9">
      <c r="A294" s="44" t="s">
        <v>556</v>
      </c>
      <c r="B294" s="44">
        <v>230</v>
      </c>
      <c r="C294" s="49">
        <v>2033</v>
      </c>
      <c r="D294" s="46">
        <v>0</v>
      </c>
      <c r="E294" s="47">
        <v>0</v>
      </c>
      <c r="F294" s="47">
        <v>197.12362173231799</v>
      </c>
      <c r="G294" s="48">
        <v>142.07395227537779</v>
      </c>
      <c r="H294" s="63">
        <f t="shared" si="7"/>
        <v>339.19757400769578</v>
      </c>
      <c r="I294" s="119"/>
    </row>
    <row r="295" spans="1:9">
      <c r="A295" s="44" t="s">
        <v>556</v>
      </c>
      <c r="B295" s="44">
        <v>230</v>
      </c>
      <c r="C295" s="49">
        <v>2034</v>
      </c>
      <c r="D295" s="46">
        <v>0</v>
      </c>
      <c r="E295" s="47">
        <v>0</v>
      </c>
      <c r="F295" s="47">
        <v>201.06609416696435</v>
      </c>
      <c r="G295" s="48">
        <v>144.91543132088535</v>
      </c>
      <c r="H295" s="63">
        <f t="shared" si="7"/>
        <v>345.98152548784969</v>
      </c>
      <c r="I295" s="119"/>
    </row>
    <row r="296" spans="1:9">
      <c r="A296" s="44" t="s">
        <v>556</v>
      </c>
      <c r="B296" s="44">
        <v>230</v>
      </c>
      <c r="C296" s="49">
        <v>2035</v>
      </c>
      <c r="D296" s="46">
        <v>0</v>
      </c>
      <c r="E296" s="47">
        <v>0</v>
      </c>
      <c r="F296" s="47">
        <v>205.08741605030363</v>
      </c>
      <c r="G296" s="48">
        <v>147.81373994730305</v>
      </c>
      <c r="H296" s="63">
        <f t="shared" si="7"/>
        <v>352.90115599760668</v>
      </c>
      <c r="I296" s="119">
        <f>NPV($I$19,H287:H296)/((1-(1+$I$19)^-10)/$I$19)</f>
        <v>95.331184598836117</v>
      </c>
    </row>
    <row r="297" spans="1:9">
      <c r="A297" s="44">
        <v>0</v>
      </c>
      <c r="B297" s="44" t="s">
        <v>401</v>
      </c>
      <c r="C297" s="19"/>
      <c r="D297" s="42"/>
      <c r="E297" s="19"/>
      <c r="F297" s="19"/>
      <c r="G297" s="43"/>
      <c r="H297" s="63">
        <f t="shared" si="7"/>
        <v>0</v>
      </c>
      <c r="I297" s="119"/>
    </row>
    <row r="298" spans="1:9">
      <c r="A298" s="44" t="s">
        <v>556</v>
      </c>
      <c r="B298" s="44">
        <v>45</v>
      </c>
      <c r="C298" s="45">
        <v>2026</v>
      </c>
      <c r="D298" s="46">
        <v>0</v>
      </c>
      <c r="E298" s="47">
        <v>0</v>
      </c>
      <c r="F298" s="47">
        <v>0</v>
      </c>
      <c r="G298" s="48">
        <v>0</v>
      </c>
      <c r="H298" s="63">
        <f t="shared" si="7"/>
        <v>0</v>
      </c>
      <c r="I298" s="119"/>
    </row>
    <row r="299" spans="1:9">
      <c r="A299" s="44" t="s">
        <v>556</v>
      </c>
      <c r="B299" s="44">
        <v>45</v>
      </c>
      <c r="C299" s="45">
        <v>2027</v>
      </c>
      <c r="D299" s="46">
        <v>0</v>
      </c>
      <c r="E299" s="47">
        <v>64.622631428451413</v>
      </c>
      <c r="F299" s="47">
        <v>0</v>
      </c>
      <c r="G299" s="48">
        <v>0</v>
      </c>
      <c r="H299" s="63">
        <f t="shared" si="7"/>
        <v>64.622631428451413</v>
      </c>
      <c r="I299" s="119"/>
    </row>
    <row r="300" spans="1:9">
      <c r="A300" s="44" t="s">
        <v>556</v>
      </c>
      <c r="B300" s="44">
        <v>45</v>
      </c>
      <c r="C300" s="49">
        <v>2028</v>
      </c>
      <c r="D300" s="46">
        <v>0</v>
      </c>
      <c r="E300" s="47">
        <v>65.915084057020437</v>
      </c>
      <c r="F300" s="47">
        <v>0</v>
      </c>
      <c r="G300" s="48">
        <v>0</v>
      </c>
      <c r="H300" s="63">
        <f t="shared" si="7"/>
        <v>65.915084057020437</v>
      </c>
      <c r="I300" s="119"/>
    </row>
    <row r="301" spans="1:9">
      <c r="A301" s="44" t="s">
        <v>556</v>
      </c>
      <c r="B301" s="44">
        <v>45</v>
      </c>
      <c r="C301" s="49">
        <v>2029</v>
      </c>
      <c r="D301" s="46">
        <v>0</v>
      </c>
      <c r="E301" s="47">
        <v>67.233385738160848</v>
      </c>
      <c r="F301" s="47">
        <v>104.31336446267186</v>
      </c>
      <c r="G301" s="48">
        <v>0</v>
      </c>
      <c r="H301" s="63">
        <f t="shared" si="7"/>
        <v>171.54675020083272</v>
      </c>
      <c r="I301" s="119"/>
    </row>
    <row r="302" spans="1:9">
      <c r="A302" s="44" t="s">
        <v>556</v>
      </c>
      <c r="B302" s="44">
        <v>45</v>
      </c>
      <c r="C302" s="49">
        <v>2030</v>
      </c>
      <c r="D302" s="46">
        <v>0</v>
      </c>
      <c r="E302" s="47">
        <v>68.578053452924067</v>
      </c>
      <c r="F302" s="47">
        <v>106.3996317519253</v>
      </c>
      <c r="G302" s="48">
        <v>0</v>
      </c>
      <c r="H302" s="63">
        <f t="shared" si="7"/>
        <v>174.97768520484937</v>
      </c>
      <c r="I302" s="119"/>
    </row>
    <row r="303" spans="1:9">
      <c r="A303" s="44" t="s">
        <v>556</v>
      </c>
      <c r="B303" s="44">
        <v>45</v>
      </c>
      <c r="C303" s="49">
        <v>2031</v>
      </c>
      <c r="D303" s="46">
        <v>0</v>
      </c>
      <c r="E303" s="47">
        <v>69.949614521982554</v>
      </c>
      <c r="F303" s="47">
        <v>108.52762438696381</v>
      </c>
      <c r="G303" s="48">
        <v>0</v>
      </c>
      <c r="H303" s="63">
        <f t="shared" si="7"/>
        <v>178.47723890894636</v>
      </c>
      <c r="I303" s="119"/>
    </row>
    <row r="304" spans="1:9">
      <c r="A304" s="44" t="s">
        <v>556</v>
      </c>
      <c r="B304" s="44">
        <v>45</v>
      </c>
      <c r="C304" s="49">
        <v>2032</v>
      </c>
      <c r="D304" s="46">
        <v>0</v>
      </c>
      <c r="E304" s="47">
        <v>71.348606812422204</v>
      </c>
      <c r="F304" s="47">
        <v>110.69817687470308</v>
      </c>
      <c r="G304" s="48">
        <v>0</v>
      </c>
      <c r="H304" s="63">
        <f t="shared" si="7"/>
        <v>182.0467836871253</v>
      </c>
      <c r="I304" s="119"/>
    </row>
    <row r="305" spans="1:9">
      <c r="A305" s="44" t="s">
        <v>556</v>
      </c>
      <c r="B305" s="44">
        <v>45</v>
      </c>
      <c r="C305" s="49">
        <v>2033</v>
      </c>
      <c r="D305" s="46">
        <v>0</v>
      </c>
      <c r="E305" s="47">
        <v>72.775578948670656</v>
      </c>
      <c r="F305" s="47">
        <v>112.91214041219715</v>
      </c>
      <c r="G305" s="48">
        <v>0</v>
      </c>
      <c r="H305" s="63">
        <f t="shared" si="7"/>
        <v>185.68771936086779</v>
      </c>
      <c r="I305" s="119"/>
    </row>
    <row r="306" spans="1:9">
      <c r="A306" s="44" t="s">
        <v>556</v>
      </c>
      <c r="B306" s="44">
        <v>45</v>
      </c>
      <c r="C306" s="49">
        <v>2034</v>
      </c>
      <c r="D306" s="46">
        <v>0</v>
      </c>
      <c r="E306" s="47">
        <v>74.231090527644071</v>
      </c>
      <c r="F306" s="47">
        <v>115.1703832204411</v>
      </c>
      <c r="G306" s="48">
        <v>42.15381001577142</v>
      </c>
      <c r="H306" s="63">
        <f t="shared" si="7"/>
        <v>231.55528376385658</v>
      </c>
      <c r="I306" s="119"/>
    </row>
    <row r="307" spans="1:9">
      <c r="A307" s="44" t="s">
        <v>556</v>
      </c>
      <c r="B307" s="44">
        <v>45</v>
      </c>
      <c r="C307" s="49">
        <v>2035</v>
      </c>
      <c r="D307" s="46">
        <v>0</v>
      </c>
      <c r="E307" s="47">
        <v>75.715712338196951</v>
      </c>
      <c r="F307" s="47">
        <v>117.47379088484992</v>
      </c>
      <c r="G307" s="48">
        <v>42.99688621608685</v>
      </c>
      <c r="H307" s="63">
        <f t="shared" si="7"/>
        <v>236.18638943913373</v>
      </c>
      <c r="I307" s="119">
        <f>NPV($I$19,H298:H307)/((1-(1+$I$19)^-10)/$I$19)</f>
        <v>135.62805784581735</v>
      </c>
    </row>
    <row r="308" spans="1:9">
      <c r="A308" s="44">
        <v>0</v>
      </c>
      <c r="B308" s="44" t="s">
        <v>401</v>
      </c>
      <c r="C308" s="49"/>
      <c r="D308" s="46"/>
      <c r="E308" s="47"/>
      <c r="F308" s="47"/>
      <c r="G308" s="48"/>
      <c r="H308" s="63">
        <f t="shared" si="7"/>
        <v>0</v>
      </c>
      <c r="I308" s="119"/>
    </row>
    <row r="309" spans="1:9">
      <c r="A309" s="44" t="s">
        <v>556</v>
      </c>
      <c r="B309" s="44">
        <v>58</v>
      </c>
      <c r="C309" s="49">
        <v>2026</v>
      </c>
      <c r="D309" s="46">
        <v>0</v>
      </c>
      <c r="E309" s="47">
        <v>0</v>
      </c>
      <c r="F309" s="47">
        <v>0</v>
      </c>
      <c r="G309" s="48">
        <v>0</v>
      </c>
      <c r="H309" s="63">
        <f t="shared" si="7"/>
        <v>0</v>
      </c>
      <c r="I309" s="119"/>
    </row>
    <row r="310" spans="1:9">
      <c r="A310" s="44" t="s">
        <v>556</v>
      </c>
      <c r="B310" s="44">
        <v>58</v>
      </c>
      <c r="C310" s="49">
        <v>2027</v>
      </c>
      <c r="D310" s="46">
        <v>0</v>
      </c>
      <c r="E310" s="47">
        <v>0</v>
      </c>
      <c r="F310" s="47">
        <v>0</v>
      </c>
      <c r="G310" s="48">
        <v>0</v>
      </c>
      <c r="H310" s="63">
        <f t="shared" si="7"/>
        <v>0</v>
      </c>
      <c r="I310" s="119"/>
    </row>
    <row r="311" spans="1:9">
      <c r="A311" s="44" t="s">
        <v>556</v>
      </c>
      <c r="B311" s="44">
        <v>58</v>
      </c>
      <c r="C311" s="49">
        <v>2028</v>
      </c>
      <c r="D311" s="46">
        <v>0</v>
      </c>
      <c r="E311" s="47">
        <v>0</v>
      </c>
      <c r="F311" s="47">
        <v>0</v>
      </c>
      <c r="G311" s="48">
        <v>0</v>
      </c>
      <c r="H311" s="63">
        <f t="shared" si="7"/>
        <v>0</v>
      </c>
      <c r="I311" s="119"/>
    </row>
    <row r="312" spans="1:9">
      <c r="A312" s="44" t="s">
        <v>556</v>
      </c>
      <c r="B312" s="44">
        <v>58</v>
      </c>
      <c r="C312" s="49">
        <v>2029</v>
      </c>
      <c r="D312" s="46">
        <v>0</v>
      </c>
      <c r="E312" s="47">
        <v>0</v>
      </c>
      <c r="F312" s="47">
        <v>0</v>
      </c>
      <c r="G312" s="48">
        <v>0</v>
      </c>
      <c r="H312" s="63">
        <f t="shared" si="7"/>
        <v>0</v>
      </c>
      <c r="I312" s="119"/>
    </row>
    <row r="313" spans="1:9">
      <c r="A313" s="44" t="s">
        <v>556</v>
      </c>
      <c r="B313" s="44">
        <v>58</v>
      </c>
      <c r="C313" s="49">
        <v>2030</v>
      </c>
      <c r="D313" s="46">
        <v>0</v>
      </c>
      <c r="E313" s="47">
        <v>0</v>
      </c>
      <c r="F313" s="47">
        <v>0</v>
      </c>
      <c r="G313" s="48">
        <v>0</v>
      </c>
      <c r="H313" s="63">
        <f t="shared" si="7"/>
        <v>0</v>
      </c>
      <c r="I313" s="119"/>
    </row>
    <row r="314" spans="1:9">
      <c r="A314" s="44" t="s">
        <v>556</v>
      </c>
      <c r="B314" s="44">
        <v>58</v>
      </c>
      <c r="C314" s="49">
        <v>2031</v>
      </c>
      <c r="D314" s="46">
        <v>0</v>
      </c>
      <c r="E314" s="47">
        <v>0</v>
      </c>
      <c r="F314" s="47">
        <v>0</v>
      </c>
      <c r="G314" s="48">
        <v>0</v>
      </c>
      <c r="H314" s="63">
        <f t="shared" si="7"/>
        <v>0</v>
      </c>
      <c r="I314" s="119"/>
    </row>
    <row r="315" spans="1:9">
      <c r="A315" s="44" t="s">
        <v>556</v>
      </c>
      <c r="B315" s="44">
        <v>58</v>
      </c>
      <c r="C315" s="49">
        <v>2032</v>
      </c>
      <c r="D315" s="46">
        <v>0</v>
      </c>
      <c r="E315" s="47">
        <v>0</v>
      </c>
      <c r="F315" s="47">
        <v>0</v>
      </c>
      <c r="G315" s="48">
        <v>0</v>
      </c>
      <c r="H315" s="63">
        <f t="shared" si="7"/>
        <v>0</v>
      </c>
      <c r="I315" s="119"/>
    </row>
    <row r="316" spans="1:9">
      <c r="A316" s="44" t="s">
        <v>556</v>
      </c>
      <c r="B316" s="44">
        <v>58</v>
      </c>
      <c r="C316" s="49">
        <v>2033</v>
      </c>
      <c r="D316" s="46">
        <v>0</v>
      </c>
      <c r="E316" s="47">
        <v>0</v>
      </c>
      <c r="F316" s="47">
        <v>125.30518577076228</v>
      </c>
      <c r="G316" s="48">
        <v>0</v>
      </c>
      <c r="H316" s="63">
        <f t="shared" si="7"/>
        <v>125.30518577076228</v>
      </c>
      <c r="I316" s="119"/>
    </row>
    <row r="317" spans="1:9">
      <c r="A317" s="44" t="s">
        <v>556</v>
      </c>
      <c r="B317" s="44">
        <v>58</v>
      </c>
      <c r="C317" s="49">
        <v>2034</v>
      </c>
      <c r="D317" s="46">
        <v>0</v>
      </c>
      <c r="E317" s="47">
        <v>0</v>
      </c>
      <c r="F317" s="47">
        <v>167.70882302725272</v>
      </c>
      <c r="G317" s="48">
        <v>42.15381001577142</v>
      </c>
      <c r="H317" s="63">
        <f t="shared" si="7"/>
        <v>209.86263304302415</v>
      </c>
      <c r="I317" s="119"/>
    </row>
    <row r="318" spans="1:9">
      <c r="A318" s="44" t="s">
        <v>556</v>
      </c>
      <c r="B318" s="44">
        <v>58</v>
      </c>
      <c r="C318" s="49">
        <v>2035</v>
      </c>
      <c r="D318" s="46">
        <v>0</v>
      </c>
      <c r="E318" s="47">
        <v>0</v>
      </c>
      <c r="F318" s="47">
        <v>171.06299948779778</v>
      </c>
      <c r="G318" s="48">
        <v>42.99688621608685</v>
      </c>
      <c r="H318" s="63">
        <f t="shared" si="7"/>
        <v>214.05988570388462</v>
      </c>
      <c r="I318" s="119">
        <f>NPV($I$19,H309:H318)/((1-(1+$I$19)^-10)/$I$19)</f>
        <v>42.170235135506189</v>
      </c>
    </row>
    <row r="319" spans="1:9">
      <c r="A319" s="44"/>
      <c r="B319" s="44" t="s">
        <v>401</v>
      </c>
      <c r="C319" s="49"/>
      <c r="D319" s="42"/>
      <c r="E319" s="19"/>
      <c r="F319" s="19"/>
      <c r="G319" s="43"/>
      <c r="H319" s="63">
        <f t="shared" si="7"/>
        <v>0</v>
      </c>
      <c r="I319" s="119"/>
    </row>
    <row r="320" spans="1:9">
      <c r="A320" s="44" t="s">
        <v>556</v>
      </c>
      <c r="B320" s="44">
        <v>60</v>
      </c>
      <c r="C320" s="49">
        <v>2026</v>
      </c>
      <c r="D320" s="46">
        <v>0</v>
      </c>
      <c r="E320" s="47">
        <v>0</v>
      </c>
      <c r="F320" s="47">
        <v>0</v>
      </c>
      <c r="G320" s="48">
        <v>0</v>
      </c>
      <c r="H320" s="63">
        <f t="shared" si="7"/>
        <v>0</v>
      </c>
      <c r="I320" s="119"/>
    </row>
    <row r="321" spans="1:9">
      <c r="A321" s="44" t="s">
        <v>556</v>
      </c>
      <c r="B321" s="44">
        <v>60</v>
      </c>
      <c r="C321" s="49">
        <v>2027</v>
      </c>
      <c r="D321" s="46">
        <v>0</v>
      </c>
      <c r="E321" s="47">
        <v>0</v>
      </c>
      <c r="F321" s="47">
        <v>0</v>
      </c>
      <c r="G321" s="48">
        <v>0</v>
      </c>
      <c r="H321" s="63">
        <f t="shared" si="7"/>
        <v>0</v>
      </c>
      <c r="I321" s="119"/>
    </row>
    <row r="322" spans="1:9">
      <c r="A322" s="44" t="s">
        <v>556</v>
      </c>
      <c r="B322" s="44">
        <v>60</v>
      </c>
      <c r="C322" s="49">
        <v>2028</v>
      </c>
      <c r="D322" s="46">
        <v>0</v>
      </c>
      <c r="E322" s="47">
        <v>0</v>
      </c>
      <c r="F322" s="47">
        <v>0</v>
      </c>
      <c r="G322" s="48">
        <v>0</v>
      </c>
      <c r="H322" s="63">
        <f t="shared" si="7"/>
        <v>0</v>
      </c>
      <c r="I322" s="119"/>
    </row>
    <row r="323" spans="1:9">
      <c r="A323" s="44" t="s">
        <v>556</v>
      </c>
      <c r="B323" s="44">
        <v>60</v>
      </c>
      <c r="C323" s="49">
        <v>2029</v>
      </c>
      <c r="D323" s="46">
        <v>0</v>
      </c>
      <c r="E323" s="47">
        <v>0</v>
      </c>
      <c r="F323" s="47">
        <v>0</v>
      </c>
      <c r="G323" s="48">
        <v>0</v>
      </c>
      <c r="H323" s="63">
        <f t="shared" si="7"/>
        <v>0</v>
      </c>
      <c r="I323" s="119"/>
    </row>
    <row r="324" spans="1:9">
      <c r="A324" s="44" t="s">
        <v>556</v>
      </c>
      <c r="B324" s="44">
        <v>60</v>
      </c>
      <c r="C324" s="49">
        <v>2030</v>
      </c>
      <c r="D324" s="46">
        <v>0</v>
      </c>
      <c r="E324" s="47">
        <v>0</v>
      </c>
      <c r="F324" s="47">
        <v>0</v>
      </c>
      <c r="G324" s="48">
        <v>0</v>
      </c>
      <c r="H324" s="63">
        <f t="shared" si="7"/>
        <v>0</v>
      </c>
      <c r="I324" s="119"/>
    </row>
    <row r="325" spans="1:9">
      <c r="A325" s="44" t="s">
        <v>556</v>
      </c>
      <c r="B325" s="44">
        <v>60</v>
      </c>
      <c r="C325" s="49">
        <v>2031</v>
      </c>
      <c r="D325" s="46">
        <v>0</v>
      </c>
      <c r="E325" s="47">
        <v>0</v>
      </c>
      <c r="F325" s="47">
        <v>0</v>
      </c>
      <c r="G325" s="48">
        <v>0</v>
      </c>
      <c r="H325" s="63">
        <f t="shared" si="7"/>
        <v>0</v>
      </c>
      <c r="I325" s="119"/>
    </row>
    <row r="326" spans="1:9">
      <c r="A326" s="44" t="s">
        <v>556</v>
      </c>
      <c r="B326" s="44">
        <v>60</v>
      </c>
      <c r="C326" s="49">
        <v>2032</v>
      </c>
      <c r="D326" s="46">
        <v>0</v>
      </c>
      <c r="E326" s="47">
        <v>0</v>
      </c>
      <c r="F326" s="47">
        <v>0</v>
      </c>
      <c r="G326" s="48">
        <v>0</v>
      </c>
      <c r="H326" s="63">
        <f t="shared" si="7"/>
        <v>0</v>
      </c>
      <c r="I326" s="119"/>
    </row>
    <row r="327" spans="1:9">
      <c r="A327" s="44" t="s">
        <v>556</v>
      </c>
      <c r="B327" s="44">
        <v>60</v>
      </c>
      <c r="C327" s="49">
        <v>2033</v>
      </c>
      <c r="D327" s="46">
        <v>0</v>
      </c>
      <c r="E327" s="47">
        <v>0</v>
      </c>
      <c r="F327" s="47">
        <v>0</v>
      </c>
      <c r="G327" s="48">
        <v>0</v>
      </c>
      <c r="H327" s="63">
        <f t="shared" si="7"/>
        <v>0</v>
      </c>
      <c r="I327" s="119"/>
    </row>
    <row r="328" spans="1:9">
      <c r="A328" s="44" t="s">
        <v>556</v>
      </c>
      <c r="B328" s="44">
        <v>60</v>
      </c>
      <c r="C328" s="49">
        <v>2034</v>
      </c>
      <c r="D328" s="46">
        <v>0</v>
      </c>
      <c r="E328" s="47">
        <v>0</v>
      </c>
      <c r="F328" s="47">
        <v>0</v>
      </c>
      <c r="G328" s="48">
        <v>42.15381001577142</v>
      </c>
      <c r="H328" s="63">
        <f t="shared" si="7"/>
        <v>42.15381001577142</v>
      </c>
      <c r="I328" s="119"/>
    </row>
    <row r="329" spans="1:9">
      <c r="A329" s="44" t="s">
        <v>556</v>
      </c>
      <c r="B329" s="44">
        <v>60</v>
      </c>
      <c r="C329" s="49">
        <v>2035</v>
      </c>
      <c r="D329" s="46">
        <v>0</v>
      </c>
      <c r="E329" s="47">
        <v>0</v>
      </c>
      <c r="F329" s="47">
        <v>0</v>
      </c>
      <c r="G329" s="48">
        <v>42.99688621608685</v>
      </c>
      <c r="H329" s="63">
        <f t="shared" si="7"/>
        <v>42.99688621608685</v>
      </c>
      <c r="I329" s="119">
        <f>NPV($I$19,H320:H329)/((1-(1+$I$19)^-10)/$I$19)</f>
        <v>6.3833337514667656</v>
      </c>
    </row>
    <row r="330" spans="1:9">
      <c r="A330" s="44"/>
      <c r="B330" s="44" t="s">
        <v>401</v>
      </c>
      <c r="C330" s="49"/>
      <c r="D330" s="46"/>
      <c r="E330" s="47"/>
      <c r="F330" s="47"/>
      <c r="G330" s="48"/>
      <c r="H330" s="63">
        <f t="shared" si="7"/>
        <v>0</v>
      </c>
      <c r="I330" s="119"/>
    </row>
    <row r="331" spans="1:9">
      <c r="A331" s="44" t="s">
        <v>556</v>
      </c>
      <c r="B331" s="44">
        <v>74</v>
      </c>
      <c r="C331" s="49">
        <v>2026</v>
      </c>
      <c r="D331" s="46">
        <v>0</v>
      </c>
      <c r="E331" s="47">
        <v>0</v>
      </c>
      <c r="F331" s="47">
        <v>0</v>
      </c>
      <c r="G331" s="48">
        <v>0</v>
      </c>
      <c r="H331" s="63">
        <f t="shared" si="7"/>
        <v>0</v>
      </c>
      <c r="I331" s="119"/>
    </row>
    <row r="332" spans="1:9">
      <c r="A332" s="44" t="s">
        <v>556</v>
      </c>
      <c r="B332" s="44">
        <v>74</v>
      </c>
      <c r="C332" s="49">
        <v>2027</v>
      </c>
      <c r="D332" s="46">
        <v>0</v>
      </c>
      <c r="E332" s="47">
        <v>0</v>
      </c>
      <c r="F332" s="47">
        <v>0</v>
      </c>
      <c r="G332" s="48">
        <v>0</v>
      </c>
      <c r="H332" s="63">
        <f t="shared" si="7"/>
        <v>0</v>
      </c>
      <c r="I332" s="119"/>
    </row>
    <row r="333" spans="1:9">
      <c r="A333" s="44" t="s">
        <v>556</v>
      </c>
      <c r="B333" s="44">
        <v>74</v>
      </c>
      <c r="C333" s="49">
        <v>2028</v>
      </c>
      <c r="D333" s="46">
        <v>0</v>
      </c>
      <c r="E333" s="47">
        <v>0</v>
      </c>
      <c r="F333" s="47">
        <v>0</v>
      </c>
      <c r="G333" s="48">
        <v>0</v>
      </c>
      <c r="H333" s="63">
        <f t="shared" si="7"/>
        <v>0</v>
      </c>
      <c r="I333" s="119"/>
    </row>
    <row r="334" spans="1:9">
      <c r="A334" s="44" t="s">
        <v>556</v>
      </c>
      <c r="B334" s="44">
        <v>74</v>
      </c>
      <c r="C334" s="49">
        <v>2029</v>
      </c>
      <c r="D334" s="46">
        <v>0</v>
      </c>
      <c r="E334" s="47">
        <v>0</v>
      </c>
      <c r="F334" s="47">
        <v>0</v>
      </c>
      <c r="G334" s="48">
        <v>0</v>
      </c>
      <c r="H334" s="63">
        <f t="shared" si="7"/>
        <v>0</v>
      </c>
      <c r="I334" s="119"/>
    </row>
    <row r="335" spans="1:9">
      <c r="A335" s="44" t="s">
        <v>556</v>
      </c>
      <c r="B335" s="44">
        <v>74</v>
      </c>
      <c r="C335" s="49">
        <v>2030</v>
      </c>
      <c r="D335" s="46">
        <v>0</v>
      </c>
      <c r="E335" s="47">
        <v>0</v>
      </c>
      <c r="F335" s="47">
        <v>0</v>
      </c>
      <c r="G335" s="48">
        <v>0</v>
      </c>
      <c r="H335" s="63">
        <f t="shared" si="7"/>
        <v>0</v>
      </c>
      <c r="I335" s="119"/>
    </row>
    <row r="336" spans="1:9">
      <c r="A336" s="44" t="s">
        <v>556</v>
      </c>
      <c r="B336" s="44">
        <v>74</v>
      </c>
      <c r="C336" s="49">
        <v>2031</v>
      </c>
      <c r="D336" s="46">
        <v>0</v>
      </c>
      <c r="E336" s="47">
        <v>0</v>
      </c>
      <c r="F336" s="47">
        <v>0</v>
      </c>
      <c r="G336" s="48">
        <v>0</v>
      </c>
      <c r="H336" s="63">
        <f t="shared" si="7"/>
        <v>0</v>
      </c>
      <c r="I336" s="119"/>
    </row>
    <row r="337" spans="1:9">
      <c r="A337" s="44" t="s">
        <v>556</v>
      </c>
      <c r="B337" s="44">
        <v>74</v>
      </c>
      <c r="C337" s="49">
        <v>2032</v>
      </c>
      <c r="D337" s="46">
        <v>0</v>
      </c>
      <c r="E337" s="47">
        <v>0</v>
      </c>
      <c r="F337" s="47">
        <v>0</v>
      </c>
      <c r="G337" s="48">
        <v>0</v>
      </c>
      <c r="H337" s="63">
        <f t="shared" si="7"/>
        <v>0</v>
      </c>
      <c r="I337" s="119"/>
    </row>
    <row r="338" spans="1:9">
      <c r="A338" s="44" t="s">
        <v>556</v>
      </c>
      <c r="B338" s="44">
        <v>74</v>
      </c>
      <c r="C338" s="49">
        <v>2033</v>
      </c>
      <c r="D338" s="46">
        <v>0</v>
      </c>
      <c r="E338" s="47">
        <v>0</v>
      </c>
      <c r="F338" s="47">
        <v>0</v>
      </c>
      <c r="G338" s="48">
        <v>0</v>
      </c>
      <c r="H338" s="63">
        <f t="shared" si="7"/>
        <v>0</v>
      </c>
      <c r="I338" s="119"/>
    </row>
    <row r="339" spans="1:9">
      <c r="A339" s="44" t="s">
        <v>556</v>
      </c>
      <c r="B339" s="44">
        <v>74</v>
      </c>
      <c r="C339" s="49">
        <v>2034</v>
      </c>
      <c r="D339" s="46">
        <v>0</v>
      </c>
      <c r="E339" s="47">
        <v>0</v>
      </c>
      <c r="F339" s="47">
        <v>0</v>
      </c>
      <c r="G339" s="48">
        <v>0</v>
      </c>
      <c r="H339" s="63">
        <f t="shared" si="7"/>
        <v>0</v>
      </c>
      <c r="I339" s="119"/>
    </row>
    <row r="340" spans="1:9">
      <c r="A340" s="44" t="s">
        <v>556</v>
      </c>
      <c r="B340" s="44">
        <v>74</v>
      </c>
      <c r="C340" s="49">
        <v>2035</v>
      </c>
      <c r="D340" s="46">
        <v>0</v>
      </c>
      <c r="E340" s="47">
        <v>0</v>
      </c>
      <c r="F340" s="47">
        <v>0</v>
      </c>
      <c r="G340" s="48">
        <v>42.15381001577142</v>
      </c>
      <c r="H340" s="63">
        <f t="shared" si="7"/>
        <v>42.15381001577142</v>
      </c>
      <c r="I340" s="119">
        <f>NPV($I$19,H331:H340)/((1-(1+$I$19)^-10)/$I$19)</f>
        <v>3.0545920571679694</v>
      </c>
    </row>
    <row r="341" spans="1:9">
      <c r="A341" s="44"/>
      <c r="B341" s="44" t="s">
        <v>401</v>
      </c>
      <c r="C341" s="49"/>
      <c r="D341" s="42"/>
      <c r="E341" s="19"/>
      <c r="F341" s="19"/>
      <c r="G341" s="43"/>
      <c r="H341" s="63">
        <f t="shared" si="7"/>
        <v>0</v>
      </c>
      <c r="I341" s="119"/>
    </row>
    <row r="342" spans="1:9">
      <c r="A342" s="44" t="s">
        <v>556</v>
      </c>
      <c r="B342" s="44">
        <v>420</v>
      </c>
      <c r="C342" s="49">
        <v>2026</v>
      </c>
      <c r="D342" s="46">
        <v>0</v>
      </c>
      <c r="E342" s="47">
        <v>0</v>
      </c>
      <c r="F342" s="47">
        <v>0</v>
      </c>
      <c r="G342" s="48">
        <v>0</v>
      </c>
      <c r="H342" s="63">
        <f t="shared" ref="H342:H405" si="8">SUM(D342:G342)</f>
        <v>0</v>
      </c>
      <c r="I342" s="119"/>
    </row>
    <row r="343" spans="1:9">
      <c r="A343" s="44" t="s">
        <v>556</v>
      </c>
      <c r="B343" s="44">
        <v>420</v>
      </c>
      <c r="C343" s="49">
        <v>2027</v>
      </c>
      <c r="D343" s="46">
        <v>0</v>
      </c>
      <c r="E343" s="47">
        <v>0</v>
      </c>
      <c r="F343" s="47">
        <v>0</v>
      </c>
      <c r="G343" s="48">
        <v>0</v>
      </c>
      <c r="H343" s="63">
        <f t="shared" si="8"/>
        <v>0</v>
      </c>
      <c r="I343" s="119"/>
    </row>
    <row r="344" spans="1:9">
      <c r="A344" s="44" t="s">
        <v>556</v>
      </c>
      <c r="B344" s="44">
        <v>420</v>
      </c>
      <c r="C344" s="49">
        <v>2028</v>
      </c>
      <c r="D344" s="46">
        <v>0</v>
      </c>
      <c r="E344" s="47">
        <v>0</v>
      </c>
      <c r="F344" s="47">
        <v>0</v>
      </c>
      <c r="G344" s="48">
        <v>0</v>
      </c>
      <c r="H344" s="63">
        <f t="shared" si="8"/>
        <v>0</v>
      </c>
      <c r="I344" s="119"/>
    </row>
    <row r="345" spans="1:9">
      <c r="A345" s="44" t="s">
        <v>556</v>
      </c>
      <c r="B345" s="44">
        <v>420</v>
      </c>
      <c r="C345" s="49">
        <v>2029</v>
      </c>
      <c r="D345" s="46">
        <v>0</v>
      </c>
      <c r="E345" s="47">
        <v>0</v>
      </c>
      <c r="F345" s="47">
        <v>0</v>
      </c>
      <c r="G345" s="48">
        <v>0</v>
      </c>
      <c r="H345" s="63">
        <f t="shared" si="8"/>
        <v>0</v>
      </c>
      <c r="I345" s="119"/>
    </row>
    <row r="346" spans="1:9">
      <c r="A346" s="44" t="s">
        <v>556</v>
      </c>
      <c r="B346" s="44">
        <v>420</v>
      </c>
      <c r="C346" s="49">
        <v>2030</v>
      </c>
      <c r="D346" s="46">
        <v>0</v>
      </c>
      <c r="E346" s="47">
        <v>0</v>
      </c>
      <c r="F346" s="47">
        <v>0</v>
      </c>
      <c r="G346" s="48">
        <v>0</v>
      </c>
      <c r="H346" s="63">
        <f t="shared" si="8"/>
        <v>0</v>
      </c>
      <c r="I346" s="119"/>
    </row>
    <row r="347" spans="1:9">
      <c r="A347" s="44" t="s">
        <v>556</v>
      </c>
      <c r="B347" s="44">
        <v>420</v>
      </c>
      <c r="C347" s="49">
        <v>2031</v>
      </c>
      <c r="D347" s="46">
        <v>0</v>
      </c>
      <c r="E347" s="47">
        <v>0</v>
      </c>
      <c r="F347" s="47">
        <v>0</v>
      </c>
      <c r="G347" s="48">
        <v>0</v>
      </c>
      <c r="H347" s="63">
        <f t="shared" si="8"/>
        <v>0</v>
      </c>
      <c r="I347" s="119"/>
    </row>
    <row r="348" spans="1:9">
      <c r="A348" s="44" t="s">
        <v>556</v>
      </c>
      <c r="B348" s="44">
        <v>420</v>
      </c>
      <c r="C348" s="49">
        <v>2032</v>
      </c>
      <c r="D348" s="46">
        <v>0</v>
      </c>
      <c r="E348" s="47">
        <v>0</v>
      </c>
      <c r="F348" s="47">
        <v>0</v>
      </c>
      <c r="G348" s="48">
        <v>0</v>
      </c>
      <c r="H348" s="63">
        <f t="shared" si="8"/>
        <v>0</v>
      </c>
      <c r="I348" s="119"/>
    </row>
    <row r="349" spans="1:9">
      <c r="A349" s="44" t="s">
        <v>556</v>
      </c>
      <c r="B349" s="44">
        <v>420</v>
      </c>
      <c r="C349" s="49">
        <v>2033</v>
      </c>
      <c r="D349" s="46">
        <v>0</v>
      </c>
      <c r="E349" s="47">
        <v>0</v>
      </c>
      <c r="F349" s="47">
        <v>0</v>
      </c>
      <c r="G349" s="48">
        <v>0</v>
      </c>
      <c r="H349" s="63">
        <f t="shared" si="8"/>
        <v>0</v>
      </c>
      <c r="I349" s="119"/>
    </row>
    <row r="350" spans="1:9">
      <c r="A350" s="44" t="s">
        <v>556</v>
      </c>
      <c r="B350" s="44">
        <v>420</v>
      </c>
      <c r="C350" s="49">
        <v>2034</v>
      </c>
      <c r="D350" s="46">
        <v>0</v>
      </c>
      <c r="E350" s="47">
        <v>0</v>
      </c>
      <c r="F350" s="47">
        <v>0</v>
      </c>
      <c r="G350" s="48">
        <v>0</v>
      </c>
      <c r="H350" s="63">
        <f t="shared" si="8"/>
        <v>0</v>
      </c>
      <c r="I350" s="119"/>
    </row>
    <row r="351" spans="1:9">
      <c r="A351" s="44" t="s">
        <v>556</v>
      </c>
      <c r="B351" s="44">
        <v>420</v>
      </c>
      <c r="C351" s="49">
        <v>2035</v>
      </c>
      <c r="D351" s="46">
        <v>0</v>
      </c>
      <c r="E351" s="47">
        <v>0</v>
      </c>
      <c r="F351" s="47">
        <v>0</v>
      </c>
      <c r="G351" s="48">
        <v>42.15381001577142</v>
      </c>
      <c r="H351" s="63">
        <f t="shared" si="8"/>
        <v>42.15381001577142</v>
      </c>
      <c r="I351" s="119">
        <f>NPV($I$19,H342:H351)/((1-(1+$I$19)^-10)/$I$19)</f>
        <v>3.0545920571679694</v>
      </c>
    </row>
    <row r="352" spans="1:9">
      <c r="A352" s="44"/>
      <c r="B352" s="44" t="s">
        <v>401</v>
      </c>
      <c r="C352" s="49"/>
      <c r="D352" s="46"/>
      <c r="E352" s="47"/>
      <c r="F352" s="47"/>
      <c r="G352" s="48"/>
      <c r="H352" s="63">
        <f t="shared" si="8"/>
        <v>0</v>
      </c>
      <c r="I352" s="119"/>
    </row>
    <row r="353" spans="1:9">
      <c r="A353" s="44" t="s">
        <v>556</v>
      </c>
      <c r="B353" s="44">
        <v>136</v>
      </c>
      <c r="C353" s="49">
        <v>2026</v>
      </c>
      <c r="D353" s="46">
        <v>0</v>
      </c>
      <c r="E353" s="47">
        <v>0</v>
      </c>
      <c r="F353" s="47">
        <v>0</v>
      </c>
      <c r="G353" s="48">
        <v>0</v>
      </c>
      <c r="H353" s="63">
        <f t="shared" si="8"/>
        <v>0</v>
      </c>
      <c r="I353" s="119"/>
    </row>
    <row r="354" spans="1:9">
      <c r="A354" s="44" t="s">
        <v>556</v>
      </c>
      <c r="B354" s="44">
        <v>136</v>
      </c>
      <c r="C354" s="49">
        <v>2027</v>
      </c>
      <c r="D354" s="46">
        <v>0</v>
      </c>
      <c r="E354" s="47">
        <v>0</v>
      </c>
      <c r="F354" s="47">
        <v>0</v>
      </c>
      <c r="G354" s="48">
        <v>0</v>
      </c>
      <c r="H354" s="63">
        <f t="shared" si="8"/>
        <v>0</v>
      </c>
      <c r="I354" s="119"/>
    </row>
    <row r="355" spans="1:9">
      <c r="A355" s="44" t="s">
        <v>556</v>
      </c>
      <c r="B355" s="44">
        <v>136</v>
      </c>
      <c r="C355" s="49">
        <v>2028</v>
      </c>
      <c r="D355" s="46">
        <v>0</v>
      </c>
      <c r="E355" s="47">
        <v>0</v>
      </c>
      <c r="F355" s="47">
        <v>0</v>
      </c>
      <c r="G355" s="48">
        <v>0</v>
      </c>
      <c r="H355" s="63">
        <f t="shared" si="8"/>
        <v>0</v>
      </c>
      <c r="I355" s="119"/>
    </row>
    <row r="356" spans="1:9">
      <c r="A356" s="44" t="s">
        <v>556</v>
      </c>
      <c r="B356" s="44">
        <v>136</v>
      </c>
      <c r="C356" s="49">
        <v>2029</v>
      </c>
      <c r="D356" s="46">
        <v>0</v>
      </c>
      <c r="E356" s="47">
        <v>0</v>
      </c>
      <c r="F356" s="47">
        <v>0</v>
      </c>
      <c r="G356" s="48">
        <v>0</v>
      </c>
      <c r="H356" s="63">
        <f t="shared" si="8"/>
        <v>0</v>
      </c>
      <c r="I356" s="119"/>
    </row>
    <row r="357" spans="1:9">
      <c r="A357" s="44" t="s">
        <v>556</v>
      </c>
      <c r="B357" s="44">
        <v>136</v>
      </c>
      <c r="C357" s="49">
        <v>2030</v>
      </c>
      <c r="D357" s="46">
        <v>0</v>
      </c>
      <c r="E357" s="47">
        <v>0</v>
      </c>
      <c r="F357" s="47">
        <v>0</v>
      </c>
      <c r="G357" s="48">
        <v>0</v>
      </c>
      <c r="H357" s="63">
        <f t="shared" si="8"/>
        <v>0</v>
      </c>
      <c r="I357" s="119"/>
    </row>
    <row r="358" spans="1:9">
      <c r="A358" s="44" t="s">
        <v>556</v>
      </c>
      <c r="B358" s="44">
        <v>136</v>
      </c>
      <c r="C358" s="49">
        <v>2031</v>
      </c>
      <c r="D358" s="46">
        <v>0</v>
      </c>
      <c r="E358" s="47">
        <v>0</v>
      </c>
      <c r="F358" s="47">
        <v>0</v>
      </c>
      <c r="G358" s="48">
        <v>0</v>
      </c>
      <c r="H358" s="63">
        <f t="shared" si="8"/>
        <v>0</v>
      </c>
      <c r="I358" s="119"/>
    </row>
    <row r="359" spans="1:9">
      <c r="A359" s="44" t="s">
        <v>556</v>
      </c>
      <c r="B359" s="44">
        <v>136</v>
      </c>
      <c r="C359" s="49">
        <v>2032</v>
      </c>
      <c r="D359" s="46">
        <v>0</v>
      </c>
      <c r="E359" s="47">
        <v>0</v>
      </c>
      <c r="F359" s="47">
        <v>0</v>
      </c>
      <c r="G359" s="48">
        <v>0</v>
      </c>
      <c r="H359" s="63">
        <f t="shared" si="8"/>
        <v>0</v>
      </c>
      <c r="I359" s="119"/>
    </row>
    <row r="360" spans="1:9">
      <c r="A360" s="44" t="s">
        <v>556</v>
      </c>
      <c r="B360" s="44">
        <v>136</v>
      </c>
      <c r="C360" s="49">
        <v>2033</v>
      </c>
      <c r="D360" s="46">
        <v>0</v>
      </c>
      <c r="E360" s="47">
        <v>0</v>
      </c>
      <c r="F360" s="47">
        <v>0</v>
      </c>
      <c r="G360" s="48">
        <v>0</v>
      </c>
      <c r="H360" s="63">
        <f t="shared" si="8"/>
        <v>0</v>
      </c>
      <c r="I360" s="119"/>
    </row>
    <row r="361" spans="1:9">
      <c r="A361" s="44" t="s">
        <v>556</v>
      </c>
      <c r="B361" s="44">
        <v>136</v>
      </c>
      <c r="C361" s="49">
        <v>2034</v>
      </c>
      <c r="D361" s="46">
        <v>0</v>
      </c>
      <c r="E361" s="47">
        <v>0</v>
      </c>
      <c r="F361" s="47">
        <v>0</v>
      </c>
      <c r="G361" s="48">
        <v>0</v>
      </c>
      <c r="H361" s="63">
        <f t="shared" si="8"/>
        <v>0</v>
      </c>
      <c r="I361" s="119"/>
    </row>
    <row r="362" spans="1:9">
      <c r="A362" s="44" t="s">
        <v>556</v>
      </c>
      <c r="B362" s="44">
        <v>136</v>
      </c>
      <c r="C362" s="49">
        <v>2035</v>
      </c>
      <c r="D362" s="46">
        <v>0</v>
      </c>
      <c r="E362" s="47">
        <v>0</v>
      </c>
      <c r="F362" s="47">
        <v>0</v>
      </c>
      <c r="G362" s="48">
        <v>36.884583763799995</v>
      </c>
      <c r="H362" s="63">
        <f t="shared" si="8"/>
        <v>36.884583763799995</v>
      </c>
      <c r="I362" s="119">
        <f>NPV($I$19,H353:H362)/((1-(1+$I$19)^-10)/$I$19)</f>
        <v>2.6727680500219742</v>
      </c>
    </row>
    <row r="363" spans="1:9">
      <c r="A363" s="44"/>
      <c r="B363" s="44" t="s">
        <v>401</v>
      </c>
      <c r="C363" s="49"/>
      <c r="D363" s="42"/>
      <c r="E363" s="19"/>
      <c r="F363" s="19"/>
      <c r="G363" s="43"/>
      <c r="H363" s="63">
        <f t="shared" si="8"/>
        <v>0</v>
      </c>
      <c r="I363" s="119"/>
    </row>
    <row r="364" spans="1:9">
      <c r="A364" s="44" t="s">
        <v>556</v>
      </c>
      <c r="B364" s="44">
        <v>46</v>
      </c>
      <c r="C364" s="49">
        <v>2026</v>
      </c>
      <c r="D364" s="46">
        <v>0</v>
      </c>
      <c r="E364" s="47">
        <v>0</v>
      </c>
      <c r="F364" s="47">
        <v>0</v>
      </c>
      <c r="G364" s="48">
        <v>0</v>
      </c>
      <c r="H364" s="63">
        <f t="shared" si="8"/>
        <v>0</v>
      </c>
      <c r="I364" s="119"/>
    </row>
    <row r="365" spans="1:9">
      <c r="A365" s="44" t="s">
        <v>556</v>
      </c>
      <c r="B365" s="44">
        <v>46</v>
      </c>
      <c r="C365" s="49">
        <v>2027</v>
      </c>
      <c r="D365" s="46">
        <v>0</v>
      </c>
      <c r="E365" s="47">
        <v>0</v>
      </c>
      <c r="F365" s="47">
        <v>0</v>
      </c>
      <c r="G365" s="48">
        <v>0</v>
      </c>
      <c r="H365" s="63">
        <f t="shared" si="8"/>
        <v>0</v>
      </c>
      <c r="I365" s="119"/>
    </row>
    <row r="366" spans="1:9">
      <c r="A366" s="44" t="s">
        <v>556</v>
      </c>
      <c r="B366" s="44">
        <v>46</v>
      </c>
      <c r="C366" s="49">
        <v>2028</v>
      </c>
      <c r="D366" s="46">
        <v>0</v>
      </c>
      <c r="E366" s="47">
        <v>0</v>
      </c>
      <c r="F366" s="47">
        <v>0</v>
      </c>
      <c r="G366" s="48">
        <v>0</v>
      </c>
      <c r="H366" s="63">
        <f t="shared" si="8"/>
        <v>0</v>
      </c>
      <c r="I366" s="119"/>
    </row>
    <row r="367" spans="1:9">
      <c r="A367" s="44" t="s">
        <v>556</v>
      </c>
      <c r="B367" s="44">
        <v>46</v>
      </c>
      <c r="C367" s="49">
        <v>2029</v>
      </c>
      <c r="D367" s="46">
        <v>0</v>
      </c>
      <c r="E367" s="47">
        <v>0</v>
      </c>
      <c r="F367" s="47">
        <v>0</v>
      </c>
      <c r="G367" s="48">
        <v>0</v>
      </c>
      <c r="H367" s="63">
        <f t="shared" si="8"/>
        <v>0</v>
      </c>
      <c r="I367" s="119"/>
    </row>
    <row r="368" spans="1:9">
      <c r="A368" s="44" t="s">
        <v>556</v>
      </c>
      <c r="B368" s="44">
        <v>46</v>
      </c>
      <c r="C368" s="49">
        <v>2030</v>
      </c>
      <c r="D368" s="46">
        <v>0</v>
      </c>
      <c r="E368" s="47">
        <v>0</v>
      </c>
      <c r="F368" s="47">
        <v>0</v>
      </c>
      <c r="G368" s="48">
        <v>0</v>
      </c>
      <c r="H368" s="63">
        <f t="shared" si="8"/>
        <v>0</v>
      </c>
      <c r="I368" s="119"/>
    </row>
    <row r="369" spans="1:9">
      <c r="A369" s="44" t="s">
        <v>556</v>
      </c>
      <c r="B369" s="44">
        <v>46</v>
      </c>
      <c r="C369" s="49">
        <v>2031</v>
      </c>
      <c r="D369" s="46">
        <v>0</v>
      </c>
      <c r="E369" s="47">
        <v>0</v>
      </c>
      <c r="F369" s="47">
        <v>30.057757194964015</v>
      </c>
      <c r="G369" s="48">
        <v>0</v>
      </c>
      <c r="H369" s="63">
        <f t="shared" si="8"/>
        <v>30.057757194964015</v>
      </c>
      <c r="I369" s="119"/>
    </row>
    <row r="370" spans="1:9">
      <c r="A370" s="44" t="s">
        <v>556</v>
      </c>
      <c r="B370" s="44">
        <v>46</v>
      </c>
      <c r="C370" s="49">
        <v>2032</v>
      </c>
      <c r="D370" s="46">
        <v>0</v>
      </c>
      <c r="E370" s="47">
        <v>0</v>
      </c>
      <c r="F370" s="47">
        <v>88.500381140558517</v>
      </c>
      <c r="G370" s="48">
        <v>0</v>
      </c>
      <c r="H370" s="63">
        <f t="shared" si="8"/>
        <v>88.500381140558517</v>
      </c>
      <c r="I370" s="119"/>
    </row>
    <row r="371" spans="1:9">
      <c r="A371" s="44" t="s">
        <v>556</v>
      </c>
      <c r="B371" s="44">
        <v>46</v>
      </c>
      <c r="C371" s="49">
        <v>2033</v>
      </c>
      <c r="D371" s="46">
        <v>0</v>
      </c>
      <c r="E371" s="47">
        <v>0</v>
      </c>
      <c r="F371" s="47">
        <v>181.98865003349181</v>
      </c>
      <c r="G371" s="48">
        <v>0</v>
      </c>
      <c r="H371" s="63">
        <f t="shared" si="8"/>
        <v>181.98865003349181</v>
      </c>
      <c r="I371" s="119"/>
    </row>
    <row r="372" spans="1:9">
      <c r="A372" s="44" t="s">
        <v>556</v>
      </c>
      <c r="B372" s="44">
        <v>46</v>
      </c>
      <c r="C372" s="49">
        <v>2034</v>
      </c>
      <c r="D372" s="46">
        <v>0</v>
      </c>
      <c r="E372" s="47">
        <v>0</v>
      </c>
      <c r="F372" s="47">
        <v>266.43977511458274</v>
      </c>
      <c r="G372" s="48">
        <v>0</v>
      </c>
      <c r="H372" s="63">
        <f t="shared" si="8"/>
        <v>266.43977511458274</v>
      </c>
      <c r="I372" s="119"/>
    </row>
    <row r="373" spans="1:9">
      <c r="A373" s="44" t="s">
        <v>556</v>
      </c>
      <c r="B373" s="44">
        <v>46</v>
      </c>
      <c r="C373" s="49">
        <v>2035</v>
      </c>
      <c r="D373" s="46">
        <v>0</v>
      </c>
      <c r="E373" s="47">
        <v>0</v>
      </c>
      <c r="F373" s="47">
        <v>304.12585335688084</v>
      </c>
      <c r="G373" s="48">
        <v>0</v>
      </c>
      <c r="H373" s="63">
        <f t="shared" si="8"/>
        <v>304.12585335688084</v>
      </c>
      <c r="I373" s="119">
        <f>NPV($I$19,H364:H373)/((1-(1+$I$19)^-10)/$I$19)</f>
        <v>68.485867761409352</v>
      </c>
    </row>
    <row r="374" spans="1:9">
      <c r="A374" s="44"/>
      <c r="B374" s="44" t="s">
        <v>401</v>
      </c>
      <c r="C374" s="49"/>
      <c r="D374" s="46"/>
      <c r="E374" s="47"/>
      <c r="F374" s="47"/>
      <c r="G374" s="48"/>
      <c r="H374" s="63">
        <f t="shared" si="8"/>
        <v>0</v>
      </c>
      <c r="I374" s="119"/>
    </row>
    <row r="375" spans="1:9">
      <c r="A375" s="44" t="s">
        <v>556</v>
      </c>
      <c r="B375" s="44">
        <v>65</v>
      </c>
      <c r="C375" s="49">
        <v>2026</v>
      </c>
      <c r="D375" s="46">
        <v>0</v>
      </c>
      <c r="E375" s="47">
        <v>0</v>
      </c>
      <c r="F375" s="47">
        <v>0</v>
      </c>
      <c r="G375" s="48">
        <v>0</v>
      </c>
      <c r="H375" s="63">
        <f t="shared" si="8"/>
        <v>0</v>
      </c>
      <c r="I375" s="119"/>
    </row>
    <row r="376" spans="1:9">
      <c r="A376" s="44" t="s">
        <v>556</v>
      </c>
      <c r="B376" s="44">
        <v>65</v>
      </c>
      <c r="C376" s="49">
        <v>2027</v>
      </c>
      <c r="D376" s="46">
        <v>0</v>
      </c>
      <c r="E376" s="47">
        <v>0</v>
      </c>
      <c r="F376" s="47">
        <v>0</v>
      </c>
      <c r="G376" s="48">
        <v>0</v>
      </c>
      <c r="H376" s="63">
        <f t="shared" si="8"/>
        <v>0</v>
      </c>
      <c r="I376" s="119"/>
    </row>
    <row r="377" spans="1:9">
      <c r="A377" s="44" t="s">
        <v>556</v>
      </c>
      <c r="B377" s="44">
        <v>65</v>
      </c>
      <c r="C377" s="49">
        <v>2028</v>
      </c>
      <c r="D377" s="46">
        <v>0</v>
      </c>
      <c r="E377" s="47">
        <v>0</v>
      </c>
      <c r="F377" s="47">
        <v>0</v>
      </c>
      <c r="G377" s="48">
        <v>0</v>
      </c>
      <c r="H377" s="63">
        <f t="shared" si="8"/>
        <v>0</v>
      </c>
      <c r="I377" s="119"/>
    </row>
    <row r="378" spans="1:9">
      <c r="A378" s="44" t="s">
        <v>556</v>
      </c>
      <c r="B378" s="44">
        <v>65</v>
      </c>
      <c r="C378" s="49">
        <v>2029</v>
      </c>
      <c r="D378" s="46">
        <v>0</v>
      </c>
      <c r="E378" s="47">
        <v>0</v>
      </c>
      <c r="F378" s="47">
        <v>0</v>
      </c>
      <c r="G378" s="48">
        <v>0</v>
      </c>
      <c r="H378" s="63">
        <f t="shared" si="8"/>
        <v>0</v>
      </c>
      <c r="I378" s="119"/>
    </row>
    <row r="379" spans="1:9">
      <c r="A379" s="44" t="s">
        <v>556</v>
      </c>
      <c r="B379" s="44">
        <v>65</v>
      </c>
      <c r="C379" s="49">
        <v>2030</v>
      </c>
      <c r="D379" s="46">
        <v>0</v>
      </c>
      <c r="E379" s="47">
        <v>0</v>
      </c>
      <c r="F379" s="47">
        <v>0</v>
      </c>
      <c r="G379" s="48">
        <v>58.937271410939672</v>
      </c>
      <c r="H379" s="63">
        <f t="shared" si="8"/>
        <v>58.937271410939672</v>
      </c>
      <c r="I379" s="119"/>
    </row>
    <row r="380" spans="1:9">
      <c r="A380" s="44" t="s">
        <v>556</v>
      </c>
      <c r="B380" s="44">
        <v>65</v>
      </c>
      <c r="C380" s="49">
        <v>2031</v>
      </c>
      <c r="D380" s="46">
        <v>0</v>
      </c>
      <c r="E380" s="47">
        <v>0</v>
      </c>
      <c r="F380" s="47">
        <v>20.488823961816237</v>
      </c>
      <c r="G380" s="48">
        <v>60.116016839158469</v>
      </c>
      <c r="H380" s="63">
        <f t="shared" si="8"/>
        <v>80.604840800974699</v>
      </c>
      <c r="I380" s="119"/>
    </row>
    <row r="381" spans="1:9">
      <c r="A381" s="44" t="s">
        <v>556</v>
      </c>
      <c r="B381" s="44">
        <v>65</v>
      </c>
      <c r="C381" s="49">
        <v>2032</v>
      </c>
      <c r="D381" s="46">
        <v>0</v>
      </c>
      <c r="E381" s="47">
        <v>0</v>
      </c>
      <c r="F381" s="47">
        <v>60.326663594869061</v>
      </c>
      <c r="G381" s="48">
        <v>61.318337175941636</v>
      </c>
      <c r="H381" s="63">
        <f t="shared" si="8"/>
        <v>121.6450007708107</v>
      </c>
      <c r="I381" s="119"/>
    </row>
    <row r="382" spans="1:9">
      <c r="A382" s="44" t="s">
        <v>556</v>
      </c>
      <c r="B382" s="44">
        <v>65</v>
      </c>
      <c r="C382" s="49">
        <v>2033</v>
      </c>
      <c r="D382" s="46">
        <v>0</v>
      </c>
      <c r="E382" s="47">
        <v>0</v>
      </c>
      <c r="F382" s="47">
        <v>127.29337076893907</v>
      </c>
      <c r="G382" s="48">
        <v>62.544703919460467</v>
      </c>
      <c r="H382" s="63">
        <f t="shared" si="8"/>
        <v>189.83807468839953</v>
      </c>
      <c r="I382" s="119"/>
    </row>
    <row r="383" spans="1:9">
      <c r="A383" s="44" t="s">
        <v>556</v>
      </c>
      <c r="B383" s="44">
        <v>65</v>
      </c>
      <c r="C383" s="49">
        <v>2034</v>
      </c>
      <c r="D383" s="46">
        <v>0</v>
      </c>
      <c r="E383" s="47">
        <v>48.214070727298065</v>
      </c>
      <c r="F383" s="47">
        <v>184.9251475256938</v>
      </c>
      <c r="G383" s="48">
        <v>63.795597997849676</v>
      </c>
      <c r="H383" s="63">
        <f t="shared" si="8"/>
        <v>296.93481625084155</v>
      </c>
      <c r="I383" s="119"/>
    </row>
    <row r="384" spans="1:9">
      <c r="A384" s="44" t="s">
        <v>556</v>
      </c>
      <c r="B384" s="44">
        <v>65</v>
      </c>
      <c r="C384" s="49">
        <v>2035</v>
      </c>
      <c r="D384" s="46">
        <v>0</v>
      </c>
      <c r="E384" s="47">
        <v>49.17835214184403</v>
      </c>
      <c r="F384" s="47">
        <v>210.6799424890323</v>
      </c>
      <c r="G384" s="48">
        <v>65.071509957806668</v>
      </c>
      <c r="H384" s="63">
        <f t="shared" si="8"/>
        <v>324.929804588683</v>
      </c>
      <c r="I384" s="119">
        <f>NPV($I$19,H375:H384)/((1-(1+$I$19)^-10)/$I$19)</f>
        <v>86.728055976739626</v>
      </c>
    </row>
    <row r="385" spans="1:9">
      <c r="A385" s="44"/>
      <c r="B385" s="44" t="s">
        <v>401</v>
      </c>
      <c r="C385" s="49"/>
      <c r="D385" s="42"/>
      <c r="E385" s="19"/>
      <c r="F385" s="19"/>
      <c r="G385" s="43"/>
      <c r="H385" s="63">
        <f t="shared" si="8"/>
        <v>0</v>
      </c>
      <c r="I385" s="119"/>
    </row>
    <row r="386" spans="1:9">
      <c r="A386" s="44" t="s">
        <v>556</v>
      </c>
      <c r="B386" s="44">
        <v>69</v>
      </c>
      <c r="C386" s="49">
        <v>2026</v>
      </c>
      <c r="D386" s="46">
        <v>0</v>
      </c>
      <c r="E386" s="47">
        <v>0</v>
      </c>
      <c r="F386" s="47">
        <v>0</v>
      </c>
      <c r="G386" s="48">
        <v>0</v>
      </c>
      <c r="H386" s="63">
        <f t="shared" si="8"/>
        <v>0</v>
      </c>
      <c r="I386" s="119"/>
    </row>
    <row r="387" spans="1:9">
      <c r="A387" s="44" t="s">
        <v>556</v>
      </c>
      <c r="B387" s="44">
        <v>69</v>
      </c>
      <c r="C387" s="49">
        <v>2027</v>
      </c>
      <c r="D387" s="46">
        <v>0</v>
      </c>
      <c r="E387" s="47">
        <v>0</v>
      </c>
      <c r="F387" s="47">
        <v>0</v>
      </c>
      <c r="G387" s="48">
        <v>0</v>
      </c>
      <c r="H387" s="63">
        <f t="shared" si="8"/>
        <v>0</v>
      </c>
      <c r="I387" s="119"/>
    </row>
    <row r="388" spans="1:9">
      <c r="A388" s="44" t="s">
        <v>556</v>
      </c>
      <c r="B388" s="44">
        <v>69</v>
      </c>
      <c r="C388" s="49">
        <v>2028</v>
      </c>
      <c r="D388" s="46">
        <v>0</v>
      </c>
      <c r="E388" s="47">
        <v>0</v>
      </c>
      <c r="F388" s="47">
        <v>0</v>
      </c>
      <c r="G388" s="48">
        <v>0</v>
      </c>
      <c r="H388" s="63">
        <f t="shared" si="8"/>
        <v>0</v>
      </c>
      <c r="I388" s="119"/>
    </row>
    <row r="389" spans="1:9">
      <c r="A389" s="44" t="s">
        <v>556</v>
      </c>
      <c r="B389" s="44">
        <v>69</v>
      </c>
      <c r="C389" s="49">
        <v>2029</v>
      </c>
      <c r="D389" s="46">
        <v>0</v>
      </c>
      <c r="E389" s="47">
        <v>0</v>
      </c>
      <c r="F389" s="47">
        <v>0</v>
      </c>
      <c r="G389" s="48">
        <v>0</v>
      </c>
      <c r="H389" s="63">
        <f t="shared" si="8"/>
        <v>0</v>
      </c>
      <c r="I389" s="119"/>
    </row>
    <row r="390" spans="1:9">
      <c r="A390" s="44" t="s">
        <v>556</v>
      </c>
      <c r="B390" s="44">
        <v>69</v>
      </c>
      <c r="C390" s="49">
        <v>2030</v>
      </c>
      <c r="D390" s="46">
        <v>0</v>
      </c>
      <c r="E390" s="47">
        <v>0</v>
      </c>
      <c r="F390" s="47">
        <v>0</v>
      </c>
      <c r="G390" s="48">
        <v>31.875566215629629</v>
      </c>
      <c r="H390" s="63">
        <f t="shared" si="8"/>
        <v>31.875566215629629</v>
      </c>
      <c r="I390" s="119"/>
    </row>
    <row r="391" spans="1:9">
      <c r="A391" s="44" t="s">
        <v>556</v>
      </c>
      <c r="B391" s="44">
        <v>69</v>
      </c>
      <c r="C391" s="49">
        <v>2031</v>
      </c>
      <c r="D391" s="46">
        <v>0</v>
      </c>
      <c r="E391" s="47">
        <v>0</v>
      </c>
      <c r="F391" s="47">
        <v>0</v>
      </c>
      <c r="G391" s="48">
        <v>32.513077539942223</v>
      </c>
      <c r="H391" s="63">
        <f t="shared" si="8"/>
        <v>32.513077539942223</v>
      </c>
      <c r="I391" s="119"/>
    </row>
    <row r="392" spans="1:9">
      <c r="A392" s="44" t="s">
        <v>556</v>
      </c>
      <c r="B392" s="44">
        <v>69</v>
      </c>
      <c r="C392" s="49">
        <v>2032</v>
      </c>
      <c r="D392" s="46">
        <v>0</v>
      </c>
      <c r="E392" s="47">
        <v>0</v>
      </c>
      <c r="F392" s="47">
        <v>0</v>
      </c>
      <c r="G392" s="48">
        <v>33.163339090741069</v>
      </c>
      <c r="H392" s="63">
        <f t="shared" si="8"/>
        <v>33.163339090741069</v>
      </c>
      <c r="I392" s="119"/>
    </row>
    <row r="393" spans="1:9">
      <c r="A393" s="44" t="s">
        <v>556</v>
      </c>
      <c r="B393" s="44">
        <v>69</v>
      </c>
      <c r="C393" s="49">
        <v>2033</v>
      </c>
      <c r="D393" s="46">
        <v>0</v>
      </c>
      <c r="E393" s="47">
        <v>0</v>
      </c>
      <c r="F393" s="47">
        <v>0</v>
      </c>
      <c r="G393" s="48">
        <v>33.826605872555888</v>
      </c>
      <c r="H393" s="63">
        <f t="shared" si="8"/>
        <v>33.826605872555888</v>
      </c>
      <c r="I393" s="119"/>
    </row>
    <row r="394" spans="1:9">
      <c r="A394" s="44" t="s">
        <v>556</v>
      </c>
      <c r="B394" s="44">
        <v>69</v>
      </c>
      <c r="C394" s="49">
        <v>2034</v>
      </c>
      <c r="D394" s="46">
        <v>0</v>
      </c>
      <c r="E394" s="47">
        <v>0</v>
      </c>
      <c r="F394" s="47">
        <v>0</v>
      </c>
      <c r="G394" s="48">
        <v>34.503137990007005</v>
      </c>
      <c r="H394" s="63">
        <f t="shared" si="8"/>
        <v>34.503137990007005</v>
      </c>
      <c r="I394" s="119"/>
    </row>
    <row r="395" spans="1:9">
      <c r="A395" s="44" t="s">
        <v>556</v>
      </c>
      <c r="B395" s="44">
        <v>69</v>
      </c>
      <c r="C395" s="49">
        <v>2035</v>
      </c>
      <c r="D395" s="46">
        <v>0</v>
      </c>
      <c r="E395" s="47">
        <v>0</v>
      </c>
      <c r="F395" s="47">
        <v>34.200740116712709</v>
      </c>
      <c r="G395" s="48">
        <v>35.193200749807147</v>
      </c>
      <c r="H395" s="63">
        <f t="shared" si="8"/>
        <v>69.393940866519856</v>
      </c>
      <c r="I395" s="119">
        <f>NPV($I$19,H386:H395)/((1-(1+$I$19)^-10)/$I$19)</f>
        <v>19.771158190949997</v>
      </c>
    </row>
    <row r="396" spans="1:9">
      <c r="A396" s="44"/>
      <c r="B396" s="44" t="s">
        <v>401</v>
      </c>
      <c r="C396" s="49"/>
      <c r="D396" s="46"/>
      <c r="E396" s="47"/>
      <c r="F396" s="47"/>
      <c r="G396" s="48"/>
      <c r="H396" s="63">
        <f t="shared" si="8"/>
        <v>0</v>
      </c>
      <c r="I396" s="119"/>
    </row>
    <row r="397" spans="1:9">
      <c r="A397" s="44" t="s">
        <v>556</v>
      </c>
      <c r="B397" s="44">
        <v>70</v>
      </c>
      <c r="C397" s="49">
        <v>2026</v>
      </c>
      <c r="D397" s="46">
        <v>0</v>
      </c>
      <c r="E397" s="47">
        <v>0</v>
      </c>
      <c r="F397" s="47">
        <v>0</v>
      </c>
      <c r="G397" s="48">
        <v>0</v>
      </c>
      <c r="H397" s="63">
        <f t="shared" si="8"/>
        <v>0</v>
      </c>
      <c r="I397" s="119"/>
    </row>
    <row r="398" spans="1:9">
      <c r="A398" s="44" t="s">
        <v>556</v>
      </c>
      <c r="B398" s="44">
        <v>70</v>
      </c>
      <c r="C398" s="49">
        <v>2027</v>
      </c>
      <c r="D398" s="46">
        <v>0</v>
      </c>
      <c r="E398" s="47">
        <v>0</v>
      </c>
      <c r="F398" s="47">
        <v>0</v>
      </c>
      <c r="G398" s="48">
        <v>0</v>
      </c>
      <c r="H398" s="63">
        <f t="shared" si="8"/>
        <v>0</v>
      </c>
      <c r="I398" s="119"/>
    </row>
    <row r="399" spans="1:9">
      <c r="A399" s="44" t="s">
        <v>556</v>
      </c>
      <c r="B399" s="44">
        <v>70</v>
      </c>
      <c r="C399" s="49">
        <v>2028</v>
      </c>
      <c r="D399" s="46">
        <v>0</v>
      </c>
      <c r="E399" s="47">
        <v>0</v>
      </c>
      <c r="F399" s="47">
        <v>0</v>
      </c>
      <c r="G399" s="48">
        <v>0</v>
      </c>
      <c r="H399" s="63">
        <f t="shared" si="8"/>
        <v>0</v>
      </c>
      <c r="I399" s="119"/>
    </row>
    <row r="400" spans="1:9">
      <c r="A400" s="44" t="s">
        <v>556</v>
      </c>
      <c r="B400" s="44">
        <v>70</v>
      </c>
      <c r="C400" s="49">
        <v>2029</v>
      </c>
      <c r="D400" s="46">
        <v>0</v>
      </c>
      <c r="E400" s="47">
        <v>0</v>
      </c>
      <c r="F400" s="47">
        <v>0</v>
      </c>
      <c r="G400" s="48">
        <v>0</v>
      </c>
      <c r="H400" s="63">
        <f t="shared" si="8"/>
        <v>0</v>
      </c>
      <c r="I400" s="119"/>
    </row>
    <row r="401" spans="1:9">
      <c r="A401" s="44" t="s">
        <v>556</v>
      </c>
      <c r="B401" s="44">
        <v>70</v>
      </c>
      <c r="C401" s="49">
        <v>2030</v>
      </c>
      <c r="D401" s="46">
        <v>0</v>
      </c>
      <c r="E401" s="47">
        <v>0</v>
      </c>
      <c r="F401" s="47">
        <v>0</v>
      </c>
      <c r="G401" s="48">
        <v>31.875566215629629</v>
      </c>
      <c r="H401" s="63">
        <f t="shared" si="8"/>
        <v>31.875566215629629</v>
      </c>
      <c r="I401" s="119"/>
    </row>
    <row r="402" spans="1:9">
      <c r="A402" s="44" t="s">
        <v>556</v>
      </c>
      <c r="B402" s="44">
        <v>70</v>
      </c>
      <c r="C402" s="49">
        <v>2031</v>
      </c>
      <c r="D402" s="46">
        <v>0</v>
      </c>
      <c r="E402" s="47">
        <v>0</v>
      </c>
      <c r="F402" s="47">
        <v>0</v>
      </c>
      <c r="G402" s="48">
        <v>32.513077539942223</v>
      </c>
      <c r="H402" s="63">
        <f t="shared" si="8"/>
        <v>32.513077539942223</v>
      </c>
      <c r="I402" s="119"/>
    </row>
    <row r="403" spans="1:9">
      <c r="A403" s="44" t="s">
        <v>556</v>
      </c>
      <c r="B403" s="44">
        <v>70</v>
      </c>
      <c r="C403" s="49">
        <v>2032</v>
      </c>
      <c r="D403" s="46">
        <v>0</v>
      </c>
      <c r="E403" s="47">
        <v>0</v>
      </c>
      <c r="F403" s="47">
        <v>0</v>
      </c>
      <c r="G403" s="48">
        <v>33.163339090741069</v>
      </c>
      <c r="H403" s="63">
        <f t="shared" si="8"/>
        <v>33.163339090741069</v>
      </c>
      <c r="I403" s="119"/>
    </row>
    <row r="404" spans="1:9">
      <c r="A404" s="44" t="s">
        <v>556</v>
      </c>
      <c r="B404" s="44">
        <v>70</v>
      </c>
      <c r="C404" s="49">
        <v>2033</v>
      </c>
      <c r="D404" s="46">
        <v>0</v>
      </c>
      <c r="E404" s="47">
        <v>0</v>
      </c>
      <c r="F404" s="47">
        <v>96.58736620331149</v>
      </c>
      <c r="G404" s="48">
        <v>33.826605872555888</v>
      </c>
      <c r="H404" s="63">
        <f t="shared" si="8"/>
        <v>130.41397207586738</v>
      </c>
      <c r="I404" s="119"/>
    </row>
    <row r="405" spans="1:9">
      <c r="A405" s="44" t="s">
        <v>556</v>
      </c>
      <c r="B405" s="44">
        <v>70</v>
      </c>
      <c r="C405" s="49">
        <v>2034</v>
      </c>
      <c r="D405" s="46">
        <v>0</v>
      </c>
      <c r="E405" s="47">
        <v>48.214070727298065</v>
      </c>
      <c r="F405" s="47">
        <v>177.27387634214756</v>
      </c>
      <c r="G405" s="48">
        <v>34.503137990007005</v>
      </c>
      <c r="H405" s="63">
        <f t="shared" si="8"/>
        <v>259.99108505945264</v>
      </c>
      <c r="I405" s="119"/>
    </row>
    <row r="406" spans="1:9">
      <c r="A406" s="44" t="s">
        <v>556</v>
      </c>
      <c r="B406" s="44">
        <v>70</v>
      </c>
      <c r="C406" s="49">
        <v>2035</v>
      </c>
      <c r="D406" s="46">
        <v>0</v>
      </c>
      <c r="E406" s="47">
        <v>49.17835214184403</v>
      </c>
      <c r="F406" s="47">
        <v>214.19046949634199</v>
      </c>
      <c r="G406" s="48">
        <v>35.193200749807147</v>
      </c>
      <c r="H406" s="63">
        <f t="shared" ref="H406:H469" si="9">SUM(D406:G406)</f>
        <v>298.56202238799318</v>
      </c>
      <c r="I406" s="119">
        <f>NPV($I$19,H397:H406)/((1-(1+$I$19)^-10)/$I$19)</f>
        <v>61.86601049765374</v>
      </c>
    </row>
    <row r="407" spans="1:9">
      <c r="A407" s="44"/>
      <c r="B407" s="44" t="s">
        <v>401</v>
      </c>
      <c r="C407" s="49"/>
      <c r="D407" s="42"/>
      <c r="E407" s="19"/>
      <c r="F407" s="19"/>
      <c r="G407" s="43"/>
      <c r="H407" s="63">
        <f t="shared" si="9"/>
        <v>0</v>
      </c>
      <c r="I407" s="119"/>
    </row>
    <row r="408" spans="1:9">
      <c r="A408" s="44" t="s">
        <v>556</v>
      </c>
      <c r="B408" s="44">
        <v>71</v>
      </c>
      <c r="C408" s="49">
        <v>2026</v>
      </c>
      <c r="D408" s="46">
        <v>0</v>
      </c>
      <c r="E408" s="47">
        <v>0</v>
      </c>
      <c r="F408" s="47">
        <v>0</v>
      </c>
      <c r="G408" s="48">
        <v>0</v>
      </c>
      <c r="H408" s="63">
        <f t="shared" si="9"/>
        <v>0</v>
      </c>
      <c r="I408" s="119"/>
    </row>
    <row r="409" spans="1:9">
      <c r="A409" s="44" t="s">
        <v>556</v>
      </c>
      <c r="B409" s="44">
        <v>71</v>
      </c>
      <c r="C409" s="49">
        <v>2027</v>
      </c>
      <c r="D409" s="46">
        <v>0</v>
      </c>
      <c r="E409" s="47">
        <v>0</v>
      </c>
      <c r="F409" s="47">
        <v>0</v>
      </c>
      <c r="G409" s="48">
        <v>0</v>
      </c>
      <c r="H409" s="63">
        <f t="shared" si="9"/>
        <v>0</v>
      </c>
      <c r="I409" s="119"/>
    </row>
    <row r="410" spans="1:9">
      <c r="A410" s="44" t="s">
        <v>556</v>
      </c>
      <c r="B410" s="44">
        <v>71</v>
      </c>
      <c r="C410" s="49">
        <v>2028</v>
      </c>
      <c r="D410" s="46">
        <v>0</v>
      </c>
      <c r="E410" s="47">
        <v>0</v>
      </c>
      <c r="F410" s="47">
        <v>0</v>
      </c>
      <c r="G410" s="48">
        <v>0</v>
      </c>
      <c r="H410" s="63">
        <f t="shared" si="9"/>
        <v>0</v>
      </c>
      <c r="I410" s="119"/>
    </row>
    <row r="411" spans="1:9">
      <c r="A411" s="44" t="s">
        <v>556</v>
      </c>
      <c r="B411" s="44">
        <v>71</v>
      </c>
      <c r="C411" s="49">
        <v>2029</v>
      </c>
      <c r="D411" s="46">
        <v>0</v>
      </c>
      <c r="E411" s="47">
        <v>0</v>
      </c>
      <c r="F411" s="47">
        <v>0</v>
      </c>
      <c r="G411" s="48">
        <v>0</v>
      </c>
      <c r="H411" s="63">
        <f t="shared" si="9"/>
        <v>0</v>
      </c>
      <c r="I411" s="119"/>
    </row>
    <row r="412" spans="1:9">
      <c r="A412" s="44" t="s">
        <v>556</v>
      </c>
      <c r="B412" s="44">
        <v>71</v>
      </c>
      <c r="C412" s="49">
        <v>2030</v>
      </c>
      <c r="D412" s="46">
        <v>0</v>
      </c>
      <c r="E412" s="47">
        <v>0</v>
      </c>
      <c r="F412" s="47">
        <v>0</v>
      </c>
      <c r="G412" s="48">
        <v>31.875566215629629</v>
      </c>
      <c r="H412" s="63">
        <f t="shared" si="9"/>
        <v>31.875566215629629</v>
      </c>
      <c r="I412" s="119"/>
    </row>
    <row r="413" spans="1:9">
      <c r="A413" s="44" t="s">
        <v>556</v>
      </c>
      <c r="B413" s="44">
        <v>71</v>
      </c>
      <c r="C413" s="49">
        <v>2031</v>
      </c>
      <c r="D413" s="46">
        <v>0</v>
      </c>
      <c r="E413" s="47">
        <v>0</v>
      </c>
      <c r="F413" s="47">
        <v>11.353786990910352</v>
      </c>
      <c r="G413" s="48">
        <v>32.513077539942223</v>
      </c>
      <c r="H413" s="63">
        <f t="shared" si="9"/>
        <v>43.866864530852574</v>
      </c>
      <c r="I413" s="119"/>
    </row>
    <row r="414" spans="1:9">
      <c r="A414" s="44" t="s">
        <v>556</v>
      </c>
      <c r="B414" s="44">
        <v>71</v>
      </c>
      <c r="C414" s="49">
        <v>2032</v>
      </c>
      <c r="D414" s="46">
        <v>0</v>
      </c>
      <c r="E414" s="47">
        <v>0</v>
      </c>
      <c r="F414" s="47">
        <v>33.429741482718711</v>
      </c>
      <c r="G414" s="48">
        <v>33.163339090741069</v>
      </c>
      <c r="H414" s="63">
        <f t="shared" si="9"/>
        <v>66.593080573459787</v>
      </c>
      <c r="I414" s="119"/>
    </row>
    <row r="415" spans="1:9">
      <c r="A415" s="44" t="s">
        <v>556</v>
      </c>
      <c r="B415" s="44">
        <v>71</v>
      </c>
      <c r="C415" s="49">
        <v>2033</v>
      </c>
      <c r="D415" s="46">
        <v>0</v>
      </c>
      <c r="E415" s="47">
        <v>0</v>
      </c>
      <c r="F415" s="47">
        <v>70.539032389509231</v>
      </c>
      <c r="G415" s="48">
        <v>33.826605872555888</v>
      </c>
      <c r="H415" s="63">
        <f t="shared" si="9"/>
        <v>104.36563826206512</v>
      </c>
      <c r="I415" s="119"/>
    </row>
    <row r="416" spans="1:9">
      <c r="A416" s="44" t="s">
        <v>556</v>
      </c>
      <c r="B416" s="44">
        <v>71</v>
      </c>
      <c r="C416" s="49">
        <v>2034</v>
      </c>
      <c r="D416" s="46">
        <v>0</v>
      </c>
      <c r="E416" s="47">
        <v>0</v>
      </c>
      <c r="F416" s="47">
        <v>102.4754148008835</v>
      </c>
      <c r="G416" s="48">
        <v>34.503137990007005</v>
      </c>
      <c r="H416" s="63">
        <f t="shared" si="9"/>
        <v>136.97855279089049</v>
      </c>
      <c r="I416" s="119"/>
    </row>
    <row r="417" spans="1:9">
      <c r="A417" s="44" t="s">
        <v>556</v>
      </c>
      <c r="B417" s="44">
        <v>71</v>
      </c>
      <c r="C417" s="49">
        <v>2035</v>
      </c>
      <c r="D417" s="46">
        <v>0</v>
      </c>
      <c r="E417" s="47">
        <v>0</v>
      </c>
      <c r="F417" s="47">
        <v>116.7473152551639</v>
      </c>
      <c r="G417" s="48">
        <v>35.193200749807147</v>
      </c>
      <c r="H417" s="63">
        <f t="shared" si="9"/>
        <v>151.94051600497104</v>
      </c>
      <c r="I417" s="119">
        <f>NPV($I$19,H408:H417)/((1-(1+$I$19)^-10)/$I$19)</f>
        <v>43.588650462003201</v>
      </c>
    </row>
    <row r="418" spans="1:9">
      <c r="A418" s="44"/>
      <c r="B418" s="44" t="s">
        <v>401</v>
      </c>
      <c r="C418" s="49"/>
      <c r="D418" s="46"/>
      <c r="E418" s="47"/>
      <c r="F418" s="47"/>
      <c r="G418" s="48"/>
      <c r="H418" s="63">
        <f t="shared" si="9"/>
        <v>0</v>
      </c>
      <c r="I418" s="119"/>
    </row>
    <row r="419" spans="1:9">
      <c r="A419" s="44" t="s">
        <v>556</v>
      </c>
      <c r="B419" s="44">
        <v>93</v>
      </c>
      <c r="C419" s="49">
        <v>2026</v>
      </c>
      <c r="D419" s="46">
        <v>0</v>
      </c>
      <c r="E419" s="47">
        <v>0</v>
      </c>
      <c r="F419" s="47">
        <v>0</v>
      </c>
      <c r="G419" s="48">
        <v>0</v>
      </c>
      <c r="H419" s="63">
        <f t="shared" si="9"/>
        <v>0</v>
      </c>
      <c r="I419" s="119"/>
    </row>
    <row r="420" spans="1:9">
      <c r="A420" s="44" t="s">
        <v>556</v>
      </c>
      <c r="B420" s="44">
        <v>93</v>
      </c>
      <c r="C420" s="49">
        <v>2027</v>
      </c>
      <c r="D420" s="46">
        <v>0</v>
      </c>
      <c r="E420" s="47">
        <v>0</v>
      </c>
      <c r="F420" s="47">
        <v>0</v>
      </c>
      <c r="G420" s="48">
        <v>0</v>
      </c>
      <c r="H420" s="63">
        <f t="shared" si="9"/>
        <v>0</v>
      </c>
      <c r="I420" s="119"/>
    </row>
    <row r="421" spans="1:9">
      <c r="A421" s="44" t="s">
        <v>556</v>
      </c>
      <c r="B421" s="44">
        <v>93</v>
      </c>
      <c r="C421" s="49">
        <v>2028</v>
      </c>
      <c r="D421" s="46">
        <v>0</v>
      </c>
      <c r="E421" s="47">
        <v>0</v>
      </c>
      <c r="F421" s="47">
        <v>0</v>
      </c>
      <c r="G421" s="48">
        <v>0</v>
      </c>
      <c r="H421" s="63">
        <f t="shared" si="9"/>
        <v>0</v>
      </c>
      <c r="I421" s="119"/>
    </row>
    <row r="422" spans="1:9">
      <c r="A422" s="44" t="s">
        <v>556</v>
      </c>
      <c r="B422" s="44">
        <v>93</v>
      </c>
      <c r="C422" s="49">
        <v>2029</v>
      </c>
      <c r="D422" s="46">
        <v>0</v>
      </c>
      <c r="E422" s="47">
        <v>0</v>
      </c>
      <c r="F422" s="47">
        <v>0</v>
      </c>
      <c r="G422" s="48">
        <v>0</v>
      </c>
      <c r="H422" s="63">
        <f t="shared" si="9"/>
        <v>0</v>
      </c>
      <c r="I422" s="119"/>
    </row>
    <row r="423" spans="1:9">
      <c r="A423" s="44" t="s">
        <v>556</v>
      </c>
      <c r="B423" s="44">
        <v>93</v>
      </c>
      <c r="C423" s="49">
        <v>2030</v>
      </c>
      <c r="D423" s="46">
        <v>0</v>
      </c>
      <c r="E423" s="47">
        <v>0</v>
      </c>
      <c r="F423" s="47">
        <v>0</v>
      </c>
      <c r="G423" s="48">
        <v>0</v>
      </c>
      <c r="H423" s="63">
        <f t="shared" si="9"/>
        <v>0</v>
      </c>
      <c r="I423" s="119"/>
    </row>
    <row r="424" spans="1:9">
      <c r="A424" s="44" t="s">
        <v>556</v>
      </c>
      <c r="B424" s="44">
        <v>93</v>
      </c>
      <c r="C424" s="49">
        <v>2031</v>
      </c>
      <c r="D424" s="46">
        <v>0</v>
      </c>
      <c r="E424" s="47">
        <v>0</v>
      </c>
      <c r="F424" s="47">
        <v>5.3253774638311464</v>
      </c>
      <c r="G424" s="48">
        <v>37.387882177730987</v>
      </c>
      <c r="H424" s="63">
        <f t="shared" si="9"/>
        <v>42.713259641562132</v>
      </c>
      <c r="I424" s="119"/>
    </row>
    <row r="425" spans="1:9">
      <c r="A425" s="44" t="s">
        <v>556</v>
      </c>
      <c r="B425" s="44">
        <v>93</v>
      </c>
      <c r="C425" s="49">
        <v>2032</v>
      </c>
      <c r="D425" s="46">
        <v>0</v>
      </c>
      <c r="E425" s="47">
        <v>0</v>
      </c>
      <c r="F425" s="47">
        <v>15.679877740906715</v>
      </c>
      <c r="G425" s="48">
        <v>38.135639821285608</v>
      </c>
      <c r="H425" s="63">
        <f t="shared" si="9"/>
        <v>53.815517562192326</v>
      </c>
      <c r="I425" s="119"/>
    </row>
    <row r="426" spans="1:9">
      <c r="A426" s="44" t="s">
        <v>556</v>
      </c>
      <c r="B426" s="44">
        <v>93</v>
      </c>
      <c r="C426" s="49">
        <v>2033</v>
      </c>
      <c r="D426" s="46">
        <v>0</v>
      </c>
      <c r="E426" s="47">
        <v>0</v>
      </c>
      <c r="F426" s="47">
        <v>33.085610440664802</v>
      </c>
      <c r="G426" s="48">
        <v>38.898352617711318</v>
      </c>
      <c r="H426" s="63">
        <f t="shared" si="9"/>
        <v>71.983963058376119</v>
      </c>
      <c r="I426" s="119"/>
    </row>
    <row r="427" spans="1:9">
      <c r="A427" s="44" t="s">
        <v>556</v>
      </c>
      <c r="B427" s="44">
        <v>93</v>
      </c>
      <c r="C427" s="49">
        <v>2034</v>
      </c>
      <c r="D427" s="46">
        <v>0</v>
      </c>
      <c r="E427" s="47">
        <v>48.214070727298065</v>
      </c>
      <c r="F427" s="47">
        <v>48.065043409240282</v>
      </c>
      <c r="G427" s="48">
        <v>39.676319670065546</v>
      </c>
      <c r="H427" s="63">
        <f t="shared" si="9"/>
        <v>135.95543380660388</v>
      </c>
      <c r="I427" s="119"/>
    </row>
    <row r="428" spans="1:9">
      <c r="A428" s="44" t="s">
        <v>556</v>
      </c>
      <c r="B428" s="44">
        <v>93</v>
      </c>
      <c r="C428" s="49">
        <v>2035</v>
      </c>
      <c r="D428" s="46">
        <v>0</v>
      </c>
      <c r="E428" s="47">
        <v>49.17835214184403</v>
      </c>
      <c r="F428" s="47">
        <v>54.759132095782775</v>
      </c>
      <c r="G428" s="48">
        <v>40.469846063466861</v>
      </c>
      <c r="H428" s="63">
        <f t="shared" si="9"/>
        <v>144.40733030109368</v>
      </c>
      <c r="I428" s="119">
        <f>NPV($I$19,H419:H428)/((1-(1+$I$19)^-10)/$I$19)</f>
        <v>35.799465400690309</v>
      </c>
    </row>
    <row r="429" spans="1:9">
      <c r="A429" s="44"/>
      <c r="B429" s="44" t="s">
        <v>401</v>
      </c>
      <c r="C429" s="49"/>
      <c r="D429" s="42"/>
      <c r="E429" s="19"/>
      <c r="F429" s="19"/>
      <c r="G429" s="43"/>
      <c r="H429" s="63">
        <f t="shared" si="9"/>
        <v>0</v>
      </c>
      <c r="I429" s="119"/>
    </row>
    <row r="430" spans="1:9">
      <c r="A430" s="44" t="s">
        <v>556</v>
      </c>
      <c r="B430" s="44">
        <v>112</v>
      </c>
      <c r="C430" s="49">
        <v>2026</v>
      </c>
      <c r="D430" s="46">
        <v>0</v>
      </c>
      <c r="E430" s="47">
        <v>0</v>
      </c>
      <c r="F430" s="47">
        <v>0</v>
      </c>
      <c r="G430" s="48">
        <v>0</v>
      </c>
      <c r="H430" s="63">
        <f t="shared" si="9"/>
        <v>0</v>
      </c>
      <c r="I430" s="119"/>
    </row>
    <row r="431" spans="1:9">
      <c r="A431" s="44" t="s">
        <v>556</v>
      </c>
      <c r="B431" s="44">
        <v>112</v>
      </c>
      <c r="C431" s="49">
        <v>2027</v>
      </c>
      <c r="D431" s="46">
        <v>0</v>
      </c>
      <c r="E431" s="47">
        <v>0</v>
      </c>
      <c r="F431" s="47">
        <v>0</v>
      </c>
      <c r="G431" s="48">
        <v>0</v>
      </c>
      <c r="H431" s="63">
        <f t="shared" si="9"/>
        <v>0</v>
      </c>
      <c r="I431" s="119"/>
    </row>
    <row r="432" spans="1:9">
      <c r="A432" s="44" t="s">
        <v>556</v>
      </c>
      <c r="B432" s="44">
        <v>112</v>
      </c>
      <c r="C432" s="49">
        <v>2028</v>
      </c>
      <c r="D432" s="46">
        <v>0</v>
      </c>
      <c r="E432" s="47">
        <v>0</v>
      </c>
      <c r="F432" s="47">
        <v>0</v>
      </c>
      <c r="G432" s="48">
        <v>0</v>
      </c>
      <c r="H432" s="63">
        <f t="shared" si="9"/>
        <v>0</v>
      </c>
      <c r="I432" s="119"/>
    </row>
    <row r="433" spans="1:9">
      <c r="A433" s="44" t="s">
        <v>556</v>
      </c>
      <c r="B433" s="44">
        <v>112</v>
      </c>
      <c r="C433" s="49">
        <v>2029</v>
      </c>
      <c r="D433" s="46">
        <v>0</v>
      </c>
      <c r="E433" s="47">
        <v>0</v>
      </c>
      <c r="F433" s="47">
        <v>0</v>
      </c>
      <c r="G433" s="48">
        <v>0</v>
      </c>
      <c r="H433" s="63">
        <f t="shared" si="9"/>
        <v>0</v>
      </c>
      <c r="I433" s="119"/>
    </row>
    <row r="434" spans="1:9">
      <c r="A434" s="44" t="s">
        <v>556</v>
      </c>
      <c r="B434" s="44">
        <v>112</v>
      </c>
      <c r="C434" s="49">
        <v>2030</v>
      </c>
      <c r="D434" s="46">
        <v>0</v>
      </c>
      <c r="E434" s="47">
        <v>0</v>
      </c>
      <c r="F434" s="47">
        <v>0</v>
      </c>
      <c r="G434" s="48">
        <v>27.061705195310044</v>
      </c>
      <c r="H434" s="63">
        <f t="shared" si="9"/>
        <v>27.061705195310044</v>
      </c>
      <c r="I434" s="119"/>
    </row>
    <row r="435" spans="1:9">
      <c r="A435" s="44" t="s">
        <v>556</v>
      </c>
      <c r="B435" s="44">
        <v>112</v>
      </c>
      <c r="C435" s="49">
        <v>2031</v>
      </c>
      <c r="D435" s="46">
        <v>0</v>
      </c>
      <c r="E435" s="47">
        <v>0</v>
      </c>
      <c r="F435" s="47">
        <v>3.7180782407094184</v>
      </c>
      <c r="G435" s="48">
        <v>27.602939299216246</v>
      </c>
      <c r="H435" s="63">
        <f t="shared" si="9"/>
        <v>31.321017539925663</v>
      </c>
      <c r="I435" s="119"/>
    </row>
    <row r="436" spans="1:9">
      <c r="A436" s="44" t="s">
        <v>556</v>
      </c>
      <c r="B436" s="44">
        <v>112</v>
      </c>
      <c r="C436" s="49">
        <v>2032</v>
      </c>
      <c r="D436" s="46">
        <v>0</v>
      </c>
      <c r="E436" s="47">
        <v>0</v>
      </c>
      <c r="F436" s="47">
        <v>10.947395305103527</v>
      </c>
      <c r="G436" s="48">
        <v>28.154998085200571</v>
      </c>
      <c r="H436" s="63">
        <f t="shared" si="9"/>
        <v>39.102393390304101</v>
      </c>
      <c r="I436" s="119"/>
    </row>
    <row r="437" spans="1:9">
      <c r="A437" s="44" t="s">
        <v>556</v>
      </c>
      <c r="B437" s="44">
        <v>112</v>
      </c>
      <c r="C437" s="49">
        <v>2033</v>
      </c>
      <c r="D437" s="46">
        <v>0</v>
      </c>
      <c r="E437" s="47">
        <v>0</v>
      </c>
      <c r="F437" s="47">
        <v>23.099750035657692</v>
      </c>
      <c r="G437" s="48">
        <v>28.718098046904583</v>
      </c>
      <c r="H437" s="63">
        <f t="shared" si="9"/>
        <v>51.817848082562278</v>
      </c>
      <c r="I437" s="119"/>
    </row>
    <row r="438" spans="1:9">
      <c r="A438" s="44" t="s">
        <v>556</v>
      </c>
      <c r="B438" s="44">
        <v>112</v>
      </c>
      <c r="C438" s="49">
        <v>2034</v>
      </c>
      <c r="D438" s="46">
        <v>0</v>
      </c>
      <c r="E438" s="47">
        <v>0</v>
      </c>
      <c r="F438" s="47">
        <v>33.558107993735334</v>
      </c>
      <c r="G438" s="48">
        <v>29.292460007842674</v>
      </c>
      <c r="H438" s="63">
        <f t="shared" si="9"/>
        <v>62.850568001578011</v>
      </c>
      <c r="I438" s="119"/>
    </row>
    <row r="439" spans="1:9">
      <c r="A439" s="44" t="s">
        <v>556</v>
      </c>
      <c r="B439" s="44">
        <v>112</v>
      </c>
      <c r="C439" s="49">
        <v>2035</v>
      </c>
      <c r="D439" s="46">
        <v>0</v>
      </c>
      <c r="E439" s="47">
        <v>0</v>
      </c>
      <c r="F439" s="47">
        <v>38.231794630195303</v>
      </c>
      <c r="G439" s="48">
        <v>29.878309207999528</v>
      </c>
      <c r="H439" s="63">
        <f t="shared" si="9"/>
        <v>68.110103838194831</v>
      </c>
      <c r="I439" s="119">
        <f>NPV($I$19,H430:H439)/((1-(1+$I$19)^-10)/$I$19)</f>
        <v>23.292496874190686</v>
      </c>
    </row>
    <row r="440" spans="1:9">
      <c r="A440" s="44"/>
      <c r="B440" s="44" t="s">
        <v>401</v>
      </c>
      <c r="C440" s="49"/>
      <c r="D440" s="46"/>
      <c r="E440" s="47"/>
      <c r="F440" s="47"/>
      <c r="G440" s="48"/>
      <c r="H440" s="63">
        <f t="shared" si="9"/>
        <v>0</v>
      </c>
      <c r="I440" s="119"/>
    </row>
    <row r="441" spans="1:9">
      <c r="A441" s="44" t="s">
        <v>556</v>
      </c>
      <c r="B441" s="44">
        <v>126</v>
      </c>
      <c r="C441" s="49">
        <v>2026</v>
      </c>
      <c r="D441" s="46">
        <v>0</v>
      </c>
      <c r="E441" s="47">
        <v>0</v>
      </c>
      <c r="F441" s="47">
        <v>0</v>
      </c>
      <c r="G441" s="48">
        <v>0</v>
      </c>
      <c r="H441" s="63">
        <f t="shared" si="9"/>
        <v>0</v>
      </c>
      <c r="I441" s="119"/>
    </row>
    <row r="442" spans="1:9">
      <c r="A442" s="44" t="s">
        <v>556</v>
      </c>
      <c r="B442" s="44">
        <v>126</v>
      </c>
      <c r="C442" s="49">
        <v>2027</v>
      </c>
      <c r="D442" s="46">
        <v>0</v>
      </c>
      <c r="E442" s="47">
        <v>0</v>
      </c>
      <c r="F442" s="47">
        <v>0</v>
      </c>
      <c r="G442" s="48">
        <v>0</v>
      </c>
      <c r="H442" s="63">
        <f t="shared" si="9"/>
        <v>0</v>
      </c>
      <c r="I442" s="119"/>
    </row>
    <row r="443" spans="1:9">
      <c r="A443" s="44" t="s">
        <v>556</v>
      </c>
      <c r="B443" s="44">
        <v>126</v>
      </c>
      <c r="C443" s="49">
        <v>2028</v>
      </c>
      <c r="D443" s="46">
        <v>0</v>
      </c>
      <c r="E443" s="47">
        <v>0</v>
      </c>
      <c r="F443" s="47">
        <v>0</v>
      </c>
      <c r="G443" s="48">
        <v>0</v>
      </c>
      <c r="H443" s="63">
        <f t="shared" si="9"/>
        <v>0</v>
      </c>
      <c r="I443" s="119"/>
    </row>
    <row r="444" spans="1:9">
      <c r="A444" s="44" t="s">
        <v>556</v>
      </c>
      <c r="B444" s="44">
        <v>126</v>
      </c>
      <c r="C444" s="49">
        <v>2029</v>
      </c>
      <c r="D444" s="46">
        <v>0</v>
      </c>
      <c r="E444" s="47">
        <v>0</v>
      </c>
      <c r="F444" s="47">
        <v>0</v>
      </c>
      <c r="G444" s="48">
        <v>0</v>
      </c>
      <c r="H444" s="63">
        <f t="shared" si="9"/>
        <v>0</v>
      </c>
      <c r="I444" s="119"/>
    </row>
    <row r="445" spans="1:9">
      <c r="A445" s="44" t="s">
        <v>556</v>
      </c>
      <c r="B445" s="44">
        <v>126</v>
      </c>
      <c r="C445" s="49">
        <v>2030</v>
      </c>
      <c r="D445" s="46">
        <v>0</v>
      </c>
      <c r="E445" s="47">
        <v>0</v>
      </c>
      <c r="F445" s="47">
        <v>0</v>
      </c>
      <c r="G445" s="48">
        <v>0</v>
      </c>
      <c r="H445" s="63">
        <f t="shared" si="9"/>
        <v>0</v>
      </c>
      <c r="I445" s="119"/>
    </row>
    <row r="446" spans="1:9">
      <c r="A446" s="44" t="s">
        <v>556</v>
      </c>
      <c r="B446" s="44">
        <v>126</v>
      </c>
      <c r="C446" s="49">
        <v>2031</v>
      </c>
      <c r="D446" s="46">
        <v>0</v>
      </c>
      <c r="E446" s="47">
        <v>0</v>
      </c>
      <c r="F446" s="47">
        <v>23.834165484628528</v>
      </c>
      <c r="G446" s="48">
        <v>36.429218532148148</v>
      </c>
      <c r="H446" s="63">
        <f t="shared" si="9"/>
        <v>60.263384016776676</v>
      </c>
      <c r="I446" s="119"/>
    </row>
    <row r="447" spans="1:9">
      <c r="A447" s="44" t="s">
        <v>556</v>
      </c>
      <c r="B447" s="44">
        <v>126</v>
      </c>
      <c r="C447" s="49">
        <v>2032</v>
      </c>
      <c r="D447" s="46">
        <v>0</v>
      </c>
      <c r="E447" s="47">
        <v>0</v>
      </c>
      <c r="F447" s="47">
        <v>70.176584363027899</v>
      </c>
      <c r="G447" s="48">
        <v>37.157802902791111</v>
      </c>
      <c r="H447" s="63">
        <f t="shared" si="9"/>
        <v>107.334387265819</v>
      </c>
      <c r="I447" s="119"/>
    </row>
    <row r="448" spans="1:9">
      <c r="A448" s="44" t="s">
        <v>556</v>
      </c>
      <c r="B448" s="44">
        <v>126</v>
      </c>
      <c r="C448" s="49">
        <v>2033</v>
      </c>
      <c r="D448" s="46">
        <v>0</v>
      </c>
      <c r="E448" s="47">
        <v>0</v>
      </c>
      <c r="F448" s="47">
        <v>148.07737475109462</v>
      </c>
      <c r="G448" s="48">
        <v>37.900958960846935</v>
      </c>
      <c r="H448" s="63">
        <f t="shared" si="9"/>
        <v>185.97833371194156</v>
      </c>
      <c r="I448" s="119"/>
    </row>
    <row r="449" spans="1:9">
      <c r="A449" s="44" t="s">
        <v>556</v>
      </c>
      <c r="B449" s="44">
        <v>126</v>
      </c>
      <c r="C449" s="49">
        <v>2034</v>
      </c>
      <c r="D449" s="46">
        <v>0</v>
      </c>
      <c r="E449" s="47">
        <v>48.214070727298065</v>
      </c>
      <c r="F449" s="47">
        <v>215.11906084071913</v>
      </c>
      <c r="G449" s="48">
        <v>38.658978140063873</v>
      </c>
      <c r="H449" s="63">
        <f t="shared" si="9"/>
        <v>301.99210970808105</v>
      </c>
      <c r="I449" s="119"/>
    </row>
    <row r="450" spans="1:9">
      <c r="A450" s="44" t="s">
        <v>556</v>
      </c>
      <c r="B450" s="44">
        <v>126</v>
      </c>
      <c r="C450" s="49">
        <v>2035</v>
      </c>
      <c r="D450" s="46">
        <v>0</v>
      </c>
      <c r="E450" s="47">
        <v>49.17835214184403</v>
      </c>
      <c r="F450" s="47">
        <v>245.07900614177061</v>
      </c>
      <c r="G450" s="48">
        <v>39.432157702865148</v>
      </c>
      <c r="H450" s="63">
        <f t="shared" si="9"/>
        <v>333.68951598647976</v>
      </c>
      <c r="I450" s="119">
        <f>NPV($I$19,H441:H450)/((1-(1+$I$19)^-10)/$I$19)</f>
        <v>78.252008728381696</v>
      </c>
    </row>
    <row r="451" spans="1:9">
      <c r="A451" s="44"/>
      <c r="B451" s="44" t="s">
        <v>401</v>
      </c>
      <c r="C451" s="49"/>
      <c r="D451" s="42"/>
      <c r="E451" s="19"/>
      <c r="F451" s="19"/>
      <c r="G451" s="43"/>
      <c r="H451" s="63">
        <f t="shared" si="9"/>
        <v>0</v>
      </c>
      <c r="I451" s="119"/>
    </row>
    <row r="452" spans="1:9">
      <c r="A452" s="44" t="s">
        <v>556</v>
      </c>
      <c r="B452" s="44">
        <v>72</v>
      </c>
      <c r="C452" s="49">
        <v>2026</v>
      </c>
      <c r="D452" s="46">
        <v>0</v>
      </c>
      <c r="E452" s="47">
        <v>0</v>
      </c>
      <c r="F452" s="47">
        <v>0</v>
      </c>
      <c r="G452" s="48">
        <v>0</v>
      </c>
      <c r="H452" s="63">
        <f t="shared" si="9"/>
        <v>0</v>
      </c>
      <c r="I452" s="119"/>
    </row>
    <row r="453" spans="1:9">
      <c r="A453" s="44" t="s">
        <v>556</v>
      </c>
      <c r="B453" s="44">
        <v>72</v>
      </c>
      <c r="C453" s="49">
        <v>2027</v>
      </c>
      <c r="D453" s="46">
        <v>0</v>
      </c>
      <c r="E453" s="47">
        <v>0</v>
      </c>
      <c r="F453" s="47">
        <v>0</v>
      </c>
      <c r="G453" s="48">
        <v>0</v>
      </c>
      <c r="H453" s="63">
        <f t="shared" si="9"/>
        <v>0</v>
      </c>
      <c r="I453" s="119"/>
    </row>
    <row r="454" spans="1:9">
      <c r="A454" s="44" t="s">
        <v>556</v>
      </c>
      <c r="B454" s="44">
        <v>72</v>
      </c>
      <c r="C454" s="49">
        <v>2028</v>
      </c>
      <c r="D454" s="46">
        <v>0</v>
      </c>
      <c r="E454" s="47">
        <v>0</v>
      </c>
      <c r="F454" s="47">
        <v>0</v>
      </c>
      <c r="G454" s="48">
        <v>0</v>
      </c>
      <c r="H454" s="63">
        <f t="shared" si="9"/>
        <v>0</v>
      </c>
      <c r="I454" s="119"/>
    </row>
    <row r="455" spans="1:9">
      <c r="A455" s="44" t="s">
        <v>556</v>
      </c>
      <c r="B455" s="44">
        <v>72</v>
      </c>
      <c r="C455" s="49">
        <v>2029</v>
      </c>
      <c r="D455" s="46">
        <v>0</v>
      </c>
      <c r="E455" s="47">
        <v>0</v>
      </c>
      <c r="F455" s="47">
        <v>0</v>
      </c>
      <c r="G455" s="48">
        <v>0</v>
      </c>
      <c r="H455" s="63">
        <f t="shared" si="9"/>
        <v>0</v>
      </c>
      <c r="I455" s="119"/>
    </row>
    <row r="456" spans="1:9">
      <c r="A456" s="44" t="s">
        <v>556</v>
      </c>
      <c r="B456" s="44">
        <v>72</v>
      </c>
      <c r="C456" s="49">
        <v>2030</v>
      </c>
      <c r="D456" s="46">
        <v>0</v>
      </c>
      <c r="E456" s="47">
        <v>0</v>
      </c>
      <c r="F456" s="47">
        <v>0</v>
      </c>
      <c r="G456" s="48">
        <v>27.061705195310044</v>
      </c>
      <c r="H456" s="63">
        <f t="shared" si="9"/>
        <v>27.061705195310044</v>
      </c>
      <c r="I456" s="119"/>
    </row>
    <row r="457" spans="1:9">
      <c r="A457" s="44" t="s">
        <v>556</v>
      </c>
      <c r="B457" s="44">
        <v>72</v>
      </c>
      <c r="C457" s="49">
        <v>2031</v>
      </c>
      <c r="D457" s="46">
        <v>0</v>
      </c>
      <c r="E457" s="47">
        <v>0</v>
      </c>
      <c r="F457" s="47">
        <v>0</v>
      </c>
      <c r="G457" s="48">
        <v>27.602939299216246</v>
      </c>
      <c r="H457" s="63">
        <f t="shared" si="9"/>
        <v>27.602939299216246</v>
      </c>
      <c r="I457" s="119"/>
    </row>
    <row r="458" spans="1:9">
      <c r="A458" s="44" t="s">
        <v>556</v>
      </c>
      <c r="B458" s="44">
        <v>72</v>
      </c>
      <c r="C458" s="49">
        <v>2032</v>
      </c>
      <c r="D458" s="46">
        <v>0</v>
      </c>
      <c r="E458" s="47">
        <v>0</v>
      </c>
      <c r="F458" s="47">
        <v>0</v>
      </c>
      <c r="G458" s="48">
        <v>28.154998085200571</v>
      </c>
      <c r="H458" s="63">
        <f t="shared" si="9"/>
        <v>28.154998085200571</v>
      </c>
      <c r="I458" s="119"/>
    </row>
    <row r="459" spans="1:9">
      <c r="A459" s="44" t="s">
        <v>556</v>
      </c>
      <c r="B459" s="44">
        <v>72</v>
      </c>
      <c r="C459" s="49">
        <v>2033</v>
      </c>
      <c r="D459" s="46">
        <v>0</v>
      </c>
      <c r="E459" s="47">
        <v>0</v>
      </c>
      <c r="F459" s="47">
        <v>0</v>
      </c>
      <c r="G459" s="48">
        <v>28.718098046904583</v>
      </c>
      <c r="H459" s="63">
        <f t="shared" si="9"/>
        <v>28.718098046904583</v>
      </c>
      <c r="I459" s="119"/>
    </row>
    <row r="460" spans="1:9">
      <c r="A460" s="44" t="s">
        <v>556</v>
      </c>
      <c r="B460" s="44">
        <v>72</v>
      </c>
      <c r="C460" s="49">
        <v>2034</v>
      </c>
      <c r="D460" s="46">
        <v>0</v>
      </c>
      <c r="E460" s="47">
        <v>0</v>
      </c>
      <c r="F460" s="47">
        <v>0</v>
      </c>
      <c r="G460" s="48">
        <v>29.292460007842674</v>
      </c>
      <c r="H460" s="63">
        <f t="shared" si="9"/>
        <v>29.292460007842674</v>
      </c>
      <c r="I460" s="119"/>
    </row>
    <row r="461" spans="1:9">
      <c r="A461" s="44" t="s">
        <v>556</v>
      </c>
      <c r="B461" s="44">
        <v>72</v>
      </c>
      <c r="C461" s="49">
        <v>2035</v>
      </c>
      <c r="D461" s="46">
        <v>0</v>
      </c>
      <c r="E461" s="47">
        <v>0</v>
      </c>
      <c r="F461" s="47">
        <v>0</v>
      </c>
      <c r="G461" s="48">
        <v>29.878309207999528</v>
      </c>
      <c r="H461" s="63">
        <f t="shared" si="9"/>
        <v>29.878309207999528</v>
      </c>
      <c r="I461" s="119">
        <f>NPV($I$19,H452:H461)/((1-(1+$I$19)^-10)/$I$19)</f>
        <v>14.68129332066586</v>
      </c>
    </row>
    <row r="462" spans="1:9">
      <c r="A462" s="44"/>
      <c r="B462" s="44" t="s">
        <v>401</v>
      </c>
      <c r="C462" s="49"/>
      <c r="D462" s="19"/>
      <c r="E462" s="19"/>
      <c r="F462" s="19"/>
      <c r="G462" s="43"/>
      <c r="H462" s="63">
        <f t="shared" si="9"/>
        <v>0</v>
      </c>
      <c r="I462" s="119"/>
    </row>
    <row r="463" spans="1:9">
      <c r="A463" s="44" t="s">
        <v>556</v>
      </c>
      <c r="B463" s="44">
        <v>115</v>
      </c>
      <c r="C463" s="49">
        <v>2026</v>
      </c>
      <c r="D463" s="46">
        <v>0</v>
      </c>
      <c r="E463" s="47">
        <v>0</v>
      </c>
      <c r="F463" s="47">
        <v>0</v>
      </c>
      <c r="G463" s="48">
        <v>0</v>
      </c>
      <c r="H463" s="63">
        <f t="shared" si="9"/>
        <v>0</v>
      </c>
      <c r="I463" s="119"/>
    </row>
    <row r="464" spans="1:9">
      <c r="A464" s="44" t="s">
        <v>556</v>
      </c>
      <c r="B464" s="44">
        <v>115</v>
      </c>
      <c r="C464" s="49">
        <v>2027</v>
      </c>
      <c r="D464" s="46">
        <v>0</v>
      </c>
      <c r="E464" s="47">
        <v>0</v>
      </c>
      <c r="F464" s="47">
        <v>0</v>
      </c>
      <c r="G464" s="48">
        <v>0</v>
      </c>
      <c r="H464" s="63">
        <f t="shared" si="9"/>
        <v>0</v>
      </c>
      <c r="I464" s="119"/>
    </row>
    <row r="465" spans="1:9">
      <c r="A465" s="44" t="s">
        <v>556</v>
      </c>
      <c r="B465" s="44">
        <v>115</v>
      </c>
      <c r="C465" s="49">
        <v>2028</v>
      </c>
      <c r="D465" s="46">
        <v>0</v>
      </c>
      <c r="E465" s="47">
        <v>0</v>
      </c>
      <c r="F465" s="47">
        <v>0</v>
      </c>
      <c r="G465" s="48">
        <v>0</v>
      </c>
      <c r="H465" s="63">
        <f t="shared" si="9"/>
        <v>0</v>
      </c>
      <c r="I465" s="119"/>
    </row>
    <row r="466" spans="1:9">
      <c r="A466" s="44" t="s">
        <v>556</v>
      </c>
      <c r="B466" s="44">
        <v>115</v>
      </c>
      <c r="C466" s="49">
        <v>2029</v>
      </c>
      <c r="D466" s="46">
        <v>0</v>
      </c>
      <c r="E466" s="47">
        <v>0</v>
      </c>
      <c r="F466" s="47">
        <v>0</v>
      </c>
      <c r="G466" s="48">
        <v>0</v>
      </c>
      <c r="H466" s="63">
        <f t="shared" si="9"/>
        <v>0</v>
      </c>
      <c r="I466" s="119"/>
    </row>
    <row r="467" spans="1:9">
      <c r="A467" s="44" t="s">
        <v>556</v>
      </c>
      <c r="B467" s="44">
        <v>115</v>
      </c>
      <c r="C467" s="49">
        <v>2030</v>
      </c>
      <c r="D467" s="46">
        <v>0</v>
      </c>
      <c r="E467" s="47">
        <v>0</v>
      </c>
      <c r="F467" s="47">
        <v>0</v>
      </c>
      <c r="G467" s="48">
        <v>0</v>
      </c>
      <c r="H467" s="63">
        <f t="shared" si="9"/>
        <v>0</v>
      </c>
      <c r="I467" s="119"/>
    </row>
    <row r="468" spans="1:9">
      <c r="A468" s="44" t="s">
        <v>556</v>
      </c>
      <c r="B468" s="44">
        <v>115</v>
      </c>
      <c r="C468" s="49">
        <v>2031</v>
      </c>
      <c r="D468" s="46">
        <v>0</v>
      </c>
      <c r="E468" s="47">
        <v>0</v>
      </c>
      <c r="F468" s="47">
        <v>0</v>
      </c>
      <c r="G468" s="48">
        <v>0</v>
      </c>
      <c r="H468" s="63">
        <f t="shared" si="9"/>
        <v>0</v>
      </c>
      <c r="I468" s="119"/>
    </row>
    <row r="469" spans="1:9">
      <c r="A469" s="44" t="s">
        <v>556</v>
      </c>
      <c r="B469" s="44">
        <v>115</v>
      </c>
      <c r="C469" s="49">
        <v>2032</v>
      </c>
      <c r="D469" s="46">
        <v>0</v>
      </c>
      <c r="E469" s="47">
        <v>0</v>
      </c>
      <c r="F469" s="47">
        <v>0</v>
      </c>
      <c r="G469" s="48">
        <v>41.106752665289463</v>
      </c>
      <c r="H469" s="63">
        <f t="shared" si="9"/>
        <v>41.106752665289463</v>
      </c>
      <c r="I469" s="119"/>
    </row>
    <row r="470" spans="1:9">
      <c r="A470" s="44" t="s">
        <v>556</v>
      </c>
      <c r="B470" s="44">
        <v>115</v>
      </c>
      <c r="C470" s="49">
        <v>2033</v>
      </c>
      <c r="D470" s="46">
        <v>0</v>
      </c>
      <c r="E470" s="47">
        <v>0</v>
      </c>
      <c r="F470" s="47">
        <v>0</v>
      </c>
      <c r="G470" s="48">
        <v>80.355391729148607</v>
      </c>
      <c r="H470" s="63">
        <f t="shared" ref="H470:H533" si="10">SUM(D470:G470)</f>
        <v>80.355391729148607</v>
      </c>
      <c r="I470" s="119"/>
    </row>
    <row r="471" spans="1:9">
      <c r="A471" s="44" t="s">
        <v>556</v>
      </c>
      <c r="B471" s="44">
        <v>115</v>
      </c>
      <c r="C471" s="49">
        <v>2034</v>
      </c>
      <c r="D471" s="46">
        <v>0</v>
      </c>
      <c r="E471" s="47">
        <v>0</v>
      </c>
      <c r="F471" s="47">
        <v>0</v>
      </c>
      <c r="G471" s="48">
        <v>81.962499563731583</v>
      </c>
      <c r="H471" s="63">
        <f t="shared" si="10"/>
        <v>81.962499563731583</v>
      </c>
      <c r="I471" s="119"/>
    </row>
    <row r="472" spans="1:9">
      <c r="A472" s="44" t="s">
        <v>556</v>
      </c>
      <c r="B472" s="44">
        <v>115</v>
      </c>
      <c r="C472" s="49">
        <v>2035</v>
      </c>
      <c r="D472" s="46">
        <v>0</v>
      </c>
      <c r="E472" s="47">
        <v>0</v>
      </c>
      <c r="F472" s="47">
        <v>0</v>
      </c>
      <c r="G472" s="48">
        <v>83.601749555006222</v>
      </c>
      <c r="H472" s="63">
        <f t="shared" si="10"/>
        <v>83.601749555006222</v>
      </c>
      <c r="I472" s="119">
        <f>NPV($I$19,H463:H472)/((1-(1+$I$19)^-10)/$I$19)</f>
        <v>22.721450486034168</v>
      </c>
    </row>
    <row r="473" spans="1:9">
      <c r="A473" s="44"/>
      <c r="B473" s="44" t="s">
        <v>401</v>
      </c>
      <c r="C473" s="49"/>
      <c r="D473" s="42"/>
      <c r="E473" s="19"/>
      <c r="F473" s="19"/>
      <c r="G473" s="43"/>
      <c r="H473" s="63">
        <f t="shared" si="10"/>
        <v>0</v>
      </c>
      <c r="I473" s="119"/>
    </row>
    <row r="474" spans="1:9">
      <c r="A474" s="44" t="s">
        <v>556</v>
      </c>
      <c r="B474" s="44">
        <v>216</v>
      </c>
      <c r="C474" s="49">
        <v>2026</v>
      </c>
      <c r="D474" s="46">
        <v>0</v>
      </c>
      <c r="E474" s="47">
        <v>0</v>
      </c>
      <c r="F474" s="47">
        <v>0</v>
      </c>
      <c r="G474" s="48">
        <v>0</v>
      </c>
      <c r="H474" s="63">
        <f t="shared" si="10"/>
        <v>0</v>
      </c>
      <c r="I474" s="119"/>
    </row>
    <row r="475" spans="1:9">
      <c r="A475" s="44" t="s">
        <v>556</v>
      </c>
      <c r="B475" s="44">
        <v>216</v>
      </c>
      <c r="C475" s="49">
        <v>2027</v>
      </c>
      <c r="D475" s="46">
        <v>0</v>
      </c>
      <c r="E475" s="47">
        <v>0</v>
      </c>
      <c r="F475" s="47">
        <v>0</v>
      </c>
      <c r="G475" s="48">
        <v>0</v>
      </c>
      <c r="H475" s="63">
        <f t="shared" si="10"/>
        <v>0</v>
      </c>
      <c r="I475" s="119"/>
    </row>
    <row r="476" spans="1:9">
      <c r="A476" s="44" t="s">
        <v>556</v>
      </c>
      <c r="B476" s="44">
        <v>216</v>
      </c>
      <c r="C476" s="49">
        <v>2028</v>
      </c>
      <c r="D476" s="46">
        <v>0</v>
      </c>
      <c r="E476" s="47">
        <v>0</v>
      </c>
      <c r="F476" s="47">
        <v>0</v>
      </c>
      <c r="G476" s="48">
        <v>0</v>
      </c>
      <c r="H476" s="63">
        <f t="shared" si="10"/>
        <v>0</v>
      </c>
      <c r="I476" s="119"/>
    </row>
    <row r="477" spans="1:9">
      <c r="A477" s="44" t="s">
        <v>556</v>
      </c>
      <c r="B477" s="44">
        <v>216</v>
      </c>
      <c r="C477" s="49">
        <v>2029</v>
      </c>
      <c r="D477" s="46">
        <v>0</v>
      </c>
      <c r="E477" s="47">
        <v>0</v>
      </c>
      <c r="F477" s="47">
        <v>0</v>
      </c>
      <c r="G477" s="48">
        <v>0</v>
      </c>
      <c r="H477" s="63">
        <f t="shared" si="10"/>
        <v>0</v>
      </c>
      <c r="I477" s="119"/>
    </row>
    <row r="478" spans="1:9">
      <c r="A478" s="44" t="s">
        <v>556</v>
      </c>
      <c r="B478" s="44">
        <v>216</v>
      </c>
      <c r="C478" s="49">
        <v>2030</v>
      </c>
      <c r="D478" s="46">
        <v>0</v>
      </c>
      <c r="E478" s="47">
        <v>0</v>
      </c>
      <c r="F478" s="47">
        <v>0</v>
      </c>
      <c r="G478" s="48">
        <v>0</v>
      </c>
      <c r="H478" s="63">
        <f t="shared" si="10"/>
        <v>0</v>
      </c>
      <c r="I478" s="119"/>
    </row>
    <row r="479" spans="1:9">
      <c r="A479" s="44" t="s">
        <v>556</v>
      </c>
      <c r="B479" s="44">
        <v>216</v>
      </c>
      <c r="C479" s="49">
        <v>2031</v>
      </c>
      <c r="D479" s="46">
        <v>0</v>
      </c>
      <c r="E479" s="47">
        <v>0</v>
      </c>
      <c r="F479" s="47">
        <v>0</v>
      </c>
      <c r="G479" s="48">
        <v>0</v>
      </c>
      <c r="H479" s="63">
        <f t="shared" si="10"/>
        <v>0</v>
      </c>
      <c r="I479" s="119"/>
    </row>
    <row r="480" spans="1:9">
      <c r="A480" s="44" t="s">
        <v>556</v>
      </c>
      <c r="B480" s="44">
        <v>216</v>
      </c>
      <c r="C480" s="49">
        <v>2032</v>
      </c>
      <c r="D480" s="46">
        <v>0</v>
      </c>
      <c r="E480" s="47">
        <v>0</v>
      </c>
      <c r="F480" s="47">
        <v>0</v>
      </c>
      <c r="G480" s="48">
        <v>0</v>
      </c>
      <c r="H480" s="63">
        <f t="shared" si="10"/>
        <v>0</v>
      </c>
      <c r="I480" s="119"/>
    </row>
    <row r="481" spans="1:9">
      <c r="A481" s="44" t="s">
        <v>556</v>
      </c>
      <c r="B481" s="44">
        <v>216</v>
      </c>
      <c r="C481" s="49">
        <v>2033</v>
      </c>
      <c r="D481" s="46">
        <v>45.578839614083236</v>
      </c>
      <c r="E481" s="47">
        <v>0</v>
      </c>
      <c r="F481" s="47">
        <v>0</v>
      </c>
      <c r="G481" s="48">
        <v>0</v>
      </c>
      <c r="H481" s="63">
        <f t="shared" si="10"/>
        <v>45.578839614083236</v>
      </c>
      <c r="I481" s="119"/>
    </row>
    <row r="482" spans="1:9">
      <c r="A482" s="44" t="s">
        <v>556</v>
      </c>
      <c r="B482" s="44">
        <v>216</v>
      </c>
      <c r="C482" s="49">
        <v>2034</v>
      </c>
      <c r="D482" s="46">
        <v>117.50227054269104</v>
      </c>
      <c r="E482" s="47">
        <v>0</v>
      </c>
      <c r="F482" s="47">
        <v>0</v>
      </c>
      <c r="G482" s="48">
        <v>0</v>
      </c>
      <c r="H482" s="63">
        <f t="shared" si="10"/>
        <v>117.50227054269104</v>
      </c>
      <c r="I482" s="119"/>
    </row>
    <row r="483" spans="1:9">
      <c r="A483" s="44" t="s">
        <v>556</v>
      </c>
      <c r="B483" s="44">
        <v>216</v>
      </c>
      <c r="C483" s="49">
        <v>2035</v>
      </c>
      <c r="D483" s="46">
        <v>166.31952595160823</v>
      </c>
      <c r="E483" s="47">
        <v>0</v>
      </c>
      <c r="F483" s="47">
        <v>0</v>
      </c>
      <c r="G483" s="48">
        <v>0</v>
      </c>
      <c r="H483" s="63">
        <f t="shared" si="10"/>
        <v>166.31952595160823</v>
      </c>
      <c r="I483" s="119">
        <f>NPV($I$19,H474:H483)/((1-(1+$I$19)^-10)/$I$19)</f>
        <v>24.940059569099141</v>
      </c>
    </row>
    <row r="484" spans="1:9">
      <c r="A484" s="44"/>
      <c r="B484" s="44" t="s">
        <v>401</v>
      </c>
      <c r="C484" s="49"/>
      <c r="D484" s="46"/>
      <c r="E484" s="47"/>
      <c r="F484" s="47"/>
      <c r="G484" s="48"/>
      <c r="H484" s="63">
        <f t="shared" si="10"/>
        <v>0</v>
      </c>
      <c r="I484" s="119"/>
    </row>
    <row r="485" spans="1:9">
      <c r="A485" s="44" t="s">
        <v>556</v>
      </c>
      <c r="B485" s="44">
        <v>104</v>
      </c>
      <c r="C485" s="49">
        <v>2026</v>
      </c>
      <c r="D485" s="46">
        <v>0</v>
      </c>
      <c r="E485" s="47">
        <v>0</v>
      </c>
      <c r="F485" s="47">
        <v>0</v>
      </c>
      <c r="G485" s="48">
        <v>0</v>
      </c>
      <c r="H485" s="63">
        <f t="shared" si="10"/>
        <v>0</v>
      </c>
      <c r="I485" s="119"/>
    </row>
    <row r="486" spans="1:9">
      <c r="A486" s="44" t="s">
        <v>556</v>
      </c>
      <c r="B486" s="44">
        <v>104</v>
      </c>
      <c r="C486" s="49">
        <v>2027</v>
      </c>
      <c r="D486" s="46">
        <v>0</v>
      </c>
      <c r="E486" s="47">
        <v>0</v>
      </c>
      <c r="F486" s="47">
        <v>0</v>
      </c>
      <c r="G486" s="48">
        <v>0</v>
      </c>
      <c r="H486" s="63">
        <f t="shared" si="10"/>
        <v>0</v>
      </c>
      <c r="I486" s="119"/>
    </row>
    <row r="487" spans="1:9">
      <c r="A487" s="44" t="s">
        <v>556</v>
      </c>
      <c r="B487" s="44">
        <v>104</v>
      </c>
      <c r="C487" s="49">
        <v>2028</v>
      </c>
      <c r="D487" s="46">
        <v>0</v>
      </c>
      <c r="E487" s="47">
        <v>0</v>
      </c>
      <c r="F487" s="47">
        <v>0</v>
      </c>
      <c r="G487" s="48">
        <v>0</v>
      </c>
      <c r="H487" s="63">
        <f t="shared" si="10"/>
        <v>0</v>
      </c>
      <c r="I487" s="119"/>
    </row>
    <row r="488" spans="1:9">
      <c r="A488" s="44" t="s">
        <v>556</v>
      </c>
      <c r="B488" s="44">
        <v>104</v>
      </c>
      <c r="C488" s="49">
        <v>2029</v>
      </c>
      <c r="D488" s="46">
        <v>0</v>
      </c>
      <c r="E488" s="47">
        <v>0</v>
      </c>
      <c r="F488" s="47">
        <v>0</v>
      </c>
      <c r="G488" s="48">
        <v>0</v>
      </c>
      <c r="H488" s="63">
        <f t="shared" si="10"/>
        <v>0</v>
      </c>
      <c r="I488" s="119"/>
    </row>
    <row r="489" spans="1:9">
      <c r="A489" s="44" t="s">
        <v>556</v>
      </c>
      <c r="B489" s="44">
        <v>104</v>
      </c>
      <c r="C489" s="49">
        <v>2030</v>
      </c>
      <c r="D489" s="46">
        <v>0</v>
      </c>
      <c r="E489" s="47">
        <v>0</v>
      </c>
      <c r="F489" s="47">
        <v>0</v>
      </c>
      <c r="G489" s="48">
        <v>0</v>
      </c>
      <c r="H489" s="63">
        <f t="shared" si="10"/>
        <v>0</v>
      </c>
      <c r="I489" s="119"/>
    </row>
    <row r="490" spans="1:9">
      <c r="A490" s="44" t="s">
        <v>556</v>
      </c>
      <c r="B490" s="44">
        <v>104</v>
      </c>
      <c r="C490" s="49">
        <v>2031</v>
      </c>
      <c r="D490" s="46">
        <v>0</v>
      </c>
      <c r="E490" s="47">
        <v>0</v>
      </c>
      <c r="F490" s="47">
        <v>0</v>
      </c>
      <c r="G490" s="48">
        <v>0</v>
      </c>
      <c r="H490" s="63">
        <f t="shared" si="10"/>
        <v>0</v>
      </c>
      <c r="I490" s="119"/>
    </row>
    <row r="491" spans="1:9">
      <c r="A491" s="44" t="s">
        <v>556</v>
      </c>
      <c r="B491" s="44">
        <v>104</v>
      </c>
      <c r="C491" s="49">
        <v>2032</v>
      </c>
      <c r="D491" s="46">
        <v>0</v>
      </c>
      <c r="E491" s="47">
        <v>0</v>
      </c>
      <c r="F491" s="47">
        <v>0</v>
      </c>
      <c r="G491" s="48">
        <v>0</v>
      </c>
      <c r="H491" s="63">
        <f t="shared" si="10"/>
        <v>0</v>
      </c>
      <c r="I491" s="119"/>
    </row>
    <row r="492" spans="1:9">
      <c r="A492" s="44" t="s">
        <v>556</v>
      </c>
      <c r="B492" s="44">
        <v>104</v>
      </c>
      <c r="C492" s="49">
        <v>2033</v>
      </c>
      <c r="D492" s="46">
        <v>0</v>
      </c>
      <c r="E492" s="47">
        <v>0</v>
      </c>
      <c r="F492" s="47">
        <v>0</v>
      </c>
      <c r="G492" s="48">
        <v>0</v>
      </c>
      <c r="H492" s="63">
        <f t="shared" si="10"/>
        <v>0</v>
      </c>
      <c r="I492" s="119"/>
    </row>
    <row r="493" spans="1:9">
      <c r="A493" s="44" t="s">
        <v>556</v>
      </c>
      <c r="B493" s="44">
        <v>104</v>
      </c>
      <c r="C493" s="49">
        <v>2034</v>
      </c>
      <c r="D493" s="46">
        <v>0</v>
      </c>
      <c r="E493" s="47">
        <v>0</v>
      </c>
      <c r="F493" s="47">
        <v>90.687217004589272</v>
      </c>
      <c r="G493" s="48">
        <v>0</v>
      </c>
      <c r="H493" s="63">
        <f t="shared" si="10"/>
        <v>90.687217004589272</v>
      </c>
      <c r="I493" s="119"/>
    </row>
    <row r="494" spans="1:9">
      <c r="A494" s="44" t="s">
        <v>556</v>
      </c>
      <c r="B494" s="44">
        <v>104</v>
      </c>
      <c r="C494" s="49">
        <v>2035</v>
      </c>
      <c r="D494" s="46">
        <v>0</v>
      </c>
      <c r="E494" s="47">
        <v>0</v>
      </c>
      <c r="F494" s="47">
        <v>92.500961344681059</v>
      </c>
      <c r="G494" s="48">
        <v>0</v>
      </c>
      <c r="H494" s="63">
        <f t="shared" si="10"/>
        <v>92.500961344681059</v>
      </c>
      <c r="I494" s="119">
        <f>NPV($I$19,H485:H494)/((1-(1+$I$19)^-10)/$I$19)</f>
        <v>13.732727193945239</v>
      </c>
    </row>
    <row r="495" spans="1:9">
      <c r="A495" s="44"/>
      <c r="B495" s="44" t="s">
        <v>401</v>
      </c>
      <c r="C495" s="49"/>
      <c r="D495" s="42"/>
      <c r="E495" s="19"/>
      <c r="F495" s="19"/>
      <c r="G495" s="43"/>
      <c r="H495" s="63">
        <f t="shared" si="10"/>
        <v>0</v>
      </c>
      <c r="I495" s="119"/>
    </row>
    <row r="496" spans="1:9">
      <c r="A496" s="44" t="s">
        <v>556</v>
      </c>
      <c r="B496" s="44" t="s">
        <v>554</v>
      </c>
      <c r="C496" s="49">
        <v>2026</v>
      </c>
      <c r="D496" s="46">
        <v>0</v>
      </c>
      <c r="E496" s="47">
        <v>0</v>
      </c>
      <c r="F496" s="47">
        <v>0</v>
      </c>
      <c r="G496" s="48">
        <v>0</v>
      </c>
      <c r="H496" s="63">
        <f t="shared" si="10"/>
        <v>0</v>
      </c>
      <c r="I496" s="119"/>
    </row>
    <row r="497" spans="1:9">
      <c r="A497" s="44" t="s">
        <v>556</v>
      </c>
      <c r="B497" s="44" t="s">
        <v>554</v>
      </c>
      <c r="C497" s="49">
        <v>2027</v>
      </c>
      <c r="D497" s="46">
        <v>0</v>
      </c>
      <c r="E497" s="47">
        <v>0</v>
      </c>
      <c r="F497" s="47">
        <v>0</v>
      </c>
      <c r="G497" s="48">
        <v>0</v>
      </c>
      <c r="H497" s="63">
        <f t="shared" si="10"/>
        <v>0</v>
      </c>
      <c r="I497" s="119"/>
    </row>
    <row r="498" spans="1:9">
      <c r="A498" s="44" t="s">
        <v>556</v>
      </c>
      <c r="B498" s="44" t="s">
        <v>554</v>
      </c>
      <c r="C498" s="49">
        <v>2028</v>
      </c>
      <c r="D498" s="46">
        <v>0</v>
      </c>
      <c r="E498" s="47">
        <v>0</v>
      </c>
      <c r="F498" s="47">
        <v>0</v>
      </c>
      <c r="G498" s="48">
        <v>0</v>
      </c>
      <c r="H498" s="63">
        <f t="shared" si="10"/>
        <v>0</v>
      </c>
      <c r="I498" s="119"/>
    </row>
    <row r="499" spans="1:9">
      <c r="A499" s="44" t="s">
        <v>556</v>
      </c>
      <c r="B499" s="44" t="s">
        <v>554</v>
      </c>
      <c r="C499" s="49">
        <v>2029</v>
      </c>
      <c r="D499" s="46">
        <v>0</v>
      </c>
      <c r="E499" s="47">
        <v>0</v>
      </c>
      <c r="F499" s="47">
        <v>0</v>
      </c>
      <c r="G499" s="48">
        <v>0</v>
      </c>
      <c r="H499" s="63">
        <f t="shared" si="10"/>
        <v>0</v>
      </c>
      <c r="I499" s="119"/>
    </row>
    <row r="500" spans="1:9">
      <c r="A500" s="44" t="s">
        <v>556</v>
      </c>
      <c r="B500" s="44" t="s">
        <v>554</v>
      </c>
      <c r="C500" s="49">
        <v>2030</v>
      </c>
      <c r="D500" s="46">
        <v>0</v>
      </c>
      <c r="E500" s="47">
        <v>0</v>
      </c>
      <c r="F500" s="47">
        <v>0</v>
      </c>
      <c r="G500" s="48">
        <v>0</v>
      </c>
      <c r="H500" s="63">
        <f t="shared" si="10"/>
        <v>0</v>
      </c>
      <c r="I500" s="119"/>
    </row>
    <row r="501" spans="1:9">
      <c r="A501" s="44" t="s">
        <v>556</v>
      </c>
      <c r="B501" s="44" t="s">
        <v>554</v>
      </c>
      <c r="C501" s="49">
        <v>2031</v>
      </c>
      <c r="D501" s="46">
        <v>0</v>
      </c>
      <c r="E501" s="47">
        <v>0</v>
      </c>
      <c r="F501" s="47">
        <v>0</v>
      </c>
      <c r="G501" s="48">
        <v>0</v>
      </c>
      <c r="H501" s="63">
        <f t="shared" si="10"/>
        <v>0</v>
      </c>
      <c r="I501" s="119"/>
    </row>
    <row r="502" spans="1:9">
      <c r="A502" s="44" t="s">
        <v>556</v>
      </c>
      <c r="B502" s="44" t="s">
        <v>554</v>
      </c>
      <c r="C502" s="49">
        <v>2032</v>
      </c>
      <c r="D502" s="46">
        <v>0</v>
      </c>
      <c r="E502" s="47">
        <v>0</v>
      </c>
      <c r="F502" s="47">
        <v>0</v>
      </c>
      <c r="G502" s="48">
        <v>0</v>
      </c>
      <c r="H502" s="63">
        <f t="shared" si="10"/>
        <v>0</v>
      </c>
      <c r="I502" s="119"/>
    </row>
    <row r="503" spans="1:9">
      <c r="A503" s="44" t="s">
        <v>556</v>
      </c>
      <c r="B503" s="44" t="s">
        <v>554</v>
      </c>
      <c r="C503" s="49">
        <v>2033</v>
      </c>
      <c r="D503" s="46">
        <v>0</v>
      </c>
      <c r="E503" s="47">
        <v>0</v>
      </c>
      <c r="F503" s="47">
        <v>0</v>
      </c>
      <c r="G503" s="48">
        <v>0</v>
      </c>
      <c r="H503" s="63">
        <f t="shared" si="10"/>
        <v>0</v>
      </c>
      <c r="I503" s="119"/>
    </row>
    <row r="504" spans="1:9">
      <c r="A504" s="44" t="s">
        <v>556</v>
      </c>
      <c r="B504" s="44" t="s">
        <v>554</v>
      </c>
      <c r="C504" s="49">
        <v>2034</v>
      </c>
      <c r="D504" s="46">
        <v>0</v>
      </c>
      <c r="E504" s="47">
        <v>45.399653386985825</v>
      </c>
      <c r="F504" s="47">
        <v>0</v>
      </c>
      <c r="G504" s="48">
        <v>0</v>
      </c>
      <c r="H504" s="63">
        <f t="shared" si="10"/>
        <v>45.399653386985825</v>
      </c>
      <c r="I504" s="119"/>
    </row>
    <row r="505" spans="1:9">
      <c r="A505" s="44" t="s">
        <v>556</v>
      </c>
      <c r="B505" s="44" t="s">
        <v>554</v>
      </c>
      <c r="C505" s="49">
        <v>2035</v>
      </c>
      <c r="D505" s="46">
        <v>0</v>
      </c>
      <c r="E505" s="47">
        <v>46.307646454725543</v>
      </c>
      <c r="F505" s="47">
        <v>0</v>
      </c>
      <c r="G505" s="48">
        <v>0</v>
      </c>
      <c r="H505" s="63">
        <f t="shared" si="10"/>
        <v>46.307646454725543</v>
      </c>
      <c r="I505" s="119">
        <f>NPV($I$19,H496:H505)/((1-(1+$I$19)^-10)/$I$19)</f>
        <v>6.8748504503297072</v>
      </c>
    </row>
    <row r="506" spans="1:9">
      <c r="A506" s="44"/>
      <c r="B506" s="44" t="s">
        <v>401</v>
      </c>
      <c r="C506" s="49"/>
      <c r="D506" s="46"/>
      <c r="E506" s="47"/>
      <c r="F506" s="47"/>
      <c r="G506" s="48"/>
      <c r="H506" s="63">
        <f t="shared" si="10"/>
        <v>0</v>
      </c>
      <c r="I506" s="119"/>
    </row>
    <row r="507" spans="1:9">
      <c r="A507" s="44" t="s">
        <v>556</v>
      </c>
      <c r="B507" s="44" t="s">
        <v>555</v>
      </c>
      <c r="C507" s="49">
        <v>2026</v>
      </c>
      <c r="D507" s="46">
        <v>0</v>
      </c>
      <c r="E507" s="47">
        <v>0</v>
      </c>
      <c r="F507" s="47">
        <v>0</v>
      </c>
      <c r="G507" s="48">
        <v>0</v>
      </c>
      <c r="H507" s="63">
        <f t="shared" si="10"/>
        <v>0</v>
      </c>
      <c r="I507" s="119"/>
    </row>
    <row r="508" spans="1:9">
      <c r="A508" s="44" t="s">
        <v>556</v>
      </c>
      <c r="B508" s="44" t="s">
        <v>555</v>
      </c>
      <c r="C508" s="49">
        <v>2027</v>
      </c>
      <c r="D508" s="46">
        <v>0</v>
      </c>
      <c r="E508" s="47">
        <v>0</v>
      </c>
      <c r="F508" s="47">
        <v>0</v>
      </c>
      <c r="G508" s="48">
        <v>0</v>
      </c>
      <c r="H508" s="63">
        <f t="shared" si="10"/>
        <v>0</v>
      </c>
      <c r="I508" s="119"/>
    </row>
    <row r="509" spans="1:9">
      <c r="A509" s="44" t="s">
        <v>556</v>
      </c>
      <c r="B509" s="44" t="s">
        <v>555</v>
      </c>
      <c r="C509" s="49">
        <v>2028</v>
      </c>
      <c r="D509" s="46">
        <v>0</v>
      </c>
      <c r="E509" s="47">
        <v>0</v>
      </c>
      <c r="F509" s="47">
        <v>0</v>
      </c>
      <c r="G509" s="48">
        <v>0</v>
      </c>
      <c r="H509" s="63">
        <f t="shared" si="10"/>
        <v>0</v>
      </c>
      <c r="I509" s="119"/>
    </row>
    <row r="510" spans="1:9">
      <c r="A510" s="44" t="s">
        <v>556</v>
      </c>
      <c r="B510" s="44" t="s">
        <v>555</v>
      </c>
      <c r="C510" s="49">
        <v>2029</v>
      </c>
      <c r="D510" s="46">
        <v>0</v>
      </c>
      <c r="E510" s="47">
        <v>0</v>
      </c>
      <c r="F510" s="47">
        <v>0</v>
      </c>
      <c r="G510" s="48">
        <v>0</v>
      </c>
      <c r="H510" s="63">
        <f t="shared" si="10"/>
        <v>0</v>
      </c>
      <c r="I510" s="119"/>
    </row>
    <row r="511" spans="1:9">
      <c r="A511" s="44" t="s">
        <v>556</v>
      </c>
      <c r="B511" s="44" t="s">
        <v>555</v>
      </c>
      <c r="C511" s="49">
        <v>2030</v>
      </c>
      <c r="D511" s="46">
        <v>0</v>
      </c>
      <c r="E511" s="47">
        <v>0</v>
      </c>
      <c r="F511" s="47">
        <v>0</v>
      </c>
      <c r="G511" s="48">
        <v>0</v>
      </c>
      <c r="H511" s="63">
        <f t="shared" si="10"/>
        <v>0</v>
      </c>
      <c r="I511" s="119"/>
    </row>
    <row r="512" spans="1:9">
      <c r="A512" s="44" t="s">
        <v>556</v>
      </c>
      <c r="B512" s="44" t="s">
        <v>555</v>
      </c>
      <c r="C512" s="49">
        <v>2031</v>
      </c>
      <c r="D512" s="46">
        <v>0</v>
      </c>
      <c r="E512" s="47">
        <v>0</v>
      </c>
      <c r="F512" s="47">
        <v>0</v>
      </c>
      <c r="G512" s="48">
        <v>0</v>
      </c>
      <c r="H512" s="63">
        <f t="shared" si="10"/>
        <v>0</v>
      </c>
      <c r="I512" s="119"/>
    </row>
    <row r="513" spans="1:9">
      <c r="A513" s="44" t="s">
        <v>556</v>
      </c>
      <c r="B513" s="44" t="s">
        <v>555</v>
      </c>
      <c r="C513" s="49">
        <v>2032</v>
      </c>
      <c r="D513" s="46">
        <v>0</v>
      </c>
      <c r="E513" s="47">
        <v>0</v>
      </c>
      <c r="F513" s="47">
        <v>0</v>
      </c>
      <c r="G513" s="48">
        <v>0</v>
      </c>
      <c r="H513" s="63">
        <f t="shared" si="10"/>
        <v>0</v>
      </c>
      <c r="I513" s="119"/>
    </row>
    <row r="514" spans="1:9">
      <c r="A514" s="44" t="s">
        <v>556</v>
      </c>
      <c r="B514" s="44" t="s">
        <v>555</v>
      </c>
      <c r="C514" s="49">
        <v>2033</v>
      </c>
      <c r="D514" s="46">
        <v>0</v>
      </c>
      <c r="E514" s="47">
        <v>0</v>
      </c>
      <c r="F514" s="47">
        <v>0</v>
      </c>
      <c r="G514" s="48">
        <v>0</v>
      </c>
      <c r="H514" s="63">
        <f t="shared" si="10"/>
        <v>0</v>
      </c>
      <c r="I514" s="119"/>
    </row>
    <row r="515" spans="1:9">
      <c r="A515" s="44" t="s">
        <v>556</v>
      </c>
      <c r="B515" s="44" t="s">
        <v>555</v>
      </c>
      <c r="C515" s="49">
        <v>2034</v>
      </c>
      <c r="D515" s="46">
        <v>0</v>
      </c>
      <c r="E515" s="47">
        <v>60.532871182647781</v>
      </c>
      <c r="F515" s="47">
        <v>0</v>
      </c>
      <c r="G515" s="48">
        <v>0</v>
      </c>
      <c r="H515" s="63">
        <f t="shared" si="10"/>
        <v>60.532871182647781</v>
      </c>
      <c r="I515" s="119"/>
    </row>
    <row r="516" spans="1:9">
      <c r="A516" s="44" t="s">
        <v>556</v>
      </c>
      <c r="B516" s="44" t="s">
        <v>555</v>
      </c>
      <c r="C516" s="49">
        <v>2035</v>
      </c>
      <c r="D516" s="46">
        <v>0</v>
      </c>
      <c r="E516" s="47">
        <v>61.743528606300735</v>
      </c>
      <c r="F516" s="47">
        <v>0</v>
      </c>
      <c r="G516" s="48">
        <v>0</v>
      </c>
      <c r="H516" s="63">
        <f t="shared" si="10"/>
        <v>61.743528606300735</v>
      </c>
      <c r="I516" s="119">
        <f>NPV($I$19,H507:H516)/((1-(1+$I$19)^-10)/$I$19)</f>
        <v>9.1664672671062775</v>
      </c>
    </row>
    <row r="517" spans="1:9">
      <c r="A517" s="44"/>
      <c r="B517" s="44" t="s">
        <v>401</v>
      </c>
      <c r="C517" s="49"/>
      <c r="D517" s="42"/>
      <c r="E517" s="19"/>
      <c r="F517" s="19"/>
      <c r="G517" s="43"/>
      <c r="H517" s="63">
        <f t="shared" si="10"/>
        <v>0</v>
      </c>
      <c r="I517" s="119"/>
    </row>
    <row r="518" spans="1:9">
      <c r="A518" s="44" t="s">
        <v>556</v>
      </c>
      <c r="B518" s="44">
        <v>762</v>
      </c>
      <c r="C518" s="49">
        <v>2026</v>
      </c>
      <c r="D518" s="46">
        <v>0</v>
      </c>
      <c r="E518" s="47">
        <v>0</v>
      </c>
      <c r="F518" s="47">
        <v>0</v>
      </c>
      <c r="G518" s="48">
        <v>0</v>
      </c>
      <c r="H518" s="63">
        <f t="shared" si="10"/>
        <v>0</v>
      </c>
      <c r="I518" s="119"/>
    </row>
    <row r="519" spans="1:9">
      <c r="A519" s="44" t="s">
        <v>556</v>
      </c>
      <c r="B519" s="44">
        <v>762</v>
      </c>
      <c r="C519" s="49">
        <v>2027</v>
      </c>
      <c r="D519" s="46">
        <v>0</v>
      </c>
      <c r="E519" s="47">
        <v>0</v>
      </c>
      <c r="F519" s="47">
        <v>0</v>
      </c>
      <c r="G519" s="48">
        <v>0</v>
      </c>
      <c r="H519" s="63">
        <f t="shared" si="10"/>
        <v>0</v>
      </c>
      <c r="I519" s="119"/>
    </row>
    <row r="520" spans="1:9">
      <c r="A520" s="44" t="s">
        <v>556</v>
      </c>
      <c r="B520" s="44">
        <v>762</v>
      </c>
      <c r="C520" s="49">
        <v>2028</v>
      </c>
      <c r="D520" s="46">
        <v>0</v>
      </c>
      <c r="E520" s="47">
        <v>0</v>
      </c>
      <c r="F520" s="47">
        <v>0</v>
      </c>
      <c r="G520" s="48">
        <v>0</v>
      </c>
      <c r="H520" s="63">
        <f t="shared" si="10"/>
        <v>0</v>
      </c>
      <c r="I520" s="119"/>
    </row>
    <row r="521" spans="1:9">
      <c r="A521" s="44" t="s">
        <v>556</v>
      </c>
      <c r="B521" s="44">
        <v>762</v>
      </c>
      <c r="C521" s="49">
        <v>2029</v>
      </c>
      <c r="D521" s="46">
        <v>0</v>
      </c>
      <c r="E521" s="47">
        <v>0</v>
      </c>
      <c r="F521" s="47">
        <v>0</v>
      </c>
      <c r="G521" s="48">
        <v>0</v>
      </c>
      <c r="H521" s="63">
        <f t="shared" si="10"/>
        <v>0</v>
      </c>
      <c r="I521" s="119"/>
    </row>
    <row r="522" spans="1:9">
      <c r="A522" s="44" t="s">
        <v>556</v>
      </c>
      <c r="B522" s="44">
        <v>762</v>
      </c>
      <c r="C522" s="49">
        <v>2030</v>
      </c>
      <c r="D522" s="46">
        <v>0</v>
      </c>
      <c r="E522" s="47">
        <v>0</v>
      </c>
      <c r="F522" s="47">
        <v>0</v>
      </c>
      <c r="G522" s="48">
        <v>0</v>
      </c>
      <c r="H522" s="63">
        <f t="shared" si="10"/>
        <v>0</v>
      </c>
      <c r="I522" s="119"/>
    </row>
    <row r="523" spans="1:9">
      <c r="A523" s="44" t="s">
        <v>556</v>
      </c>
      <c r="B523" s="44">
        <v>762</v>
      </c>
      <c r="C523" s="49">
        <v>2031</v>
      </c>
      <c r="D523" s="46">
        <v>0</v>
      </c>
      <c r="E523" s="47">
        <v>0</v>
      </c>
      <c r="F523" s="47">
        <v>0</v>
      </c>
      <c r="G523" s="48">
        <v>0</v>
      </c>
      <c r="H523" s="63">
        <f t="shared" si="10"/>
        <v>0</v>
      </c>
      <c r="I523" s="119"/>
    </row>
    <row r="524" spans="1:9">
      <c r="A524" s="44" t="s">
        <v>556</v>
      </c>
      <c r="B524" s="44">
        <v>762</v>
      </c>
      <c r="C524" s="49">
        <v>2032</v>
      </c>
      <c r="D524" s="46">
        <v>0</v>
      </c>
      <c r="E524" s="47">
        <v>0</v>
      </c>
      <c r="F524" s="47">
        <v>0</v>
      </c>
      <c r="G524" s="48">
        <v>0</v>
      </c>
      <c r="H524" s="63">
        <f t="shared" si="10"/>
        <v>0</v>
      </c>
      <c r="I524" s="119"/>
    </row>
    <row r="525" spans="1:9">
      <c r="A525" s="44" t="s">
        <v>556</v>
      </c>
      <c r="B525" s="44">
        <v>762</v>
      </c>
      <c r="C525" s="49">
        <v>2033</v>
      </c>
      <c r="D525" s="46">
        <v>0</v>
      </c>
      <c r="E525" s="47">
        <v>86.838977612792959</v>
      </c>
      <c r="F525" s="47">
        <v>0</v>
      </c>
      <c r="G525" s="48">
        <v>0</v>
      </c>
      <c r="H525" s="63">
        <f t="shared" si="10"/>
        <v>86.838977612792959</v>
      </c>
      <c r="I525" s="119"/>
    </row>
    <row r="526" spans="1:9">
      <c r="A526" s="44" t="s">
        <v>556</v>
      </c>
      <c r="B526" s="44">
        <v>762</v>
      </c>
      <c r="C526" s="49">
        <v>2034</v>
      </c>
      <c r="D526" s="46">
        <v>0</v>
      </c>
      <c r="E526" s="47">
        <v>88.575757165048813</v>
      </c>
      <c r="F526" s="47">
        <v>0</v>
      </c>
      <c r="G526" s="48">
        <v>0</v>
      </c>
      <c r="H526" s="63">
        <f t="shared" si="10"/>
        <v>88.575757165048813</v>
      </c>
      <c r="I526" s="119"/>
    </row>
    <row r="527" spans="1:9">
      <c r="A527" s="44" t="s">
        <v>556</v>
      </c>
      <c r="B527" s="44">
        <v>762</v>
      </c>
      <c r="C527" s="49">
        <v>2035</v>
      </c>
      <c r="D527" s="46">
        <v>0</v>
      </c>
      <c r="E527" s="47">
        <v>90.347272308349787</v>
      </c>
      <c r="F527" s="47">
        <v>0</v>
      </c>
      <c r="G527" s="48">
        <v>0</v>
      </c>
      <c r="H527" s="63">
        <f t="shared" si="10"/>
        <v>90.347272308349787</v>
      </c>
      <c r="I527" s="119">
        <f>NPV($I$19,H518:H527)/((1-(1+$I$19)^-10)/$I$19)</f>
        <v>20.614037227498308</v>
      </c>
    </row>
    <row r="528" spans="1:9">
      <c r="A528" s="44"/>
      <c r="B528" s="44" t="s">
        <v>401</v>
      </c>
      <c r="C528" s="49"/>
      <c r="D528" s="46"/>
      <c r="E528" s="47"/>
      <c r="F528" s="47"/>
      <c r="G528" s="48"/>
      <c r="H528" s="63">
        <f t="shared" si="10"/>
        <v>0</v>
      </c>
      <c r="I528" s="119"/>
    </row>
    <row r="529" spans="1:9">
      <c r="A529" s="44" t="s">
        <v>556</v>
      </c>
      <c r="B529" s="44">
        <v>567</v>
      </c>
      <c r="C529" s="49">
        <v>2026</v>
      </c>
      <c r="D529" s="46">
        <v>0</v>
      </c>
      <c r="E529" s="47">
        <v>0</v>
      </c>
      <c r="F529" s="47">
        <v>0</v>
      </c>
      <c r="G529" s="48">
        <v>0</v>
      </c>
      <c r="H529" s="63">
        <f t="shared" si="10"/>
        <v>0</v>
      </c>
      <c r="I529" s="119"/>
    </row>
    <row r="530" spans="1:9">
      <c r="A530" s="44" t="s">
        <v>556</v>
      </c>
      <c r="B530" s="44">
        <v>567</v>
      </c>
      <c r="C530" s="49">
        <v>2027</v>
      </c>
      <c r="D530" s="46">
        <v>0</v>
      </c>
      <c r="E530" s="47">
        <v>0</v>
      </c>
      <c r="F530" s="47">
        <v>0</v>
      </c>
      <c r="G530" s="48">
        <v>0</v>
      </c>
      <c r="H530" s="63">
        <f t="shared" si="10"/>
        <v>0</v>
      </c>
      <c r="I530" s="119"/>
    </row>
    <row r="531" spans="1:9">
      <c r="A531" s="44" t="s">
        <v>556</v>
      </c>
      <c r="B531" s="44">
        <v>567</v>
      </c>
      <c r="C531" s="49">
        <v>2028</v>
      </c>
      <c r="D531" s="46">
        <v>0</v>
      </c>
      <c r="E531" s="47">
        <v>0</v>
      </c>
      <c r="F531" s="47">
        <v>0</v>
      </c>
      <c r="G531" s="48">
        <v>0</v>
      </c>
      <c r="H531" s="63">
        <f t="shared" si="10"/>
        <v>0</v>
      </c>
      <c r="I531" s="119"/>
    </row>
    <row r="532" spans="1:9">
      <c r="A532" s="44" t="s">
        <v>556</v>
      </c>
      <c r="B532" s="44">
        <v>567</v>
      </c>
      <c r="C532" s="49">
        <v>2029</v>
      </c>
      <c r="D532" s="46">
        <v>0</v>
      </c>
      <c r="E532" s="47">
        <v>0</v>
      </c>
      <c r="F532" s="47">
        <v>0</v>
      </c>
      <c r="G532" s="48">
        <v>0</v>
      </c>
      <c r="H532" s="63">
        <f t="shared" si="10"/>
        <v>0</v>
      </c>
      <c r="I532" s="119"/>
    </row>
    <row r="533" spans="1:9">
      <c r="A533" s="44" t="s">
        <v>556</v>
      </c>
      <c r="B533" s="44">
        <v>567</v>
      </c>
      <c r="C533" s="49">
        <v>2030</v>
      </c>
      <c r="D533" s="46">
        <v>0</v>
      </c>
      <c r="E533" s="47">
        <v>0</v>
      </c>
      <c r="F533" s="47">
        <v>0</v>
      </c>
      <c r="G533" s="48">
        <v>0</v>
      </c>
      <c r="H533" s="63">
        <f t="shared" si="10"/>
        <v>0</v>
      </c>
      <c r="I533" s="119"/>
    </row>
    <row r="534" spans="1:9">
      <c r="A534" s="44" t="s">
        <v>556</v>
      </c>
      <c r="B534" s="44">
        <v>567</v>
      </c>
      <c r="C534" s="49">
        <v>2031</v>
      </c>
      <c r="D534" s="46">
        <v>0</v>
      </c>
      <c r="E534" s="47">
        <v>0</v>
      </c>
      <c r="F534" s="47">
        <v>0</v>
      </c>
      <c r="G534" s="48">
        <v>0</v>
      </c>
      <c r="H534" s="63">
        <f t="shared" ref="H534:H582" si="11">SUM(D534:G534)</f>
        <v>0</v>
      </c>
      <c r="I534" s="119"/>
    </row>
    <row r="535" spans="1:9">
      <c r="A535" s="44" t="s">
        <v>556</v>
      </c>
      <c r="B535" s="44">
        <v>567</v>
      </c>
      <c r="C535" s="49">
        <v>2032</v>
      </c>
      <c r="D535" s="46">
        <v>0</v>
      </c>
      <c r="E535" s="47">
        <v>60.991453540092053</v>
      </c>
      <c r="F535" s="47">
        <v>0</v>
      </c>
      <c r="G535" s="48">
        <v>0</v>
      </c>
      <c r="H535" s="63">
        <f t="shared" si="11"/>
        <v>60.991453540092053</v>
      </c>
      <c r="I535" s="119"/>
    </row>
    <row r="536" spans="1:9">
      <c r="A536" s="44" t="s">
        <v>556</v>
      </c>
      <c r="B536" s="44">
        <v>567</v>
      </c>
      <c r="C536" s="49">
        <v>2033</v>
      </c>
      <c r="D536" s="46">
        <v>0</v>
      </c>
      <c r="E536" s="47">
        <v>62.211282610893896</v>
      </c>
      <c r="F536" s="47">
        <v>0</v>
      </c>
      <c r="G536" s="48">
        <v>0</v>
      </c>
      <c r="H536" s="63">
        <f t="shared" si="11"/>
        <v>62.211282610893896</v>
      </c>
      <c r="I536" s="119"/>
    </row>
    <row r="537" spans="1:9">
      <c r="A537" s="44" t="s">
        <v>556</v>
      </c>
      <c r="B537" s="44">
        <v>567</v>
      </c>
      <c r="C537" s="49">
        <v>2034</v>
      </c>
      <c r="D537" s="46">
        <v>0</v>
      </c>
      <c r="E537" s="47">
        <v>63.455508263111774</v>
      </c>
      <c r="F537" s="47">
        <v>0</v>
      </c>
      <c r="G537" s="48">
        <v>0</v>
      </c>
      <c r="H537" s="63">
        <f t="shared" si="11"/>
        <v>63.455508263111774</v>
      </c>
      <c r="I537" s="119"/>
    </row>
    <row r="538" spans="1:9">
      <c r="A538" s="44" t="s">
        <v>556</v>
      </c>
      <c r="B538" s="44">
        <v>567</v>
      </c>
      <c r="C538" s="49">
        <v>2035</v>
      </c>
      <c r="D538" s="46">
        <v>0</v>
      </c>
      <c r="E538" s="47">
        <v>64.724618428374015</v>
      </c>
      <c r="F538" s="47">
        <v>0</v>
      </c>
      <c r="G538" s="48">
        <v>0</v>
      </c>
      <c r="H538" s="63">
        <f t="shared" si="11"/>
        <v>64.724618428374015</v>
      </c>
      <c r="I538" s="119">
        <f>NPV($I$19,H529:H538)/((1-(1+$I$19)^-10)/$I$19)</f>
        <v>20.178293927418515</v>
      </c>
    </row>
    <row r="539" spans="1:9">
      <c r="A539" s="44"/>
      <c r="B539" s="44" t="s">
        <v>401</v>
      </c>
      <c r="C539" s="49"/>
      <c r="D539" s="42"/>
      <c r="E539" s="19"/>
      <c r="F539" s="19"/>
      <c r="G539" s="43"/>
      <c r="H539" s="63">
        <f t="shared" si="11"/>
        <v>0</v>
      </c>
      <c r="I539" s="119"/>
    </row>
    <row r="540" spans="1:9">
      <c r="A540" s="44" t="s">
        <v>556</v>
      </c>
      <c r="B540" s="44">
        <v>769</v>
      </c>
      <c r="C540" s="49">
        <v>2026</v>
      </c>
      <c r="D540" s="46">
        <v>0</v>
      </c>
      <c r="E540" s="47">
        <v>0</v>
      </c>
      <c r="F540" s="47">
        <v>0</v>
      </c>
      <c r="G540" s="48">
        <v>0</v>
      </c>
      <c r="H540" s="63">
        <f t="shared" si="11"/>
        <v>0</v>
      </c>
      <c r="I540" s="119"/>
    </row>
    <row r="541" spans="1:9">
      <c r="A541" s="44" t="s">
        <v>556</v>
      </c>
      <c r="B541" s="44">
        <v>769</v>
      </c>
      <c r="C541" s="49">
        <v>2027</v>
      </c>
      <c r="D541" s="46">
        <v>0</v>
      </c>
      <c r="E541" s="47">
        <v>0</v>
      </c>
      <c r="F541" s="47">
        <v>0</v>
      </c>
      <c r="G541" s="48">
        <v>0</v>
      </c>
      <c r="H541" s="63">
        <f t="shared" si="11"/>
        <v>0</v>
      </c>
      <c r="I541" s="119"/>
    </row>
    <row r="542" spans="1:9">
      <c r="A542" s="44" t="s">
        <v>556</v>
      </c>
      <c r="B542" s="44">
        <v>769</v>
      </c>
      <c r="C542" s="49">
        <v>2028</v>
      </c>
      <c r="D542" s="46">
        <v>0</v>
      </c>
      <c r="E542" s="47">
        <v>0</v>
      </c>
      <c r="F542" s="47">
        <v>0</v>
      </c>
      <c r="G542" s="48">
        <v>0</v>
      </c>
      <c r="H542" s="63">
        <f t="shared" si="11"/>
        <v>0</v>
      </c>
      <c r="I542" s="119"/>
    </row>
    <row r="543" spans="1:9">
      <c r="A543" s="44" t="s">
        <v>556</v>
      </c>
      <c r="B543" s="44">
        <v>769</v>
      </c>
      <c r="C543" s="49">
        <v>2029</v>
      </c>
      <c r="D543" s="46">
        <v>0</v>
      </c>
      <c r="E543" s="47">
        <v>0</v>
      </c>
      <c r="F543" s="47">
        <v>0</v>
      </c>
      <c r="G543" s="48">
        <v>0</v>
      </c>
      <c r="H543" s="63">
        <f t="shared" si="11"/>
        <v>0</v>
      </c>
      <c r="I543" s="119"/>
    </row>
    <row r="544" spans="1:9">
      <c r="A544" s="44" t="s">
        <v>556</v>
      </c>
      <c r="B544" s="44">
        <v>769</v>
      </c>
      <c r="C544" s="49">
        <v>2030</v>
      </c>
      <c r="D544" s="46">
        <v>0</v>
      </c>
      <c r="E544" s="47">
        <v>0</v>
      </c>
      <c r="F544" s="47">
        <v>0</v>
      </c>
      <c r="G544" s="48">
        <v>0</v>
      </c>
      <c r="H544" s="63">
        <f t="shared" si="11"/>
        <v>0</v>
      </c>
      <c r="I544" s="119"/>
    </row>
    <row r="545" spans="1:9">
      <c r="A545" s="44" t="s">
        <v>556</v>
      </c>
      <c r="B545" s="44">
        <v>769</v>
      </c>
      <c r="C545" s="49">
        <v>2031</v>
      </c>
      <c r="D545" s="46">
        <v>0</v>
      </c>
      <c r="E545" s="47">
        <v>8.9840254518848344</v>
      </c>
      <c r="F545" s="47">
        <v>0</v>
      </c>
      <c r="G545" s="48">
        <v>0</v>
      </c>
      <c r="H545" s="63">
        <f t="shared" si="11"/>
        <v>8.9840254518848344</v>
      </c>
      <c r="I545" s="119"/>
    </row>
    <row r="546" spans="1:9">
      <c r="A546" s="44" t="s">
        <v>556</v>
      </c>
      <c r="B546" s="44">
        <v>769</v>
      </c>
      <c r="C546" s="49">
        <v>2032</v>
      </c>
      <c r="D546" s="46">
        <v>0</v>
      </c>
      <c r="E546" s="47">
        <v>42.756696666731671</v>
      </c>
      <c r="F546" s="47">
        <v>0</v>
      </c>
      <c r="G546" s="48">
        <v>0</v>
      </c>
      <c r="H546" s="63">
        <f t="shared" si="11"/>
        <v>42.756696666731671</v>
      </c>
      <c r="I546" s="119"/>
    </row>
    <row r="547" spans="1:9">
      <c r="A547" s="44" t="s">
        <v>556</v>
      </c>
      <c r="B547" s="44">
        <v>769</v>
      </c>
      <c r="C547" s="49">
        <v>2033</v>
      </c>
      <c r="D547" s="46">
        <v>0</v>
      </c>
      <c r="E547" s="47">
        <v>67.524822264166829</v>
      </c>
      <c r="F547" s="47">
        <v>0</v>
      </c>
      <c r="G547" s="48">
        <v>0</v>
      </c>
      <c r="H547" s="63">
        <f t="shared" si="11"/>
        <v>67.524822264166829</v>
      </c>
      <c r="I547" s="119"/>
    </row>
    <row r="548" spans="1:9">
      <c r="A548" s="44" t="s">
        <v>556</v>
      </c>
      <c r="B548" s="44">
        <v>769</v>
      </c>
      <c r="C548" s="49">
        <v>2034</v>
      </c>
      <c r="D548" s="46">
        <v>0</v>
      </c>
      <c r="E548" s="47">
        <v>93.337931068788635</v>
      </c>
      <c r="F548" s="47">
        <v>0</v>
      </c>
      <c r="G548" s="48">
        <v>0</v>
      </c>
      <c r="H548" s="63">
        <f t="shared" si="11"/>
        <v>93.337931068788635</v>
      </c>
      <c r="I548" s="119"/>
    </row>
    <row r="549" spans="1:9">
      <c r="A549" s="44" t="s">
        <v>556</v>
      </c>
      <c r="B549" s="44">
        <v>769</v>
      </c>
      <c r="C549" s="49">
        <v>2035</v>
      </c>
      <c r="D549" s="46">
        <v>0</v>
      </c>
      <c r="E549" s="47">
        <v>106.63848840918216</v>
      </c>
      <c r="F549" s="47">
        <v>0</v>
      </c>
      <c r="G549" s="48">
        <v>0</v>
      </c>
      <c r="H549" s="63">
        <f t="shared" si="11"/>
        <v>106.63848840918216</v>
      </c>
      <c r="I549" s="119">
        <f>NPV($I$19,H540:H549)/((1-(1+$I$19)^-10)/$I$19)</f>
        <v>25.207497743194917</v>
      </c>
    </row>
    <row r="550" spans="1:9">
      <c r="A550" s="44"/>
      <c r="B550" s="44" t="s">
        <v>401</v>
      </c>
      <c r="C550" s="49"/>
      <c r="D550" s="19"/>
      <c r="E550" s="19"/>
      <c r="F550" s="19"/>
      <c r="G550" s="43"/>
      <c r="H550" s="63">
        <f t="shared" si="11"/>
        <v>0</v>
      </c>
      <c r="I550" s="119"/>
    </row>
    <row r="551" spans="1:9">
      <c r="A551" s="44" t="s">
        <v>556</v>
      </c>
      <c r="B551" s="44">
        <v>766</v>
      </c>
      <c r="C551" s="49">
        <v>2026</v>
      </c>
      <c r="D551" s="46">
        <v>0</v>
      </c>
      <c r="E551" s="47">
        <v>0</v>
      </c>
      <c r="F551" s="47">
        <v>0</v>
      </c>
      <c r="G551" s="48">
        <v>0</v>
      </c>
      <c r="H551" s="63">
        <f t="shared" si="11"/>
        <v>0</v>
      </c>
      <c r="I551" s="119"/>
    </row>
    <row r="552" spans="1:9">
      <c r="A552" s="44" t="s">
        <v>556</v>
      </c>
      <c r="B552" s="44">
        <v>766</v>
      </c>
      <c r="C552" s="49">
        <v>2027</v>
      </c>
      <c r="D552" s="46">
        <v>0</v>
      </c>
      <c r="E552" s="47">
        <v>0</v>
      </c>
      <c r="F552" s="47">
        <v>0</v>
      </c>
      <c r="G552" s="48">
        <v>0</v>
      </c>
      <c r="H552" s="63">
        <f t="shared" si="11"/>
        <v>0</v>
      </c>
      <c r="I552" s="119"/>
    </row>
    <row r="553" spans="1:9">
      <c r="A553" s="44" t="s">
        <v>556</v>
      </c>
      <c r="B553" s="44">
        <v>766</v>
      </c>
      <c r="C553" s="49">
        <v>2028</v>
      </c>
      <c r="D553" s="46">
        <v>0</v>
      </c>
      <c r="E553" s="47">
        <v>0</v>
      </c>
      <c r="F553" s="47">
        <v>0</v>
      </c>
      <c r="G553" s="48">
        <v>0</v>
      </c>
      <c r="H553" s="63">
        <f t="shared" si="11"/>
        <v>0</v>
      </c>
      <c r="I553" s="119"/>
    </row>
    <row r="554" spans="1:9">
      <c r="A554" s="44" t="s">
        <v>556</v>
      </c>
      <c r="B554" s="44">
        <v>766</v>
      </c>
      <c r="C554" s="49">
        <v>2029</v>
      </c>
      <c r="D554" s="46">
        <v>0</v>
      </c>
      <c r="E554" s="47">
        <v>0</v>
      </c>
      <c r="F554" s="47">
        <v>0</v>
      </c>
      <c r="G554" s="48">
        <v>0</v>
      </c>
      <c r="H554" s="63">
        <f t="shared" si="11"/>
        <v>0</v>
      </c>
      <c r="I554" s="119"/>
    </row>
    <row r="555" spans="1:9">
      <c r="A555" s="44" t="s">
        <v>556</v>
      </c>
      <c r="B555" s="44">
        <v>766</v>
      </c>
      <c r="C555" s="49">
        <v>2030</v>
      </c>
      <c r="D555" s="46">
        <v>0</v>
      </c>
      <c r="E555" s="47">
        <v>0</v>
      </c>
      <c r="F555" s="47">
        <v>0</v>
      </c>
      <c r="G555" s="48">
        <v>0</v>
      </c>
      <c r="H555" s="63">
        <f t="shared" si="11"/>
        <v>0</v>
      </c>
      <c r="I555" s="119"/>
    </row>
    <row r="556" spans="1:9">
      <c r="A556" s="44" t="s">
        <v>556</v>
      </c>
      <c r="B556" s="44">
        <v>766</v>
      </c>
      <c r="C556" s="49">
        <v>2031</v>
      </c>
      <c r="D556" s="46">
        <v>0</v>
      </c>
      <c r="E556" s="47">
        <v>0</v>
      </c>
      <c r="F556" s="47">
        <v>0</v>
      </c>
      <c r="G556" s="48">
        <v>0</v>
      </c>
      <c r="H556" s="63">
        <f t="shared" si="11"/>
        <v>0</v>
      </c>
      <c r="I556" s="119"/>
    </row>
    <row r="557" spans="1:9">
      <c r="A557" s="44" t="s">
        <v>556</v>
      </c>
      <c r="B557" s="44">
        <v>766</v>
      </c>
      <c r="C557" s="49">
        <v>2032</v>
      </c>
      <c r="D557" s="46">
        <v>0</v>
      </c>
      <c r="E557" s="47">
        <v>76.418300299257808</v>
      </c>
      <c r="F557" s="47">
        <v>0</v>
      </c>
      <c r="G557" s="48">
        <v>0</v>
      </c>
      <c r="H557" s="63">
        <f t="shared" si="11"/>
        <v>76.418300299257808</v>
      </c>
      <c r="I557" s="119"/>
    </row>
    <row r="558" spans="1:9">
      <c r="A558" s="44" t="s">
        <v>556</v>
      </c>
      <c r="B558" s="44">
        <v>766</v>
      </c>
      <c r="C558" s="49">
        <v>2033</v>
      </c>
      <c r="D558" s="46">
        <v>0</v>
      </c>
      <c r="E558" s="47">
        <v>77.946666305242971</v>
      </c>
      <c r="F558" s="47">
        <v>0</v>
      </c>
      <c r="G558" s="48">
        <v>0</v>
      </c>
      <c r="H558" s="63">
        <f t="shared" si="11"/>
        <v>77.946666305242971</v>
      </c>
      <c r="I558" s="119"/>
    </row>
    <row r="559" spans="1:9">
      <c r="A559" s="44" t="s">
        <v>556</v>
      </c>
      <c r="B559" s="44">
        <v>766</v>
      </c>
      <c r="C559" s="49">
        <v>2034</v>
      </c>
      <c r="D559" s="46">
        <v>0</v>
      </c>
      <c r="E559" s="47">
        <v>79.505599631347835</v>
      </c>
      <c r="F559" s="47">
        <v>0</v>
      </c>
      <c r="G559" s="48">
        <v>0</v>
      </c>
      <c r="H559" s="63">
        <f t="shared" si="11"/>
        <v>79.505599631347835</v>
      </c>
      <c r="I559" s="119"/>
    </row>
    <row r="560" spans="1:9">
      <c r="A560" s="44" t="s">
        <v>556</v>
      </c>
      <c r="B560" s="44">
        <v>766</v>
      </c>
      <c r="C560" s="49">
        <v>2035</v>
      </c>
      <c r="D560" s="46">
        <v>0</v>
      </c>
      <c r="E560" s="47">
        <v>81.095711623974793</v>
      </c>
      <c r="F560" s="47">
        <v>0</v>
      </c>
      <c r="G560" s="48">
        <v>0</v>
      </c>
      <c r="H560" s="63">
        <f t="shared" si="11"/>
        <v>81.095711623974793</v>
      </c>
      <c r="I560" s="119">
        <f>NPV($I$19,H551:H560)/((1-(1+$I$19)^-10)/$I$19)</f>
        <v>25.28208192084729</v>
      </c>
    </row>
    <row r="561" spans="1:9">
      <c r="A561" s="44"/>
      <c r="B561" s="44" t="s">
        <v>401</v>
      </c>
      <c r="C561" s="49"/>
      <c r="D561" s="46"/>
      <c r="E561" s="47"/>
      <c r="F561" s="47"/>
      <c r="G561" s="48"/>
      <c r="H561" s="63">
        <f t="shared" si="11"/>
        <v>0</v>
      </c>
      <c r="I561" s="119"/>
    </row>
    <row r="562" spans="1:9">
      <c r="A562" s="44" t="s">
        <v>557</v>
      </c>
      <c r="B562" s="44">
        <v>246</v>
      </c>
      <c r="C562" s="49">
        <v>2026</v>
      </c>
      <c r="D562" s="46">
        <v>0</v>
      </c>
      <c r="E562" s="47">
        <v>0</v>
      </c>
      <c r="F562" s="47">
        <v>0</v>
      </c>
      <c r="G562" s="48">
        <v>0</v>
      </c>
      <c r="H562" s="63">
        <f t="shared" si="11"/>
        <v>0</v>
      </c>
      <c r="I562" s="119"/>
    </row>
    <row r="563" spans="1:9">
      <c r="A563" s="44" t="s">
        <v>557</v>
      </c>
      <c r="B563" s="44">
        <v>246</v>
      </c>
      <c r="C563" s="49">
        <v>2027</v>
      </c>
      <c r="D563" s="46">
        <v>0</v>
      </c>
      <c r="E563" s="47">
        <v>0</v>
      </c>
      <c r="F563" s="47">
        <v>0</v>
      </c>
      <c r="G563" s="48">
        <v>0</v>
      </c>
      <c r="H563" s="63">
        <f t="shared" si="11"/>
        <v>0</v>
      </c>
      <c r="I563" s="119"/>
    </row>
    <row r="564" spans="1:9">
      <c r="A564" s="44" t="s">
        <v>557</v>
      </c>
      <c r="B564" s="44">
        <v>246</v>
      </c>
      <c r="C564" s="49">
        <v>2028</v>
      </c>
      <c r="D564" s="46">
        <v>0</v>
      </c>
      <c r="E564" s="47">
        <v>0</v>
      </c>
      <c r="F564" s="47">
        <v>0</v>
      </c>
      <c r="G564" s="48">
        <v>0</v>
      </c>
      <c r="H564" s="63">
        <f t="shared" si="11"/>
        <v>0</v>
      </c>
      <c r="I564" s="119"/>
    </row>
    <row r="565" spans="1:9">
      <c r="A565" s="44" t="s">
        <v>557</v>
      </c>
      <c r="B565" s="44">
        <v>246</v>
      </c>
      <c r="C565" s="49">
        <v>2029</v>
      </c>
      <c r="D565" s="46">
        <v>0</v>
      </c>
      <c r="E565" s="47">
        <v>0</v>
      </c>
      <c r="F565" s="47">
        <v>0</v>
      </c>
      <c r="G565" s="48">
        <v>0</v>
      </c>
      <c r="H565" s="63">
        <f t="shared" si="11"/>
        <v>0</v>
      </c>
      <c r="I565" s="119"/>
    </row>
    <row r="566" spans="1:9">
      <c r="A566" s="44" t="s">
        <v>557</v>
      </c>
      <c r="B566" s="44">
        <v>246</v>
      </c>
      <c r="C566" s="49">
        <v>2030</v>
      </c>
      <c r="D566" s="46">
        <v>0</v>
      </c>
      <c r="E566" s="47">
        <v>0</v>
      </c>
      <c r="F566" s="47">
        <v>0</v>
      </c>
      <c r="G566" s="48">
        <v>0</v>
      </c>
      <c r="H566" s="63">
        <f t="shared" si="11"/>
        <v>0</v>
      </c>
      <c r="I566" s="119"/>
    </row>
    <row r="567" spans="1:9">
      <c r="A567" s="44" t="s">
        <v>557</v>
      </c>
      <c r="B567" s="44">
        <v>246</v>
      </c>
      <c r="C567" s="49">
        <v>2031</v>
      </c>
      <c r="D567" s="46">
        <v>0</v>
      </c>
      <c r="E567" s="47">
        <v>0</v>
      </c>
      <c r="F567" s="47">
        <v>0</v>
      </c>
      <c r="G567" s="48">
        <v>0</v>
      </c>
      <c r="H567" s="63">
        <f t="shared" si="11"/>
        <v>0</v>
      </c>
      <c r="I567" s="119"/>
    </row>
    <row r="568" spans="1:9">
      <c r="A568" s="44" t="s">
        <v>557</v>
      </c>
      <c r="B568" s="44">
        <v>246</v>
      </c>
      <c r="C568" s="49">
        <v>2032</v>
      </c>
      <c r="D568" s="46">
        <v>0</v>
      </c>
      <c r="E568" s="47">
        <v>0</v>
      </c>
      <c r="F568" s="47">
        <v>0</v>
      </c>
      <c r="G568" s="48">
        <v>0</v>
      </c>
      <c r="H568" s="63">
        <f t="shared" si="11"/>
        <v>0</v>
      </c>
      <c r="I568" s="119"/>
    </row>
    <row r="569" spans="1:9">
      <c r="A569" s="44" t="s">
        <v>557</v>
      </c>
      <c r="B569" s="44">
        <v>246</v>
      </c>
      <c r="C569" s="49">
        <v>2033</v>
      </c>
      <c r="D569" s="46">
        <v>0</v>
      </c>
      <c r="E569" s="47">
        <v>0</v>
      </c>
      <c r="F569" s="47">
        <v>64.716396509856665</v>
      </c>
      <c r="G569" s="48">
        <v>0</v>
      </c>
      <c r="H569" s="63">
        <f t="shared" si="11"/>
        <v>64.716396509856665</v>
      </c>
      <c r="I569" s="119"/>
    </row>
    <row r="570" spans="1:9">
      <c r="A570" s="44" t="s">
        <v>557</v>
      </c>
      <c r="B570" s="44">
        <v>246</v>
      </c>
      <c r="C570" s="49">
        <v>2034</v>
      </c>
      <c r="D570" s="46">
        <v>0</v>
      </c>
      <c r="E570" s="47">
        <v>0</v>
      </c>
      <c r="F570" s="47">
        <v>66.010724440053806</v>
      </c>
      <c r="G570" s="48">
        <v>0</v>
      </c>
      <c r="H570" s="63">
        <f t="shared" si="11"/>
        <v>66.010724440053806</v>
      </c>
      <c r="I570" s="119"/>
    </row>
    <row r="571" spans="1:9">
      <c r="A571" s="44" t="s">
        <v>557</v>
      </c>
      <c r="B571" s="44">
        <v>246</v>
      </c>
      <c r="C571" s="49">
        <v>2035</v>
      </c>
      <c r="D571" s="46">
        <v>0</v>
      </c>
      <c r="E571" s="47">
        <v>0</v>
      </c>
      <c r="F571" s="47">
        <v>67.330938928854877</v>
      </c>
      <c r="G571" s="48">
        <v>0</v>
      </c>
      <c r="H571" s="63">
        <f t="shared" si="11"/>
        <v>67.330938928854877</v>
      </c>
      <c r="I571" s="119">
        <f>NPV($I$19,H562:H571)/((1-(1+$I$19)^-10)/$I$19)</f>
        <v>15.36252779059889</v>
      </c>
    </row>
    <row r="572" spans="1:9">
      <c r="A572" s="44"/>
      <c r="B572" s="44" t="s">
        <v>401</v>
      </c>
      <c r="C572" s="49"/>
      <c r="D572" s="42"/>
      <c r="E572" s="19"/>
      <c r="F572" s="19"/>
      <c r="G572" s="43"/>
      <c r="H572" s="63">
        <f t="shared" si="11"/>
        <v>0</v>
      </c>
      <c r="I572" s="119"/>
    </row>
    <row r="573" spans="1:9">
      <c r="A573" s="44" t="s">
        <v>558</v>
      </c>
      <c r="B573" s="44">
        <v>205</v>
      </c>
      <c r="C573" s="49">
        <v>2026</v>
      </c>
      <c r="D573" s="46">
        <v>0</v>
      </c>
      <c r="E573" s="47">
        <v>0</v>
      </c>
      <c r="F573" s="47">
        <v>0</v>
      </c>
      <c r="G573" s="48">
        <v>0</v>
      </c>
      <c r="H573" s="63">
        <f t="shared" si="11"/>
        <v>0</v>
      </c>
      <c r="I573" s="119"/>
    </row>
    <row r="574" spans="1:9">
      <c r="A574" s="44" t="s">
        <v>558</v>
      </c>
      <c r="B574" s="44">
        <v>205</v>
      </c>
      <c r="C574" s="49">
        <v>2027</v>
      </c>
      <c r="D574" s="46">
        <v>0</v>
      </c>
      <c r="E574" s="47">
        <v>0</v>
      </c>
      <c r="F574" s="47">
        <v>0</v>
      </c>
      <c r="G574" s="48">
        <v>0</v>
      </c>
      <c r="H574" s="63">
        <f t="shared" si="11"/>
        <v>0</v>
      </c>
      <c r="I574" s="119"/>
    </row>
    <row r="575" spans="1:9">
      <c r="A575" s="44" t="s">
        <v>558</v>
      </c>
      <c r="B575" s="44">
        <v>205</v>
      </c>
      <c r="C575" s="49">
        <v>2028</v>
      </c>
      <c r="D575" s="46">
        <v>0</v>
      </c>
      <c r="E575" s="47">
        <v>0</v>
      </c>
      <c r="F575" s="47">
        <v>0</v>
      </c>
      <c r="G575" s="48">
        <v>0</v>
      </c>
      <c r="H575" s="63">
        <f t="shared" si="11"/>
        <v>0</v>
      </c>
      <c r="I575" s="119"/>
    </row>
    <row r="576" spans="1:9">
      <c r="A576" s="44" t="s">
        <v>558</v>
      </c>
      <c r="B576" s="44">
        <v>205</v>
      </c>
      <c r="C576" s="49">
        <v>2029</v>
      </c>
      <c r="D576" s="46">
        <v>0</v>
      </c>
      <c r="E576" s="47">
        <v>0</v>
      </c>
      <c r="F576" s="47">
        <v>0</v>
      </c>
      <c r="G576" s="48">
        <v>0</v>
      </c>
      <c r="H576" s="63">
        <f t="shared" si="11"/>
        <v>0</v>
      </c>
      <c r="I576" s="119"/>
    </row>
    <row r="577" spans="1:9">
      <c r="A577" s="44" t="s">
        <v>558</v>
      </c>
      <c r="B577" s="44">
        <v>205</v>
      </c>
      <c r="C577" s="49">
        <v>2030</v>
      </c>
      <c r="D577" s="46">
        <v>0</v>
      </c>
      <c r="E577" s="47">
        <v>0</v>
      </c>
      <c r="F577" s="47">
        <v>0</v>
      </c>
      <c r="G577" s="48">
        <v>0</v>
      </c>
      <c r="H577" s="63">
        <f t="shared" si="11"/>
        <v>0</v>
      </c>
      <c r="I577" s="119"/>
    </row>
    <row r="578" spans="1:9">
      <c r="A578" s="44" t="s">
        <v>558</v>
      </c>
      <c r="B578" s="44">
        <v>205</v>
      </c>
      <c r="C578" s="49">
        <v>2031</v>
      </c>
      <c r="D578" s="46">
        <v>0</v>
      </c>
      <c r="E578" s="47">
        <v>0</v>
      </c>
      <c r="F578" s="47">
        <v>42.383685266048133</v>
      </c>
      <c r="G578" s="48">
        <v>0</v>
      </c>
      <c r="H578" s="63">
        <f t="shared" si="11"/>
        <v>42.383685266048133</v>
      </c>
      <c r="I578" s="119"/>
    </row>
    <row r="579" spans="1:9">
      <c r="A579" s="44" t="s">
        <v>558</v>
      </c>
      <c r="B579" s="44">
        <v>205</v>
      </c>
      <c r="C579" s="49">
        <v>2032</v>
      </c>
      <c r="D579" s="46">
        <v>0</v>
      </c>
      <c r="E579" s="47">
        <v>0</v>
      </c>
      <c r="F579" s="47">
        <v>43.231358971369097</v>
      </c>
      <c r="G579" s="48">
        <v>0</v>
      </c>
      <c r="H579" s="63">
        <f t="shared" si="11"/>
        <v>43.231358971369097</v>
      </c>
      <c r="I579" s="119"/>
    </row>
    <row r="580" spans="1:9">
      <c r="A580" s="44" t="s">
        <v>558</v>
      </c>
      <c r="B580" s="44">
        <v>205</v>
      </c>
      <c r="C580" s="49">
        <v>2033</v>
      </c>
      <c r="D580" s="46">
        <v>0</v>
      </c>
      <c r="E580" s="47">
        <v>0</v>
      </c>
      <c r="F580" s="47">
        <v>44.095986150796477</v>
      </c>
      <c r="G580" s="48">
        <v>0</v>
      </c>
      <c r="H580" s="63">
        <f t="shared" si="11"/>
        <v>44.095986150796477</v>
      </c>
      <c r="I580" s="119"/>
    </row>
    <row r="581" spans="1:9">
      <c r="A581" s="44" t="s">
        <v>558</v>
      </c>
      <c r="B581" s="44">
        <v>205</v>
      </c>
      <c r="C581" s="49">
        <v>2034</v>
      </c>
      <c r="D581" s="46">
        <v>0</v>
      </c>
      <c r="E581" s="47">
        <v>0</v>
      </c>
      <c r="F581" s="47">
        <v>44.977905873812411</v>
      </c>
      <c r="G581" s="48">
        <v>0</v>
      </c>
      <c r="H581" s="63">
        <f t="shared" si="11"/>
        <v>44.977905873812411</v>
      </c>
      <c r="I581" s="119"/>
    </row>
    <row r="582" spans="1:9">
      <c r="A582" s="51" t="s">
        <v>558</v>
      </c>
      <c r="B582" s="51">
        <v>205</v>
      </c>
      <c r="C582" s="146">
        <v>2035</v>
      </c>
      <c r="D582" s="147">
        <v>0</v>
      </c>
      <c r="E582" s="148">
        <v>0</v>
      </c>
      <c r="F582" s="148">
        <v>45.877463991288657</v>
      </c>
      <c r="G582" s="149">
        <v>0</v>
      </c>
      <c r="H582" s="63">
        <f t="shared" si="11"/>
        <v>45.877463991288657</v>
      </c>
      <c r="I582" s="119">
        <f>NPV($I$19,H573:H582)/((1-(1+$I$19)^-10)/$I$19)</f>
        <v>18.324599273762111</v>
      </c>
    </row>
  </sheetData>
  <protectedRanges>
    <protectedRange password="CC23" sqref="E19" name="Range1_8_10_1_2"/>
  </protectedRanges>
  <conditionalFormatting sqref="K21:K66">
    <cfRule type="duplicateValues" dxfId="54" priority="45"/>
  </conditionalFormatting>
  <pageMargins left="0.7" right="0.7" top="0.75" bottom="0.75" header="0.3" footer="0.3"/>
  <pageSetup scale="10" orientation="portrait" r:id="rId1"/>
</worksheet>
</file>

<file path=docMetadata/LabelInfo.xml><?xml version="1.0" encoding="utf-8"?>
<clbl:labelList xmlns:clbl="http://schemas.microsoft.com/office/2020/mipLabelMetadata">
  <clbl:label id="{f46cb8ea-7900-4d10-8ceb-80e8c1c81ee7}" enabled="0" method="" siteId="{f46cb8ea-7900-4d10-8ceb-80e8c1c81ee7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Introduction</vt:lpstr>
      <vt:lpstr>CECONY</vt:lpstr>
      <vt:lpstr>CEN HUD</vt:lpstr>
      <vt:lpstr>National Grid Data Match</vt:lpstr>
      <vt:lpstr>National Grid</vt:lpstr>
      <vt:lpstr>Nat Grid Transmnet</vt:lpstr>
      <vt:lpstr>NYSEG</vt:lpstr>
      <vt:lpstr>O&amp;R</vt:lpstr>
      <vt:lpstr>RGE</vt:lpstr>
      <vt:lpstr>O&amp;R KW</vt:lpstr>
      <vt:lpstr>Aggregated Table</vt:lpstr>
      <vt:lpstr>CEP Initial Proposal</vt:lpstr>
      <vt:lpstr>Summary Tables</vt:lpstr>
      <vt:lpstr>Total Substations per Util</vt:lpstr>
      <vt:lpstr>data for stata</vt:lpstr>
      <vt:lpstr>stata commands</vt:lpstr>
      <vt:lpstr>stata output</vt:lpstr>
      <vt:lpstr>NERA segment cost</vt:lpstr>
      <vt:lpstr>example levelized cost calc</vt:lpstr>
      <vt:lpstr>example segment cost aggregate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Moneymaker, Nathaniel (DPS)</dc:creator>
  <cp:keywords/>
  <dc:description/>
  <cp:lastModifiedBy>Moneymaker, Nathaniel (DPS)</cp:lastModifiedBy>
  <cp:revision/>
  <cp:lastPrinted>2025-12-11T18:07:22Z</cp:lastPrinted>
  <dcterms:created xsi:type="dcterms:W3CDTF">2025-07-01T14:09:26Z</dcterms:created>
  <dcterms:modified xsi:type="dcterms:W3CDTF">2025-12-12T15:23:57Z</dcterms:modified>
  <cp:category/>
  <cp:contentStatus/>
</cp:coreProperties>
</file>